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Working\solutions\tools\tests\"/>
    </mc:Choice>
  </mc:AlternateContent>
  <xr:revisionPtr revIDLastSave="0" documentId="8_{38906143-AF5A-4B53-8CA4-F26BC34E9036}" xr6:coauthVersionLast="47" xr6:coauthVersionMax="47" xr10:uidLastSave="{00000000-0000-0000-0000-000000000000}"/>
  <bookViews>
    <workbookView xWindow="-120" yWindow="-120" windowWidth="29040" windowHeight="15840" xr2:uid="{ACE06A23-A3E9-4447-8718-6BFA84EF9A8A}"/>
  </bookViews>
  <sheets>
    <sheet name="Variable Meta-analysis" sheetId="2" r:id="rId1"/>
    <sheet name="Sheet1" sheetId="1" r:id="rId2"/>
  </sheets>
  <externalReferences>
    <externalReference r:id="rId3"/>
    <externalReference r:id="rId4"/>
    <externalReference r:id="rId5"/>
    <externalReference r:id="rId6"/>
    <externalReference r:id="rId7"/>
  </externalReferences>
  <definedNames>
    <definedName name="AdoptionUnitOfMeasure">'[1]Advanced Controls'!$C$42</definedName>
    <definedName name="anscount" hidden="1">1</definedName>
    <definedName name="BuiltInLearningRate">'[1]First Cost'!$A$19</definedName>
    <definedName name="CH4CalcsCH4PPB">'[1]CH4 Calcs'!$A$62</definedName>
    <definedName name="CH4CalcsCH4Reduced">'[1]CH4 Calcs'!$A$7</definedName>
    <definedName name="CHRT_ADPN_data">OFFSET('[1]Unit Adoption Calculations'!$AY$136,'[1]Detailed Results'!$E$3-2014,0,'[1]Detailed Results'!$G$3-'[1]Detailed Results'!$E$3+1,1)</definedName>
    <definedName name="CHRT_ADPNReg_ASJ_data">OFFSET('[1]Unit Adoption Calculations'!$AZ$136,'[1]Detailed Results'!$E$3-2014,2,'[1]Detailed Results'!$G$3-'[1]Detailed Results'!$E$3+1,1)</definedName>
    <definedName name="CHRT_ADPNReg_EEur_data">OFFSET('[1]Unit Adoption Calculations'!$AZ$136,'[1]Detailed Results'!$E$3-2014,1,'[1]Detailed Results'!$G$3-'[1]Detailed Results'!$E$3+1,1)</definedName>
    <definedName name="CHRT_ADPNReg_LAT_data">OFFSET('[1]Unit Adoption Calculations'!$AZ$136,'[1]Detailed Results'!$E$3-2014,4,'[1]Detailed Results'!$G$3-'[1]Detailed Results'!$E$3+1,1)</definedName>
    <definedName name="CHRT_ADPNReg_MEA_data">OFFSET('[1]Unit Adoption Calculations'!$AZ$136,'[1]Detailed Results'!$E$3-2014,3,'[1]Detailed Results'!$G$3-'[1]Detailed Results'!$E$3+1,1)</definedName>
    <definedName name="CHRT_ADPNREG_OECD90_data">OFFSET('[1]Unit Adoption Calculations'!$AZ$136,'[1]Detailed Results'!$E$3-2014,0,'[1]Detailed Results'!$G$3-'[1]Detailed Results'!$E$3+1,1)</definedName>
    <definedName name="CHRT_ADYOY_OPT_SOL">OFFSET('[1]Unit Adoption Calculations'!$C$135,'[1]Detailed Results'!$E$3-2014,0,'[1]Detailed Results'!$G$3-'[1]Detailed Results'!$E$3+1,1)</definedName>
    <definedName name="CHRT_ADYOY_OPT_TAM">OFFSET('[1]Unit Adoption Calculations'!$B$69,'[1]Detailed Results'!$E$3-2014,0,'[1]Detailed Results'!$G$3-'[1]Detailed Results'!$E$3+1,1)</definedName>
    <definedName name="CHRT_ADYOY_REF_SOL">OFFSET('[1]Unit Adoption Calculations'!$C$198,'[1]Detailed Results'!$E$3-2014,0,'[1]Detailed Results'!$G$3-'[1]Detailed Results'!$E$3+1,1)</definedName>
    <definedName name="CHRT_ADYOY_REF_TAM">OFFSET('[1]Unit Adoption Calculations'!$B$17,'[1]Detailed Results'!$E$3-2014,0,'[1]Detailed Results'!$G$3-'[1]Detailed Results'!$E$3+1,1)</definedName>
    <definedName name="CHRT_CO2Cumu_Data">OFFSET('[1]Detailed Results'!$S$41,'[1]Detailed Results'!$E$3-2014,0,'[1]Detailed Results'!$G$3-'[1]Detailed Results'!$E$3+1,1)</definedName>
    <definedName name="CHRT_CO2MMT_data">OFFSET('[1]CO2 Calcs'!$B$64,'[1]Detailed Results'!$E$3-2014,0,'[1]Detailed Results'!$G$3-'[1]Detailed Results'!$E$3+1,1)</definedName>
    <definedName name="CHRT_CO2PPM_data">OFFSET('[1]CO2 Calcs'!$B$171,'[1]Detailed Results'!$E$3-2014,0,'[1]Detailed Results'!$G$3-'[1]Detailed Results'!$E$3+1,1)</definedName>
    <definedName name="CHRT_OPS_CONV">OFFSET('[1]Operating Cost'!$B$68,'[1]Detailed Results'!$E$3-2014,1,'[1]Detailed Results'!$G$3-'[1]Detailed Results'!$E$3+1,1)</definedName>
    <definedName name="CHRT_OPS_SOL">OFFSET('[1]Operating Cost'!$B$68,'[1]Detailed Results'!$E$3-2014,0,'[1]Detailed Results'!$G$3-'[1]Detailed Results'!$E$3+1,1)</definedName>
    <definedName name="CHRT_years">OFFSET('[1]Unit Adoption Calculations'!$A$17,'[1]Detailed Results'!$E$3-2014,0,'[1]Detailed Results'!$G$3-'[1]Detailed Results'!$E$3+1,1)</definedName>
    <definedName name="CO2CalcsCO2eqMMT">'[1]CO2 Calcs'!$A$61</definedName>
    <definedName name="CO2CalcsCO2eqPPM">'[1]CO2 Calcs'!$A$169</definedName>
    <definedName name="CO2CalcsCO2MMT">'[1]CO2 Calcs'!$A$7</definedName>
    <definedName name="CO2CalcsCO2PPM">'[1]CO2 Calcs'!$A$116</definedName>
    <definedName name="COMMONCONVERSIONS">'Variable Meta-analysis'!$P$1</definedName>
    <definedName name="CustomOPTScenarioTables">'[1]Custom PDS Adoption'!$A$77:$B$614</definedName>
    <definedName name="CustomREFScenarioTables">'[1]Custom REF Adoption'!$A$77:$K$614</definedName>
    <definedName name="CustomScenarioTables">'[2]Custom Adoption'!$A$77:$B$614</definedName>
    <definedName name="DDRegions">'[3]Region Data'!$C$5:$C$209</definedName>
    <definedName name="DDSpecial">'[4]Region Data'!$D$5:$D$209</definedName>
    <definedName name="EmissionsFactorsBAUGridEFCO2">'[1]Emissions Factors'!$A$64</definedName>
    <definedName name="EmissionsFactorsBAUGridEFCO2eq">'[1]Emissions Factors'!$A$9</definedName>
    <definedName name="EmissionsFactorsOPTGridEFCO2">'[1]Emissions Factors'!$A$177</definedName>
    <definedName name="EmissionsFactorsOPTGridEFCO2eq">'[1]Emissions Factors'!$A$120</definedName>
    <definedName name="EnterSolutionName">'[1]Advanced Controls'!$C$40</definedName>
    <definedName name="EstimateLearningRate">'Variable Meta-analysis'!$A$1973</definedName>
    <definedName name="FirstCostFactoring">'[1]First Cost'!$A$91:$A$91</definedName>
    <definedName name="FirstCostForecast">'[1]First Cost'!$A$8</definedName>
    <definedName name="FirstCostSolution">'[1]Advanced Controls'!$B$113</definedName>
    <definedName name="FixedCostConventional">'[1]Advanced Controls'!$I$98</definedName>
    <definedName name="FixedCostSolution">'[1]Advanced Controls'!$I$113</definedName>
    <definedName name="FuelEmissionsFactor">'[1]Advanced Controls'!$I$144</definedName>
    <definedName name="FunctionalUnitOfMeasure">'[1]Advanced Controls'!$C$41</definedName>
    <definedName name="HelperTablesDefaultBAUInterpolation">'[1]Helper Tables'!$A$13</definedName>
    <definedName name="HelperTablesDefaultOPTInterpolation">'[1]Helper Tables'!$A$77</definedName>
    <definedName name="HelperTablesUsingPolynomials">'[1]Helper Tables'!$A$157</definedName>
    <definedName name="IndirectCO2">'[1]Advanced Controls'!$F$159</definedName>
    <definedName name="infinity">'[1]Helper Tables'!$Q$8</definedName>
    <definedName name="Land">'[3]Metric Data'!$F$5:$F$209</definedName>
    <definedName name="LifetimeConventional">'[1]Advanced Controls'!$E$98</definedName>
    <definedName name="LifetimeCostSavingsFactoring">'[1]Operating Cost'!$A$254</definedName>
    <definedName name="LifetimeCostSavingsForecast">'[1]Operating Cost'!$A$120</definedName>
    <definedName name="LifetimeSolution">'[1]Advanced Controls'!$E$113</definedName>
    <definedName name="OperatingCostConventional">'[1]Advanced Controls'!$H$98</definedName>
    <definedName name="OperatingCostFactoring">'[1]Operating Cost'!$A$527:$A$527</definedName>
    <definedName name="OperatingCostSavingCalculation">'[1]Operating Cost'!$A$9</definedName>
    <definedName name="OperatingCostSolution">'[1]Advanced Controls'!$H$113</definedName>
    <definedName name="Pop">'[3]Metric Data'!$G$5:$G$209</definedName>
    <definedName name="Regionalizations">'[5]Region Data'!$C$4:$S$4</definedName>
    <definedName name="sencount" hidden="1">2</definedName>
    <definedName name="Time1">NA()</definedName>
    <definedName name="Time2">NA()</definedName>
    <definedName name="UnitsAdoptionAnnualFunctionalUnitsAdoptedBAU">'[1]Unit Adoption Calculations'!$A$186</definedName>
    <definedName name="UnitsAdoptionAnnualFunctionalUnitsAdoptedOPT">'[1]Unit Adoption Calculations'!$A$124</definedName>
    <definedName name="UnitsAdoptionBAUGDPperCapitaTAM">'[1]Unit Adoption Calculations'!$BM$14</definedName>
    <definedName name="UnitsAdoptionBAUTAM">'[1]Unit Adoption Calculations'!$A$14</definedName>
    <definedName name="UnitsAdoptionCumulativeOperationalUnitsBAU">'[1]Unit Adoption Calculations'!$Q$186</definedName>
    <definedName name="UnitsAdoptionCumulativeOperationalUnitsOPT">'[1]Unit Adoption Calculations'!$Q$124</definedName>
    <definedName name="UnitsAdoptionDirectEmissionsSaved">'[1]Unit Adoption Calculations'!$AT$305</definedName>
    <definedName name="UnitsAdoptionEnergyUnitsSaved">'[1]Unit Adoption Calculations'!$A$305</definedName>
    <definedName name="UnitsAdoptionFuelUnitsAvoided">'[1]Unit Adoption Calculations'!$AD$305</definedName>
    <definedName name="UnitsAdoptionGDPperCapitaBAU">'[1]Unit Adoption Calculations'!$AN$14</definedName>
    <definedName name="UnitsAdoptionGDPperCapitaOPT">'[1]Unit Adoption Calculations'!$AN$66</definedName>
    <definedName name="UnitsAdoptionGDPScenarioBAU">'[1]Unit Adoption Calculations'!$AB$14</definedName>
    <definedName name="UnitsAdoptionGDPScenarioOPT">'[1]Unit Adoption Calculations'!$AB$66</definedName>
    <definedName name="UnitsAdoptionNetAnnualUnitsAdopted">'[1]Unit Adoption Calculations'!$A$249</definedName>
    <definedName name="UnitsAdoptionNewAdoptionUnitsBAU">'[1]Unit Adoption Calculations'!$AG$196</definedName>
    <definedName name="UnitsAdoptionNewAdoptionUnitsOPT">'[1]Unit Adoption Calculations'!$AG$134</definedName>
    <definedName name="UnitsAdoptionOPTGDPperCapitaTAM">'[1]Unit Adoption Calculations'!$BM$66</definedName>
    <definedName name="UnitsAdoptionOPTTAM">'[1]Unit Adoption Calculations'!$A$66</definedName>
    <definedName name="UnitsAdoptionPopulationScenarioBAU">'[1]Unit Adoption Calculations'!$P$14</definedName>
    <definedName name="UnitsAdoptionPopulationScenarioOPT">'[1]Unit Adoption Calculations'!$P$66</definedName>
    <definedName name="UnitsAdoptionTotalConventionalFunctionalUnitsBAU">'[1]Unit Adoption Calculations'!$Q$249</definedName>
    <definedName name="UnitsAdoptionTotalNewConventionalUnits">'[1]Unit Adoption Calculations'!$AG$249</definedName>
    <definedName name="UnitsAdoptionTotalUnitsBAU">'[1]Unit Adoption Calculations'!$AX$196</definedName>
    <definedName name="UnitsAdoptionTotalUnitsOPT">'[1]Unit Adoption Calculations'!$AX$134</definedName>
    <definedName name="Value1">NA()</definedName>
    <definedName name="Value2">NA()</definedName>
    <definedName name="Variable19">'Variable Meta-analysis'!$C$660</definedName>
    <definedName name="Variable20">'Variable Meta-analysis'!$C$1437</definedName>
    <definedName name="Variable21">'Variable Meta-analysis'!$C$1477</definedName>
    <definedName name="Variable22">'Variable Meta-analysis'!$C$1513</definedName>
    <definedName name="Variable23">'Variable Meta-analysis'!$C$1551</definedName>
    <definedName name="Variable24">'Variable Meta-analysis'!$C$1586</definedName>
    <definedName name="Variable25">'Variable Meta-analysis'!$C$1622</definedName>
    <definedName name="Variable26">'Variable Meta-analysis'!$C$1658</definedName>
    <definedName name="Variable27">'Variable Meta-analysis'!$C$1694</definedName>
    <definedName name="Variable28">'Variable Meta-analysis'!$C$1728</definedName>
    <definedName name="Variable29">'Variable Meta-analysis'!$C$522</definedName>
    <definedName name="Variable30">'Variable Meta-analysis'!$C$592</definedName>
    <definedName name="VariableAnnualEnergyConv">'Variable Meta-analysis'!$C$522</definedName>
    <definedName name="VariableAnnualEnergyReduced">'Variable Meta-analysis'!$C$556</definedName>
    <definedName name="VariableCH4Reduced">'Variable Meta-analysis'!$C$1327</definedName>
    <definedName name="VariableCO2PerFuel">'Variable Meta-analysis'!$C$46</definedName>
    <definedName name="VariableConventionalAnnualCapacity">'Variable Meta-analysis'!$C$222</definedName>
    <definedName name="VariableConventionalDirectEmissions">'Variable Meta-analysis'!$C$694</definedName>
    <definedName name="VariableConventionalDisposal">'Variable Meta-analysis'!$C$446</definedName>
    <definedName name="VariableConventionalFirstCost">'Variable Meta-analysis'!$C$82</definedName>
    <definedName name="VariableConventionalIndirectCO2">'Variable Meta-analysis'!$C$1061</definedName>
    <definedName name="VariableConventionalLifetime">'Variable Meta-analysis'!$C$151</definedName>
    <definedName name="VariableConventionalOperatingCost">'Variable Meta-analysis'!$C$292</definedName>
    <definedName name="VariableFuelConsumed">'Variable Meta-analysis'!$C$626</definedName>
    <definedName name="VariableFuelEfficiencyFactorSolution">'Variable Meta-analysis'!$C$660</definedName>
    <definedName name="VariableSolutionAnnualCapacity">'Variable Meta-analysis'!$C$256</definedName>
    <definedName name="VariableSolutionDirectEmissions">'Variable Meta-analysis'!$C$915</definedName>
    <definedName name="VariableSolutionDisposal">'Variable Meta-analysis'!$C$482</definedName>
    <definedName name="VariableSolutionFirstCost">'Variable Meta-analysis'!$C$115</definedName>
    <definedName name="VariableSolutionFuelEfficiencyFactor">'Variable Meta-analysis'!$C$660</definedName>
    <definedName name="VariableSolutionIndirectCO2">'Variable Meta-analysis'!$C$1223</definedName>
    <definedName name="VariableSolutionLifetime">'Variable Meta-analysis'!$C$187</definedName>
    <definedName name="VariableSolutionOperatingCost">'Variable Meta-analysis'!$C$328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22" i="2" l="1"/>
  <c r="C2021" i="2"/>
  <c r="C2022" i="2" s="1"/>
  <c r="C2017" i="2"/>
  <c r="C2016" i="2"/>
  <c r="D2015" i="2"/>
  <c r="D2024" i="2" s="1"/>
  <c r="C2015" i="2"/>
  <c r="A2008" i="2"/>
  <c r="A2007" i="2"/>
  <c r="E2004" i="2"/>
  <c r="D2004" i="2"/>
  <c r="C2004" i="2"/>
  <c r="A2004" i="2"/>
  <c r="F2003" i="2"/>
  <c r="D2003" i="2" s="1"/>
  <c r="E2003" i="2"/>
  <c r="A2003" i="2"/>
  <c r="F2002" i="2"/>
  <c r="A1999" i="2"/>
  <c r="A1998" i="2"/>
  <c r="E1995" i="2"/>
  <c r="D1995" i="2"/>
  <c r="C1995" i="2"/>
  <c r="A1995" i="2"/>
  <c r="F1994" i="2"/>
  <c r="E1994" i="2"/>
  <c r="D1994" i="2"/>
  <c r="C1994" i="2"/>
  <c r="A1994" i="2"/>
  <c r="F1993" i="2"/>
  <c r="G1988" i="2"/>
  <c r="E1988" i="2"/>
  <c r="G1987" i="2"/>
  <c r="E1987" i="2"/>
  <c r="G1986" i="2"/>
  <c r="E1986" i="2"/>
  <c r="G1985" i="2"/>
  <c r="E1985" i="2"/>
  <c r="G1984" i="2"/>
  <c r="E1984" i="2"/>
  <c r="G1983" i="2"/>
  <c r="E1983" i="2"/>
  <c r="G1982" i="2"/>
  <c r="E1982" i="2"/>
  <c r="G1981" i="2"/>
  <c r="D1977" i="2" s="1"/>
  <c r="E1981" i="2"/>
  <c r="BV1959" i="2"/>
  <c r="BU1959" i="2"/>
  <c r="BS1959" i="2"/>
  <c r="BR1959" i="2"/>
  <c r="BP1959" i="2"/>
  <c r="BO1959" i="2"/>
  <c r="BM1959" i="2"/>
  <c r="BL1959" i="2"/>
  <c r="BJ1959" i="2"/>
  <c r="BI1959" i="2"/>
  <c r="BG1959" i="2"/>
  <c r="BF1959" i="2"/>
  <c r="BD1959" i="2"/>
  <c r="BC1959" i="2"/>
  <c r="BA1959" i="2"/>
  <c r="AZ1959" i="2"/>
  <c r="AX1959" i="2"/>
  <c r="AW1959" i="2"/>
  <c r="AU1959" i="2"/>
  <c r="AT1959" i="2"/>
  <c r="U1959" i="2"/>
  <c r="R1959" i="2"/>
  <c r="B1959" i="2"/>
  <c r="BV1958" i="2"/>
  <c r="BU1958" i="2"/>
  <c r="BS1958" i="2"/>
  <c r="BR1958" i="2"/>
  <c r="BP1958" i="2"/>
  <c r="BO1958" i="2"/>
  <c r="BM1958" i="2"/>
  <c r="BL1958" i="2"/>
  <c r="BJ1958" i="2"/>
  <c r="BI1958" i="2"/>
  <c r="BG1958" i="2"/>
  <c r="BF1958" i="2"/>
  <c r="BD1958" i="2"/>
  <c r="BC1958" i="2"/>
  <c r="BA1958" i="2"/>
  <c r="AZ1958" i="2"/>
  <c r="AX1958" i="2"/>
  <c r="AW1958" i="2"/>
  <c r="AU1958" i="2"/>
  <c r="AT1958" i="2"/>
  <c r="U1958" i="2"/>
  <c r="S1958" i="2"/>
  <c r="R1958" i="2"/>
  <c r="B1958" i="2"/>
  <c r="BV1957" i="2"/>
  <c r="BU1957" i="2"/>
  <c r="BS1957" i="2"/>
  <c r="BR1957" i="2"/>
  <c r="BP1957" i="2"/>
  <c r="BO1957" i="2"/>
  <c r="BM1957" i="2"/>
  <c r="BL1957" i="2"/>
  <c r="BJ1957" i="2"/>
  <c r="BI1957" i="2"/>
  <c r="BG1957" i="2"/>
  <c r="BF1957" i="2"/>
  <c r="BD1957" i="2"/>
  <c r="BC1957" i="2"/>
  <c r="BA1957" i="2"/>
  <c r="AZ1957" i="2"/>
  <c r="AX1957" i="2"/>
  <c r="AW1957" i="2"/>
  <c r="AU1957" i="2"/>
  <c r="AT1957" i="2"/>
  <c r="U1957" i="2"/>
  <c r="R1957" i="2"/>
  <c r="B1957" i="2"/>
  <c r="BV1956" i="2"/>
  <c r="BU1956" i="2"/>
  <c r="BS1956" i="2"/>
  <c r="BR1956" i="2"/>
  <c r="BP1956" i="2"/>
  <c r="BO1956" i="2"/>
  <c r="BM1956" i="2"/>
  <c r="BL1956" i="2"/>
  <c r="BJ1956" i="2"/>
  <c r="BI1956" i="2"/>
  <c r="BG1956" i="2"/>
  <c r="BF1956" i="2"/>
  <c r="BD1956" i="2"/>
  <c r="BC1956" i="2"/>
  <c r="BA1956" i="2"/>
  <c r="AZ1956" i="2"/>
  <c r="AX1956" i="2"/>
  <c r="AW1956" i="2"/>
  <c r="AU1956" i="2"/>
  <c r="AT1956" i="2"/>
  <c r="U1956" i="2"/>
  <c r="R1956" i="2"/>
  <c r="B1956" i="2"/>
  <c r="BV1955" i="2"/>
  <c r="BU1955" i="2"/>
  <c r="BS1955" i="2"/>
  <c r="BR1955" i="2"/>
  <c r="BP1955" i="2"/>
  <c r="BO1955" i="2"/>
  <c r="BM1955" i="2"/>
  <c r="BL1955" i="2"/>
  <c r="BJ1955" i="2"/>
  <c r="BI1955" i="2"/>
  <c r="BG1955" i="2"/>
  <c r="BF1955" i="2"/>
  <c r="BD1955" i="2"/>
  <c r="BC1955" i="2"/>
  <c r="BA1955" i="2"/>
  <c r="AZ1955" i="2"/>
  <c r="AX1955" i="2"/>
  <c r="AW1955" i="2"/>
  <c r="AU1955" i="2"/>
  <c r="AT1955" i="2"/>
  <c r="U1955" i="2"/>
  <c r="S1955" i="2"/>
  <c r="R1955" i="2"/>
  <c r="B1955" i="2"/>
  <c r="BV1954" i="2"/>
  <c r="BU1954" i="2"/>
  <c r="BS1954" i="2"/>
  <c r="BR1954" i="2"/>
  <c r="BP1954" i="2"/>
  <c r="BO1954" i="2"/>
  <c r="BM1954" i="2"/>
  <c r="BL1954" i="2"/>
  <c r="BJ1954" i="2"/>
  <c r="BI1954" i="2"/>
  <c r="BG1954" i="2"/>
  <c r="BF1954" i="2"/>
  <c r="BD1954" i="2"/>
  <c r="BC1954" i="2"/>
  <c r="BA1954" i="2"/>
  <c r="AZ1954" i="2"/>
  <c r="AX1954" i="2"/>
  <c r="AW1954" i="2"/>
  <c r="AU1954" i="2"/>
  <c r="AT1954" i="2"/>
  <c r="U1954" i="2"/>
  <c r="R1954" i="2"/>
  <c r="S1954" i="2" s="1"/>
  <c r="B1954" i="2"/>
  <c r="BV1953" i="2"/>
  <c r="BU1953" i="2"/>
  <c r="BS1953" i="2"/>
  <c r="BR1953" i="2"/>
  <c r="BP1953" i="2"/>
  <c r="BO1953" i="2"/>
  <c r="BM1953" i="2"/>
  <c r="BL1953" i="2"/>
  <c r="BJ1953" i="2"/>
  <c r="BI1953" i="2"/>
  <c r="BG1953" i="2"/>
  <c r="BF1953" i="2"/>
  <c r="BD1953" i="2"/>
  <c r="BC1953" i="2"/>
  <c r="BA1953" i="2"/>
  <c r="AZ1953" i="2"/>
  <c r="AX1953" i="2"/>
  <c r="AW1953" i="2"/>
  <c r="AU1953" i="2"/>
  <c r="AT1953" i="2"/>
  <c r="U1953" i="2"/>
  <c r="S1953" i="2"/>
  <c r="R1953" i="2"/>
  <c r="B1953" i="2"/>
  <c r="BV1952" i="2"/>
  <c r="BU1952" i="2"/>
  <c r="BS1952" i="2"/>
  <c r="BR1952" i="2"/>
  <c r="BP1952" i="2"/>
  <c r="BO1952" i="2"/>
  <c r="BM1952" i="2"/>
  <c r="BL1952" i="2"/>
  <c r="BJ1952" i="2"/>
  <c r="BI1952" i="2"/>
  <c r="BG1952" i="2"/>
  <c r="BF1952" i="2"/>
  <c r="BD1952" i="2"/>
  <c r="BC1952" i="2"/>
  <c r="BA1952" i="2"/>
  <c r="AZ1952" i="2"/>
  <c r="AX1952" i="2"/>
  <c r="AW1952" i="2"/>
  <c r="AU1952" i="2"/>
  <c r="AT1952" i="2"/>
  <c r="U1952" i="2"/>
  <c r="R1952" i="2"/>
  <c r="S1952" i="2" s="1"/>
  <c r="B1952" i="2"/>
  <c r="BV1951" i="2"/>
  <c r="BU1951" i="2"/>
  <c r="BS1951" i="2"/>
  <c r="BR1951" i="2"/>
  <c r="BP1951" i="2"/>
  <c r="BO1951" i="2"/>
  <c r="BM1951" i="2"/>
  <c r="BL1951" i="2"/>
  <c r="BJ1951" i="2"/>
  <c r="BI1951" i="2"/>
  <c r="BG1951" i="2"/>
  <c r="BF1951" i="2"/>
  <c r="BD1951" i="2"/>
  <c r="BC1951" i="2"/>
  <c r="BA1951" i="2"/>
  <c r="AZ1951" i="2"/>
  <c r="AX1951" i="2"/>
  <c r="AW1951" i="2"/>
  <c r="AU1951" i="2"/>
  <c r="AT1951" i="2"/>
  <c r="U1951" i="2"/>
  <c r="R1951" i="2"/>
  <c r="B1951" i="2"/>
  <c r="BV1950" i="2"/>
  <c r="BU1950" i="2"/>
  <c r="BS1950" i="2"/>
  <c r="BR1950" i="2"/>
  <c r="BP1950" i="2"/>
  <c r="BO1950" i="2"/>
  <c r="BM1950" i="2"/>
  <c r="BL1950" i="2"/>
  <c r="BJ1950" i="2"/>
  <c r="BI1950" i="2"/>
  <c r="BG1950" i="2"/>
  <c r="BF1950" i="2"/>
  <c r="BD1950" i="2"/>
  <c r="BC1950" i="2"/>
  <c r="BA1950" i="2"/>
  <c r="AZ1950" i="2"/>
  <c r="AX1950" i="2"/>
  <c r="AW1950" i="2"/>
  <c r="AU1950" i="2"/>
  <c r="AT1950" i="2"/>
  <c r="U1950" i="2"/>
  <c r="R1950" i="2"/>
  <c r="B1950" i="2"/>
  <c r="BV1949" i="2"/>
  <c r="BU1949" i="2"/>
  <c r="BS1949" i="2"/>
  <c r="BR1949" i="2"/>
  <c r="BP1949" i="2"/>
  <c r="BO1949" i="2"/>
  <c r="BM1949" i="2"/>
  <c r="BL1949" i="2"/>
  <c r="BJ1949" i="2"/>
  <c r="BI1949" i="2"/>
  <c r="BG1949" i="2"/>
  <c r="BF1949" i="2"/>
  <c r="BD1949" i="2"/>
  <c r="BC1949" i="2"/>
  <c r="BA1949" i="2"/>
  <c r="AZ1949" i="2"/>
  <c r="AX1949" i="2"/>
  <c r="AW1949" i="2"/>
  <c r="AU1949" i="2"/>
  <c r="AT1949" i="2"/>
  <c r="U1949" i="2"/>
  <c r="S1949" i="2"/>
  <c r="R1949" i="2"/>
  <c r="B1949" i="2"/>
  <c r="BV1948" i="2"/>
  <c r="BU1948" i="2"/>
  <c r="BS1948" i="2"/>
  <c r="BR1948" i="2"/>
  <c r="BP1948" i="2"/>
  <c r="BO1948" i="2"/>
  <c r="BM1948" i="2"/>
  <c r="BL1948" i="2"/>
  <c r="BJ1948" i="2"/>
  <c r="BI1948" i="2"/>
  <c r="BG1948" i="2"/>
  <c r="BF1948" i="2"/>
  <c r="BD1948" i="2"/>
  <c r="BC1948" i="2"/>
  <c r="BA1948" i="2"/>
  <c r="AZ1948" i="2"/>
  <c r="AX1948" i="2"/>
  <c r="AW1948" i="2"/>
  <c r="AU1948" i="2"/>
  <c r="AT1948" i="2"/>
  <c r="U1948" i="2"/>
  <c r="S1948" i="2"/>
  <c r="R1948" i="2"/>
  <c r="B1948" i="2"/>
  <c r="BV1947" i="2"/>
  <c r="BU1947" i="2"/>
  <c r="BS1947" i="2"/>
  <c r="BR1947" i="2"/>
  <c r="BP1947" i="2"/>
  <c r="BO1947" i="2"/>
  <c r="BM1947" i="2"/>
  <c r="BL1947" i="2"/>
  <c r="BJ1947" i="2"/>
  <c r="BI1947" i="2"/>
  <c r="BG1947" i="2"/>
  <c r="BF1947" i="2"/>
  <c r="BD1947" i="2"/>
  <c r="BC1947" i="2"/>
  <c r="BA1947" i="2"/>
  <c r="AZ1947" i="2"/>
  <c r="AX1947" i="2"/>
  <c r="AW1947" i="2"/>
  <c r="AU1947" i="2"/>
  <c r="AT1947" i="2"/>
  <c r="U1947" i="2"/>
  <c r="R1947" i="2"/>
  <c r="S1947" i="2" s="1"/>
  <c r="B1947" i="2"/>
  <c r="BV1946" i="2"/>
  <c r="BU1946" i="2"/>
  <c r="BS1946" i="2"/>
  <c r="BR1946" i="2"/>
  <c r="BP1946" i="2"/>
  <c r="BO1946" i="2"/>
  <c r="BM1946" i="2"/>
  <c r="BL1946" i="2"/>
  <c r="BJ1946" i="2"/>
  <c r="BI1946" i="2"/>
  <c r="BG1946" i="2"/>
  <c r="BF1946" i="2"/>
  <c r="BD1946" i="2"/>
  <c r="BC1946" i="2"/>
  <c r="BA1946" i="2"/>
  <c r="AZ1946" i="2"/>
  <c r="AX1946" i="2"/>
  <c r="AW1946" i="2"/>
  <c r="AU1946" i="2"/>
  <c r="AT1946" i="2"/>
  <c r="U1946" i="2"/>
  <c r="S1946" i="2"/>
  <c r="R1946" i="2"/>
  <c r="B1946" i="2"/>
  <c r="BV1945" i="2"/>
  <c r="BU1945" i="2"/>
  <c r="BS1945" i="2"/>
  <c r="BR1945" i="2"/>
  <c r="BP1945" i="2"/>
  <c r="BO1945" i="2"/>
  <c r="BM1945" i="2"/>
  <c r="BL1945" i="2"/>
  <c r="BJ1945" i="2"/>
  <c r="BI1945" i="2"/>
  <c r="BG1945" i="2"/>
  <c r="BF1945" i="2"/>
  <c r="BD1945" i="2"/>
  <c r="BC1945" i="2"/>
  <c r="BA1945" i="2"/>
  <c r="AZ1945" i="2"/>
  <c r="AX1945" i="2"/>
  <c r="AW1945" i="2"/>
  <c r="AU1945" i="2"/>
  <c r="AT1945" i="2"/>
  <c r="U1945" i="2"/>
  <c r="R1945" i="2"/>
  <c r="B1945" i="2"/>
  <c r="BV1944" i="2"/>
  <c r="BU1944" i="2"/>
  <c r="BS1944" i="2"/>
  <c r="BR1944" i="2"/>
  <c r="BP1944" i="2"/>
  <c r="BO1944" i="2"/>
  <c r="BM1944" i="2"/>
  <c r="BL1944" i="2"/>
  <c r="BJ1944" i="2"/>
  <c r="BI1944" i="2"/>
  <c r="BG1944" i="2"/>
  <c r="BF1944" i="2"/>
  <c r="BD1944" i="2"/>
  <c r="BC1944" i="2"/>
  <c r="BA1944" i="2"/>
  <c r="AZ1944" i="2"/>
  <c r="AX1944" i="2"/>
  <c r="AW1944" i="2"/>
  <c r="AU1944" i="2"/>
  <c r="AT1944" i="2"/>
  <c r="U1944" i="2"/>
  <c r="R1944" i="2"/>
  <c r="B1944" i="2"/>
  <c r="BV1943" i="2"/>
  <c r="BU1943" i="2"/>
  <c r="BS1943" i="2"/>
  <c r="BR1943" i="2"/>
  <c r="BP1943" i="2"/>
  <c r="BO1943" i="2"/>
  <c r="BM1943" i="2"/>
  <c r="BL1943" i="2"/>
  <c r="BJ1943" i="2"/>
  <c r="BI1943" i="2"/>
  <c r="BG1943" i="2"/>
  <c r="BF1943" i="2"/>
  <c r="BD1943" i="2"/>
  <c r="BC1943" i="2"/>
  <c r="BA1943" i="2"/>
  <c r="AZ1943" i="2"/>
  <c r="AX1943" i="2"/>
  <c r="AW1943" i="2"/>
  <c r="AU1943" i="2"/>
  <c r="AT1943" i="2"/>
  <c r="U1943" i="2"/>
  <c r="S1943" i="2"/>
  <c r="R1943" i="2"/>
  <c r="B1943" i="2"/>
  <c r="BV1942" i="2"/>
  <c r="BU1942" i="2"/>
  <c r="BU1960" i="2" s="1"/>
  <c r="BS1942" i="2"/>
  <c r="BR1942" i="2"/>
  <c r="BR1960" i="2" s="1"/>
  <c r="BP1942" i="2"/>
  <c r="BO1942" i="2"/>
  <c r="BM1942" i="2"/>
  <c r="BL1942" i="2"/>
  <c r="BJ1942" i="2"/>
  <c r="BI1942" i="2"/>
  <c r="BG1942" i="2"/>
  <c r="BF1942" i="2"/>
  <c r="BD1942" i="2"/>
  <c r="BC1942" i="2"/>
  <c r="BC1960" i="2" s="1"/>
  <c r="BA1942" i="2"/>
  <c r="AZ1942" i="2"/>
  <c r="AZ1960" i="2" s="1"/>
  <c r="AX1942" i="2"/>
  <c r="AW1942" i="2"/>
  <c r="AU1942" i="2"/>
  <c r="AT1942" i="2"/>
  <c r="U1942" i="2"/>
  <c r="R1942" i="2"/>
  <c r="S1942" i="2" s="1"/>
  <c r="B1942" i="2"/>
  <c r="BV1941" i="2"/>
  <c r="BV1967" i="2" s="1"/>
  <c r="BV1966" i="2" s="1"/>
  <c r="BU1941" i="2"/>
  <c r="BS1941" i="2"/>
  <c r="BR1941" i="2"/>
  <c r="BP1941" i="2"/>
  <c r="BO1941" i="2"/>
  <c r="BM1941" i="2"/>
  <c r="BL1941" i="2"/>
  <c r="BJ1941" i="2"/>
  <c r="BI1941" i="2"/>
  <c r="BG1941" i="2"/>
  <c r="BG1967" i="2" s="1"/>
  <c r="BG1966" i="2" s="1"/>
  <c r="BF1941" i="2"/>
  <c r="BD1941" i="2"/>
  <c r="BD1967" i="2" s="1"/>
  <c r="BD1966" i="2" s="1"/>
  <c r="BC1941" i="2"/>
  <c r="BA1941" i="2"/>
  <c r="AZ1941" i="2"/>
  <c r="AX1941" i="2"/>
  <c r="AW1941" i="2"/>
  <c r="AU1941" i="2"/>
  <c r="AT1941" i="2"/>
  <c r="U1941" i="2"/>
  <c r="S1941" i="2"/>
  <c r="R1941" i="2"/>
  <c r="B1941" i="2"/>
  <c r="BV1940" i="2"/>
  <c r="BV1960" i="2" s="1"/>
  <c r="BU1940" i="2"/>
  <c r="BU1967" i="2" s="1"/>
  <c r="BU1966" i="2" s="1"/>
  <c r="BU1965" i="2" s="1"/>
  <c r="BS1940" i="2"/>
  <c r="BS1967" i="2" s="1"/>
  <c r="BS1966" i="2" s="1"/>
  <c r="BR1940" i="2"/>
  <c r="BR1967" i="2" s="1"/>
  <c r="BR1966" i="2" s="1"/>
  <c r="BP1940" i="2"/>
  <c r="BP1960" i="2" s="1"/>
  <c r="BO1940" i="2"/>
  <c r="BO1960" i="2" s="1"/>
  <c r="BM1940" i="2"/>
  <c r="BM1960" i="2" s="1"/>
  <c r="BL1940" i="2"/>
  <c r="BL1960" i="2" s="1"/>
  <c r="BJ1940" i="2"/>
  <c r="BJ1960" i="2" s="1"/>
  <c r="BI1940" i="2"/>
  <c r="BI1960" i="2" s="1"/>
  <c r="BG1940" i="2"/>
  <c r="BG1960" i="2" s="1"/>
  <c r="BF1940" i="2"/>
  <c r="BF1960" i="2" s="1"/>
  <c r="BD1940" i="2"/>
  <c r="BD1960" i="2" s="1"/>
  <c r="BC1940" i="2"/>
  <c r="BC1967" i="2" s="1"/>
  <c r="BC1966" i="2" s="1"/>
  <c r="BC1965" i="2" s="1"/>
  <c r="BA1940" i="2"/>
  <c r="BA1967" i="2" s="1"/>
  <c r="BA1966" i="2" s="1"/>
  <c r="AZ1940" i="2"/>
  <c r="AZ1967" i="2" s="1"/>
  <c r="AZ1966" i="2" s="1"/>
  <c r="AX1940" i="2"/>
  <c r="AX1960" i="2" s="1"/>
  <c r="AW1940" i="2"/>
  <c r="AW1960" i="2" s="1"/>
  <c r="AU1940" i="2"/>
  <c r="AU1960" i="2" s="1"/>
  <c r="AT1940" i="2"/>
  <c r="AT1960" i="2" s="1"/>
  <c r="U1940" i="2"/>
  <c r="AR1940" i="2" s="1"/>
  <c r="S1940" i="2"/>
  <c r="R1940" i="2"/>
  <c r="R1965" i="2" s="1"/>
  <c r="B1940" i="2"/>
  <c r="AQ1937" i="2"/>
  <c r="BV1925" i="2"/>
  <c r="BU1925" i="2"/>
  <c r="BS1925" i="2"/>
  <c r="BR1925" i="2"/>
  <c r="BP1925" i="2"/>
  <c r="BO1925" i="2"/>
  <c r="BM1925" i="2"/>
  <c r="BL1925" i="2"/>
  <c r="BJ1925" i="2"/>
  <c r="BI1925" i="2"/>
  <c r="BG1925" i="2"/>
  <c r="BF1925" i="2"/>
  <c r="BD1925" i="2"/>
  <c r="BC1925" i="2"/>
  <c r="BA1925" i="2"/>
  <c r="AZ1925" i="2"/>
  <c r="AX1925" i="2"/>
  <c r="AW1925" i="2"/>
  <c r="AU1925" i="2"/>
  <c r="AT1925" i="2"/>
  <c r="U1925" i="2"/>
  <c r="S1925" i="2"/>
  <c r="R1925" i="2"/>
  <c r="B1925" i="2"/>
  <c r="BV1924" i="2"/>
  <c r="BU1924" i="2"/>
  <c r="BS1924" i="2"/>
  <c r="BR1924" i="2"/>
  <c r="BP1924" i="2"/>
  <c r="BO1924" i="2"/>
  <c r="BM1924" i="2"/>
  <c r="BL1924" i="2"/>
  <c r="BJ1924" i="2"/>
  <c r="BI1924" i="2"/>
  <c r="BG1924" i="2"/>
  <c r="BF1924" i="2"/>
  <c r="BD1924" i="2"/>
  <c r="BC1924" i="2"/>
  <c r="BA1924" i="2"/>
  <c r="AZ1924" i="2"/>
  <c r="AX1924" i="2"/>
  <c r="AW1924" i="2"/>
  <c r="AU1924" i="2"/>
  <c r="AT1924" i="2"/>
  <c r="U1924" i="2"/>
  <c r="R1924" i="2"/>
  <c r="S1924" i="2" s="1"/>
  <c r="B1924" i="2"/>
  <c r="BV1923" i="2"/>
  <c r="BU1923" i="2"/>
  <c r="BS1923" i="2"/>
  <c r="BR1923" i="2"/>
  <c r="BP1923" i="2"/>
  <c r="BO1923" i="2"/>
  <c r="BM1923" i="2"/>
  <c r="BL1923" i="2"/>
  <c r="BJ1923" i="2"/>
  <c r="BI1923" i="2"/>
  <c r="BG1923" i="2"/>
  <c r="BF1923" i="2"/>
  <c r="BD1923" i="2"/>
  <c r="BC1923" i="2"/>
  <c r="BA1923" i="2"/>
  <c r="AZ1923" i="2"/>
  <c r="AX1923" i="2"/>
  <c r="AW1923" i="2"/>
  <c r="AU1923" i="2"/>
  <c r="AT1923" i="2"/>
  <c r="U1923" i="2"/>
  <c r="S1923" i="2"/>
  <c r="R1923" i="2"/>
  <c r="B1923" i="2"/>
  <c r="BV1922" i="2"/>
  <c r="BU1922" i="2"/>
  <c r="BS1922" i="2"/>
  <c r="BR1922" i="2"/>
  <c r="BP1922" i="2"/>
  <c r="BO1922" i="2"/>
  <c r="BM1922" i="2"/>
  <c r="BL1922" i="2"/>
  <c r="BJ1922" i="2"/>
  <c r="BI1922" i="2"/>
  <c r="BG1922" i="2"/>
  <c r="BF1922" i="2"/>
  <c r="BD1922" i="2"/>
  <c r="BC1922" i="2"/>
  <c r="BA1922" i="2"/>
  <c r="AZ1922" i="2"/>
  <c r="AX1922" i="2"/>
  <c r="AW1922" i="2"/>
  <c r="AU1922" i="2"/>
  <c r="AT1922" i="2"/>
  <c r="U1922" i="2"/>
  <c r="R1922" i="2"/>
  <c r="S1922" i="2" s="1"/>
  <c r="B1922" i="2"/>
  <c r="BV1921" i="2"/>
  <c r="BU1921" i="2"/>
  <c r="BS1921" i="2"/>
  <c r="BR1921" i="2"/>
  <c r="BP1921" i="2"/>
  <c r="BO1921" i="2"/>
  <c r="BM1921" i="2"/>
  <c r="BL1921" i="2"/>
  <c r="BJ1921" i="2"/>
  <c r="BI1921" i="2"/>
  <c r="BG1921" i="2"/>
  <c r="BF1921" i="2"/>
  <c r="BD1921" i="2"/>
  <c r="BC1921" i="2"/>
  <c r="BA1921" i="2"/>
  <c r="AZ1921" i="2"/>
  <c r="AX1921" i="2"/>
  <c r="AW1921" i="2"/>
  <c r="AU1921" i="2"/>
  <c r="AT1921" i="2"/>
  <c r="U1921" i="2"/>
  <c r="S1921" i="2"/>
  <c r="R1921" i="2"/>
  <c r="B1921" i="2"/>
  <c r="BV1920" i="2"/>
  <c r="BU1920" i="2"/>
  <c r="BS1920" i="2"/>
  <c r="BR1920" i="2"/>
  <c r="BP1920" i="2"/>
  <c r="BO1920" i="2"/>
  <c r="BM1920" i="2"/>
  <c r="BL1920" i="2"/>
  <c r="BJ1920" i="2"/>
  <c r="BI1920" i="2"/>
  <c r="BG1920" i="2"/>
  <c r="BF1920" i="2"/>
  <c r="BD1920" i="2"/>
  <c r="BC1920" i="2"/>
  <c r="BA1920" i="2"/>
  <c r="AZ1920" i="2"/>
  <c r="AX1920" i="2"/>
  <c r="AW1920" i="2"/>
  <c r="AU1920" i="2"/>
  <c r="AT1920" i="2"/>
  <c r="U1920" i="2"/>
  <c r="R1920" i="2"/>
  <c r="S1920" i="2" s="1"/>
  <c r="B1920" i="2"/>
  <c r="BV1919" i="2"/>
  <c r="BU1919" i="2"/>
  <c r="BS1919" i="2"/>
  <c r="BR1919" i="2"/>
  <c r="BP1919" i="2"/>
  <c r="BO1919" i="2"/>
  <c r="BM1919" i="2"/>
  <c r="BL1919" i="2"/>
  <c r="BJ1919" i="2"/>
  <c r="BI1919" i="2"/>
  <c r="BG1919" i="2"/>
  <c r="BF1919" i="2"/>
  <c r="BD1919" i="2"/>
  <c r="BC1919" i="2"/>
  <c r="BA1919" i="2"/>
  <c r="AZ1919" i="2"/>
  <c r="AX1919" i="2"/>
  <c r="AW1919" i="2"/>
  <c r="AU1919" i="2"/>
  <c r="AT1919" i="2"/>
  <c r="U1919" i="2"/>
  <c r="R1919" i="2"/>
  <c r="B1919" i="2"/>
  <c r="BV1918" i="2"/>
  <c r="BU1918" i="2"/>
  <c r="BS1918" i="2"/>
  <c r="BR1918" i="2"/>
  <c r="BP1918" i="2"/>
  <c r="BO1918" i="2"/>
  <c r="BM1918" i="2"/>
  <c r="BL1918" i="2"/>
  <c r="BJ1918" i="2"/>
  <c r="BI1918" i="2"/>
  <c r="BG1918" i="2"/>
  <c r="BF1918" i="2"/>
  <c r="BD1918" i="2"/>
  <c r="BC1918" i="2"/>
  <c r="BA1918" i="2"/>
  <c r="AZ1918" i="2"/>
  <c r="AX1918" i="2"/>
  <c r="AW1918" i="2"/>
  <c r="AU1918" i="2"/>
  <c r="AT1918" i="2"/>
  <c r="U1918" i="2"/>
  <c r="R1918" i="2"/>
  <c r="B1918" i="2"/>
  <c r="BV1917" i="2"/>
  <c r="BU1917" i="2"/>
  <c r="BS1917" i="2"/>
  <c r="BR1917" i="2"/>
  <c r="BP1917" i="2"/>
  <c r="BO1917" i="2"/>
  <c r="BM1917" i="2"/>
  <c r="BL1917" i="2"/>
  <c r="BJ1917" i="2"/>
  <c r="BI1917" i="2"/>
  <c r="BG1917" i="2"/>
  <c r="BF1917" i="2"/>
  <c r="BD1917" i="2"/>
  <c r="BC1917" i="2"/>
  <c r="BA1917" i="2"/>
  <c r="AZ1917" i="2"/>
  <c r="AX1917" i="2"/>
  <c r="AW1917" i="2"/>
  <c r="AU1917" i="2"/>
  <c r="AT1917" i="2"/>
  <c r="U1917" i="2"/>
  <c r="R1917" i="2"/>
  <c r="B1917" i="2"/>
  <c r="BV1916" i="2"/>
  <c r="BU1916" i="2"/>
  <c r="BS1916" i="2"/>
  <c r="BR1916" i="2"/>
  <c r="BP1916" i="2"/>
  <c r="BO1916" i="2"/>
  <c r="BM1916" i="2"/>
  <c r="BL1916" i="2"/>
  <c r="BJ1916" i="2"/>
  <c r="BI1916" i="2"/>
  <c r="BG1916" i="2"/>
  <c r="BF1916" i="2"/>
  <c r="BD1916" i="2"/>
  <c r="BC1916" i="2"/>
  <c r="BA1916" i="2"/>
  <c r="AZ1916" i="2"/>
  <c r="AX1916" i="2"/>
  <c r="AW1916" i="2"/>
  <c r="AU1916" i="2"/>
  <c r="AT1916" i="2"/>
  <c r="U1916" i="2"/>
  <c r="S1916" i="2"/>
  <c r="R1916" i="2"/>
  <c r="B1916" i="2"/>
  <c r="BV1915" i="2"/>
  <c r="BU1915" i="2"/>
  <c r="BS1915" i="2"/>
  <c r="BR1915" i="2"/>
  <c r="BP1915" i="2"/>
  <c r="BO1915" i="2"/>
  <c r="BM1915" i="2"/>
  <c r="BL1915" i="2"/>
  <c r="BJ1915" i="2"/>
  <c r="BI1915" i="2"/>
  <c r="BG1915" i="2"/>
  <c r="BF1915" i="2"/>
  <c r="BD1915" i="2"/>
  <c r="BC1915" i="2"/>
  <c r="BA1915" i="2"/>
  <c r="AZ1915" i="2"/>
  <c r="AX1915" i="2"/>
  <c r="AW1915" i="2"/>
  <c r="AU1915" i="2"/>
  <c r="AT1915" i="2"/>
  <c r="U1915" i="2"/>
  <c r="S1915" i="2"/>
  <c r="R1915" i="2"/>
  <c r="B1915" i="2"/>
  <c r="BV1914" i="2"/>
  <c r="BU1914" i="2"/>
  <c r="BS1914" i="2"/>
  <c r="BR1914" i="2"/>
  <c r="BP1914" i="2"/>
  <c r="BO1914" i="2"/>
  <c r="BM1914" i="2"/>
  <c r="BL1914" i="2"/>
  <c r="BJ1914" i="2"/>
  <c r="BI1914" i="2"/>
  <c r="BG1914" i="2"/>
  <c r="BF1914" i="2"/>
  <c r="BD1914" i="2"/>
  <c r="BC1914" i="2"/>
  <c r="BA1914" i="2"/>
  <c r="AZ1914" i="2"/>
  <c r="AX1914" i="2"/>
  <c r="AW1914" i="2"/>
  <c r="AU1914" i="2"/>
  <c r="AT1914" i="2"/>
  <c r="U1914" i="2"/>
  <c r="R1914" i="2"/>
  <c r="S1914" i="2" s="1"/>
  <c r="B1914" i="2"/>
  <c r="BV1913" i="2"/>
  <c r="BU1913" i="2"/>
  <c r="BS1913" i="2"/>
  <c r="BR1913" i="2"/>
  <c r="BP1913" i="2"/>
  <c r="BO1913" i="2"/>
  <c r="BM1913" i="2"/>
  <c r="BL1913" i="2"/>
  <c r="BJ1913" i="2"/>
  <c r="BI1913" i="2"/>
  <c r="BG1913" i="2"/>
  <c r="BF1913" i="2"/>
  <c r="BD1913" i="2"/>
  <c r="BC1913" i="2"/>
  <c r="BA1913" i="2"/>
  <c r="AZ1913" i="2"/>
  <c r="AX1913" i="2"/>
  <c r="AW1913" i="2"/>
  <c r="AU1913" i="2"/>
  <c r="AT1913" i="2"/>
  <c r="U1913" i="2"/>
  <c r="S1913" i="2"/>
  <c r="R1913" i="2"/>
  <c r="B1913" i="2"/>
  <c r="BV1912" i="2"/>
  <c r="BU1912" i="2"/>
  <c r="BS1912" i="2"/>
  <c r="BR1912" i="2"/>
  <c r="BP1912" i="2"/>
  <c r="BO1912" i="2"/>
  <c r="BM1912" i="2"/>
  <c r="BL1912" i="2"/>
  <c r="BJ1912" i="2"/>
  <c r="BI1912" i="2"/>
  <c r="BG1912" i="2"/>
  <c r="BF1912" i="2"/>
  <c r="BD1912" i="2"/>
  <c r="BC1912" i="2"/>
  <c r="BA1912" i="2"/>
  <c r="AZ1912" i="2"/>
  <c r="AX1912" i="2"/>
  <c r="AW1912" i="2"/>
  <c r="AU1912" i="2"/>
  <c r="AT1912" i="2"/>
  <c r="U1912" i="2"/>
  <c r="R1912" i="2"/>
  <c r="S1912" i="2" s="1"/>
  <c r="B1912" i="2"/>
  <c r="BV1911" i="2"/>
  <c r="BU1911" i="2"/>
  <c r="BS1911" i="2"/>
  <c r="BR1911" i="2"/>
  <c r="BP1911" i="2"/>
  <c r="BO1911" i="2"/>
  <c r="BM1911" i="2"/>
  <c r="BL1911" i="2"/>
  <c r="BJ1911" i="2"/>
  <c r="BI1911" i="2"/>
  <c r="BG1911" i="2"/>
  <c r="BF1911" i="2"/>
  <c r="BD1911" i="2"/>
  <c r="BC1911" i="2"/>
  <c r="BA1911" i="2"/>
  <c r="AZ1911" i="2"/>
  <c r="AX1911" i="2"/>
  <c r="AW1911" i="2"/>
  <c r="AU1911" i="2"/>
  <c r="AT1911" i="2"/>
  <c r="U1911" i="2"/>
  <c r="S1911" i="2"/>
  <c r="R1911" i="2"/>
  <c r="B1911" i="2"/>
  <c r="BV1910" i="2"/>
  <c r="BU1910" i="2"/>
  <c r="BS1910" i="2"/>
  <c r="BR1910" i="2"/>
  <c r="BP1910" i="2"/>
  <c r="BO1910" i="2"/>
  <c r="BO1926" i="2" s="1"/>
  <c r="BM1910" i="2"/>
  <c r="BL1910" i="2"/>
  <c r="BJ1910" i="2"/>
  <c r="BI1910" i="2"/>
  <c r="BG1910" i="2"/>
  <c r="BF1910" i="2"/>
  <c r="BD1910" i="2"/>
  <c r="BC1910" i="2"/>
  <c r="BA1910" i="2"/>
  <c r="AZ1910" i="2"/>
  <c r="AX1910" i="2"/>
  <c r="AW1910" i="2"/>
  <c r="AW1926" i="2" s="1"/>
  <c r="AU1910" i="2"/>
  <c r="AT1910" i="2"/>
  <c r="U1910" i="2"/>
  <c r="R1910" i="2"/>
  <c r="S1910" i="2" s="1"/>
  <c r="B1910" i="2"/>
  <c r="BV1909" i="2"/>
  <c r="BU1909" i="2"/>
  <c r="BS1909" i="2"/>
  <c r="BR1909" i="2"/>
  <c r="BP1909" i="2"/>
  <c r="BO1909" i="2"/>
  <c r="BM1909" i="2"/>
  <c r="BL1909" i="2"/>
  <c r="BJ1909" i="2"/>
  <c r="BI1909" i="2"/>
  <c r="BG1909" i="2"/>
  <c r="BF1909" i="2"/>
  <c r="BD1909" i="2"/>
  <c r="BC1909" i="2"/>
  <c r="BA1909" i="2"/>
  <c r="AZ1909" i="2"/>
  <c r="AX1909" i="2"/>
  <c r="AW1909" i="2"/>
  <c r="AU1909" i="2"/>
  <c r="AT1909" i="2"/>
  <c r="U1909" i="2"/>
  <c r="S1909" i="2"/>
  <c r="R1909" i="2"/>
  <c r="B1909" i="2"/>
  <c r="BV1908" i="2"/>
  <c r="BU1908" i="2"/>
  <c r="BS1908" i="2"/>
  <c r="BR1908" i="2"/>
  <c r="BP1908" i="2"/>
  <c r="BO1908" i="2"/>
  <c r="BM1908" i="2"/>
  <c r="BL1908" i="2"/>
  <c r="BJ1908" i="2"/>
  <c r="BI1908" i="2"/>
  <c r="BG1908" i="2"/>
  <c r="BF1908" i="2"/>
  <c r="BD1908" i="2"/>
  <c r="BC1908" i="2"/>
  <c r="BA1908" i="2"/>
  <c r="AZ1908" i="2"/>
  <c r="AX1908" i="2"/>
  <c r="AW1908" i="2"/>
  <c r="AU1908" i="2"/>
  <c r="AT1908" i="2"/>
  <c r="U1908" i="2"/>
  <c r="R1908" i="2"/>
  <c r="S1908" i="2" s="1"/>
  <c r="B1908" i="2"/>
  <c r="BV1907" i="2"/>
  <c r="BU1907" i="2"/>
  <c r="BS1907" i="2"/>
  <c r="BS1933" i="2" s="1"/>
  <c r="BS1932" i="2" s="1"/>
  <c r="BR1907" i="2"/>
  <c r="BP1907" i="2"/>
  <c r="BO1907" i="2"/>
  <c r="BM1907" i="2"/>
  <c r="BL1907" i="2"/>
  <c r="BJ1907" i="2"/>
  <c r="BI1907" i="2"/>
  <c r="BG1907" i="2"/>
  <c r="BF1907" i="2"/>
  <c r="BD1907" i="2"/>
  <c r="BC1907" i="2"/>
  <c r="BA1907" i="2"/>
  <c r="AZ1907" i="2"/>
  <c r="AX1907" i="2"/>
  <c r="AW1907" i="2"/>
  <c r="AU1907" i="2"/>
  <c r="AT1907" i="2"/>
  <c r="U1907" i="2"/>
  <c r="S1907" i="2"/>
  <c r="R1907" i="2"/>
  <c r="B1907" i="2"/>
  <c r="BV1906" i="2"/>
  <c r="BU1906" i="2"/>
  <c r="BS1906" i="2"/>
  <c r="BS1926" i="2" s="1"/>
  <c r="BR1906" i="2"/>
  <c r="BP1906" i="2"/>
  <c r="BO1906" i="2"/>
  <c r="BO1933" i="2" s="1"/>
  <c r="BO1932" i="2" s="1"/>
  <c r="BO1931" i="2" s="1"/>
  <c r="BM1906" i="2"/>
  <c r="BM1933" i="2" s="1"/>
  <c r="BM1932" i="2" s="1"/>
  <c r="BL1906" i="2"/>
  <c r="BL1933" i="2" s="1"/>
  <c r="BL1932" i="2" s="1"/>
  <c r="BJ1906" i="2"/>
  <c r="BI1906" i="2"/>
  <c r="BG1906" i="2"/>
  <c r="BG1926" i="2" s="1"/>
  <c r="BF1906" i="2"/>
  <c r="BF1926" i="2" s="1"/>
  <c r="BD1906" i="2"/>
  <c r="BC1906" i="2"/>
  <c r="BA1906" i="2"/>
  <c r="AZ1906" i="2"/>
  <c r="AX1906" i="2"/>
  <c r="AW1906" i="2"/>
  <c r="AW1933" i="2" s="1"/>
  <c r="AW1932" i="2" s="1"/>
  <c r="AW1931" i="2" s="1"/>
  <c r="AU1906" i="2"/>
  <c r="AU1933" i="2" s="1"/>
  <c r="AU1932" i="2" s="1"/>
  <c r="AT1906" i="2"/>
  <c r="AT1933" i="2" s="1"/>
  <c r="AT1932" i="2" s="1"/>
  <c r="U1906" i="2"/>
  <c r="AR1906" i="2" s="1"/>
  <c r="R1906" i="2"/>
  <c r="B1906" i="2"/>
  <c r="AQ1903" i="2"/>
  <c r="BL1899" i="2"/>
  <c r="BL1898" i="2" s="1"/>
  <c r="BV1891" i="2"/>
  <c r="BU1891" i="2"/>
  <c r="BS1891" i="2"/>
  <c r="BR1891" i="2"/>
  <c r="BP1891" i="2"/>
  <c r="BO1891" i="2"/>
  <c r="BM1891" i="2"/>
  <c r="BL1891" i="2"/>
  <c r="BJ1891" i="2"/>
  <c r="BI1891" i="2"/>
  <c r="BG1891" i="2"/>
  <c r="BF1891" i="2"/>
  <c r="BD1891" i="2"/>
  <c r="BC1891" i="2"/>
  <c r="BA1891" i="2"/>
  <c r="AZ1891" i="2"/>
  <c r="AX1891" i="2"/>
  <c r="AW1891" i="2"/>
  <c r="AU1891" i="2"/>
  <c r="AT1891" i="2"/>
  <c r="U1891" i="2"/>
  <c r="R1891" i="2"/>
  <c r="B1891" i="2"/>
  <c r="BV1890" i="2"/>
  <c r="BU1890" i="2"/>
  <c r="BS1890" i="2"/>
  <c r="BR1890" i="2"/>
  <c r="BP1890" i="2"/>
  <c r="BO1890" i="2"/>
  <c r="BM1890" i="2"/>
  <c r="BL1890" i="2"/>
  <c r="BJ1890" i="2"/>
  <c r="BI1890" i="2"/>
  <c r="BG1890" i="2"/>
  <c r="BF1890" i="2"/>
  <c r="BD1890" i="2"/>
  <c r="BC1890" i="2"/>
  <c r="BA1890" i="2"/>
  <c r="AZ1890" i="2"/>
  <c r="AX1890" i="2"/>
  <c r="AW1890" i="2"/>
  <c r="AU1890" i="2"/>
  <c r="AT1890" i="2"/>
  <c r="U1890" i="2"/>
  <c r="S1890" i="2"/>
  <c r="R1890" i="2"/>
  <c r="B1890" i="2"/>
  <c r="BV1889" i="2"/>
  <c r="BU1889" i="2"/>
  <c r="BS1889" i="2"/>
  <c r="BR1889" i="2"/>
  <c r="BP1889" i="2"/>
  <c r="BO1889" i="2"/>
  <c r="BM1889" i="2"/>
  <c r="BL1889" i="2"/>
  <c r="BJ1889" i="2"/>
  <c r="BI1889" i="2"/>
  <c r="BG1889" i="2"/>
  <c r="BF1889" i="2"/>
  <c r="BD1889" i="2"/>
  <c r="BC1889" i="2"/>
  <c r="BA1889" i="2"/>
  <c r="AZ1889" i="2"/>
  <c r="AX1889" i="2"/>
  <c r="AW1889" i="2"/>
  <c r="AU1889" i="2"/>
  <c r="AT1889" i="2"/>
  <c r="U1889" i="2"/>
  <c r="S1889" i="2"/>
  <c r="R1889" i="2"/>
  <c r="B1889" i="2"/>
  <c r="BV1888" i="2"/>
  <c r="BU1888" i="2"/>
  <c r="BS1888" i="2"/>
  <c r="BR1888" i="2"/>
  <c r="BP1888" i="2"/>
  <c r="BO1888" i="2"/>
  <c r="BM1888" i="2"/>
  <c r="BL1888" i="2"/>
  <c r="BJ1888" i="2"/>
  <c r="BI1888" i="2"/>
  <c r="BG1888" i="2"/>
  <c r="BF1888" i="2"/>
  <c r="BD1888" i="2"/>
  <c r="BC1888" i="2"/>
  <c r="BA1888" i="2"/>
  <c r="AZ1888" i="2"/>
  <c r="AX1888" i="2"/>
  <c r="AW1888" i="2"/>
  <c r="AU1888" i="2"/>
  <c r="AT1888" i="2"/>
  <c r="U1888" i="2"/>
  <c r="R1888" i="2"/>
  <c r="S1888" i="2" s="1"/>
  <c r="B1888" i="2"/>
  <c r="BV1887" i="2"/>
  <c r="BU1887" i="2"/>
  <c r="BS1887" i="2"/>
  <c r="BR1887" i="2"/>
  <c r="BP1887" i="2"/>
  <c r="BO1887" i="2"/>
  <c r="BM1887" i="2"/>
  <c r="BL1887" i="2"/>
  <c r="BJ1887" i="2"/>
  <c r="BI1887" i="2"/>
  <c r="BG1887" i="2"/>
  <c r="BF1887" i="2"/>
  <c r="BD1887" i="2"/>
  <c r="BC1887" i="2"/>
  <c r="BA1887" i="2"/>
  <c r="AZ1887" i="2"/>
  <c r="AX1887" i="2"/>
  <c r="AW1887" i="2"/>
  <c r="AU1887" i="2"/>
  <c r="AT1887" i="2"/>
  <c r="U1887" i="2"/>
  <c r="S1887" i="2"/>
  <c r="R1887" i="2"/>
  <c r="B1887" i="2"/>
  <c r="BV1886" i="2"/>
  <c r="BU1886" i="2"/>
  <c r="BS1886" i="2"/>
  <c r="BR1886" i="2"/>
  <c r="BP1886" i="2"/>
  <c r="BO1886" i="2"/>
  <c r="BM1886" i="2"/>
  <c r="BL1886" i="2"/>
  <c r="BJ1886" i="2"/>
  <c r="BI1886" i="2"/>
  <c r="BG1886" i="2"/>
  <c r="BF1886" i="2"/>
  <c r="BD1886" i="2"/>
  <c r="BC1886" i="2"/>
  <c r="BA1886" i="2"/>
  <c r="AZ1886" i="2"/>
  <c r="AX1886" i="2"/>
  <c r="AW1886" i="2"/>
  <c r="AU1886" i="2"/>
  <c r="AT1886" i="2"/>
  <c r="U1886" i="2"/>
  <c r="S1886" i="2"/>
  <c r="R1886" i="2"/>
  <c r="B1886" i="2"/>
  <c r="BV1885" i="2"/>
  <c r="BU1885" i="2"/>
  <c r="BS1885" i="2"/>
  <c r="BR1885" i="2"/>
  <c r="BP1885" i="2"/>
  <c r="BO1885" i="2"/>
  <c r="BM1885" i="2"/>
  <c r="BL1885" i="2"/>
  <c r="BJ1885" i="2"/>
  <c r="BI1885" i="2"/>
  <c r="BG1885" i="2"/>
  <c r="BF1885" i="2"/>
  <c r="BD1885" i="2"/>
  <c r="BC1885" i="2"/>
  <c r="BA1885" i="2"/>
  <c r="AZ1885" i="2"/>
  <c r="AX1885" i="2"/>
  <c r="AW1885" i="2"/>
  <c r="AU1885" i="2"/>
  <c r="AT1885" i="2"/>
  <c r="U1885" i="2"/>
  <c r="S1885" i="2"/>
  <c r="R1885" i="2"/>
  <c r="B1885" i="2"/>
  <c r="BV1884" i="2"/>
  <c r="BU1884" i="2"/>
  <c r="BS1884" i="2"/>
  <c r="BR1884" i="2"/>
  <c r="BP1884" i="2"/>
  <c r="BO1884" i="2"/>
  <c r="BM1884" i="2"/>
  <c r="BL1884" i="2"/>
  <c r="BJ1884" i="2"/>
  <c r="BI1884" i="2"/>
  <c r="BG1884" i="2"/>
  <c r="BF1884" i="2"/>
  <c r="BD1884" i="2"/>
  <c r="BC1884" i="2"/>
  <c r="BA1884" i="2"/>
  <c r="AZ1884" i="2"/>
  <c r="AX1884" i="2"/>
  <c r="AW1884" i="2"/>
  <c r="AU1884" i="2"/>
  <c r="AT1884" i="2"/>
  <c r="U1884" i="2"/>
  <c r="S1884" i="2"/>
  <c r="R1884" i="2"/>
  <c r="B1884" i="2"/>
  <c r="BV1883" i="2"/>
  <c r="BU1883" i="2"/>
  <c r="BS1883" i="2"/>
  <c r="BR1883" i="2"/>
  <c r="BP1883" i="2"/>
  <c r="BO1883" i="2"/>
  <c r="BM1883" i="2"/>
  <c r="BL1883" i="2"/>
  <c r="BJ1883" i="2"/>
  <c r="BI1883" i="2"/>
  <c r="BG1883" i="2"/>
  <c r="BF1883" i="2"/>
  <c r="BD1883" i="2"/>
  <c r="BC1883" i="2"/>
  <c r="BA1883" i="2"/>
  <c r="AZ1883" i="2"/>
  <c r="AX1883" i="2"/>
  <c r="AW1883" i="2"/>
  <c r="AU1883" i="2"/>
  <c r="AT1883" i="2"/>
  <c r="U1883" i="2"/>
  <c r="S1883" i="2"/>
  <c r="R1883" i="2"/>
  <c r="B1883" i="2"/>
  <c r="BV1882" i="2"/>
  <c r="BU1882" i="2"/>
  <c r="BS1882" i="2"/>
  <c r="BR1882" i="2"/>
  <c r="BP1882" i="2"/>
  <c r="BO1882" i="2"/>
  <c r="BM1882" i="2"/>
  <c r="BL1882" i="2"/>
  <c r="BJ1882" i="2"/>
  <c r="BI1882" i="2"/>
  <c r="BG1882" i="2"/>
  <c r="BF1882" i="2"/>
  <c r="BD1882" i="2"/>
  <c r="BC1882" i="2"/>
  <c r="BA1882" i="2"/>
  <c r="AZ1882" i="2"/>
  <c r="AX1882" i="2"/>
  <c r="AW1882" i="2"/>
  <c r="AU1882" i="2"/>
  <c r="AT1882" i="2"/>
  <c r="U1882" i="2"/>
  <c r="R1882" i="2"/>
  <c r="S1882" i="2" s="1"/>
  <c r="B1882" i="2"/>
  <c r="BV1881" i="2"/>
  <c r="BU1881" i="2"/>
  <c r="BS1881" i="2"/>
  <c r="BR1881" i="2"/>
  <c r="BP1881" i="2"/>
  <c r="BO1881" i="2"/>
  <c r="BM1881" i="2"/>
  <c r="BL1881" i="2"/>
  <c r="BJ1881" i="2"/>
  <c r="BI1881" i="2"/>
  <c r="BG1881" i="2"/>
  <c r="BF1881" i="2"/>
  <c r="BD1881" i="2"/>
  <c r="BC1881" i="2"/>
  <c r="BA1881" i="2"/>
  <c r="AZ1881" i="2"/>
  <c r="AX1881" i="2"/>
  <c r="AW1881" i="2"/>
  <c r="AU1881" i="2"/>
  <c r="AT1881" i="2"/>
  <c r="U1881" i="2"/>
  <c r="R1881" i="2"/>
  <c r="B1881" i="2"/>
  <c r="BV1880" i="2"/>
  <c r="BU1880" i="2"/>
  <c r="BS1880" i="2"/>
  <c r="BR1880" i="2"/>
  <c r="BP1880" i="2"/>
  <c r="BO1880" i="2"/>
  <c r="BM1880" i="2"/>
  <c r="BL1880" i="2"/>
  <c r="BJ1880" i="2"/>
  <c r="BI1880" i="2"/>
  <c r="BG1880" i="2"/>
  <c r="BF1880" i="2"/>
  <c r="BD1880" i="2"/>
  <c r="BC1880" i="2"/>
  <c r="BA1880" i="2"/>
  <c r="AZ1880" i="2"/>
  <c r="AX1880" i="2"/>
  <c r="AW1880" i="2"/>
  <c r="AU1880" i="2"/>
  <c r="AT1880" i="2"/>
  <c r="U1880" i="2"/>
  <c r="R1880" i="2"/>
  <c r="B1880" i="2"/>
  <c r="BV1879" i="2"/>
  <c r="BU1879" i="2"/>
  <c r="BS1879" i="2"/>
  <c r="BR1879" i="2"/>
  <c r="BP1879" i="2"/>
  <c r="BO1879" i="2"/>
  <c r="BM1879" i="2"/>
  <c r="BL1879" i="2"/>
  <c r="BJ1879" i="2"/>
  <c r="BI1879" i="2"/>
  <c r="BG1879" i="2"/>
  <c r="BF1879" i="2"/>
  <c r="BD1879" i="2"/>
  <c r="BC1879" i="2"/>
  <c r="BA1879" i="2"/>
  <c r="AZ1879" i="2"/>
  <c r="AX1879" i="2"/>
  <c r="AW1879" i="2"/>
  <c r="AU1879" i="2"/>
  <c r="AT1879" i="2"/>
  <c r="U1879" i="2"/>
  <c r="R1879" i="2"/>
  <c r="B1879" i="2"/>
  <c r="BV1878" i="2"/>
  <c r="BU1878" i="2"/>
  <c r="BS1878" i="2"/>
  <c r="BR1878" i="2"/>
  <c r="BP1878" i="2"/>
  <c r="BO1878" i="2"/>
  <c r="BM1878" i="2"/>
  <c r="BL1878" i="2"/>
  <c r="BJ1878" i="2"/>
  <c r="BI1878" i="2"/>
  <c r="BG1878" i="2"/>
  <c r="BG1892" i="2" s="1"/>
  <c r="BF1878" i="2"/>
  <c r="BD1878" i="2"/>
  <c r="BC1878" i="2"/>
  <c r="BA1878" i="2"/>
  <c r="AZ1878" i="2"/>
  <c r="AX1878" i="2"/>
  <c r="AW1878" i="2"/>
  <c r="AU1878" i="2"/>
  <c r="AT1878" i="2"/>
  <c r="U1878" i="2"/>
  <c r="S1878" i="2"/>
  <c r="R1878" i="2"/>
  <c r="B1878" i="2"/>
  <c r="BV1877" i="2"/>
  <c r="BU1877" i="2"/>
  <c r="BS1877" i="2"/>
  <c r="BR1877" i="2"/>
  <c r="BP1877" i="2"/>
  <c r="BO1877" i="2"/>
  <c r="BM1877" i="2"/>
  <c r="BL1877" i="2"/>
  <c r="BJ1877" i="2"/>
  <c r="BI1877" i="2"/>
  <c r="BG1877" i="2"/>
  <c r="BF1877" i="2"/>
  <c r="BD1877" i="2"/>
  <c r="BC1877" i="2"/>
  <c r="BA1877" i="2"/>
  <c r="AZ1877" i="2"/>
  <c r="AX1877" i="2"/>
  <c r="AW1877" i="2"/>
  <c r="AU1877" i="2"/>
  <c r="AT1877" i="2"/>
  <c r="U1877" i="2"/>
  <c r="S1877" i="2"/>
  <c r="R1877" i="2"/>
  <c r="B1877" i="2"/>
  <c r="BV1876" i="2"/>
  <c r="BU1876" i="2"/>
  <c r="BS1876" i="2"/>
  <c r="BR1876" i="2"/>
  <c r="BP1876" i="2"/>
  <c r="BO1876" i="2"/>
  <c r="BM1876" i="2"/>
  <c r="BL1876" i="2"/>
  <c r="BJ1876" i="2"/>
  <c r="BI1876" i="2"/>
  <c r="BI1892" i="2" s="1"/>
  <c r="BI1894" i="2" s="1"/>
  <c r="BG1876" i="2"/>
  <c r="BF1876" i="2"/>
  <c r="BD1876" i="2"/>
  <c r="BC1876" i="2"/>
  <c r="BA1876" i="2"/>
  <c r="AZ1876" i="2"/>
  <c r="AX1876" i="2"/>
  <c r="AW1876" i="2"/>
  <c r="AU1876" i="2"/>
  <c r="AT1876" i="2"/>
  <c r="U1876" i="2"/>
  <c r="R1876" i="2"/>
  <c r="S1876" i="2" s="1"/>
  <c r="B1876" i="2"/>
  <c r="BV1875" i="2"/>
  <c r="BU1875" i="2"/>
  <c r="BS1875" i="2"/>
  <c r="BR1875" i="2"/>
  <c r="BP1875" i="2"/>
  <c r="BO1875" i="2"/>
  <c r="BM1875" i="2"/>
  <c r="BL1875" i="2"/>
  <c r="BJ1875" i="2"/>
  <c r="BI1875" i="2"/>
  <c r="BG1875" i="2"/>
  <c r="BF1875" i="2"/>
  <c r="BD1875" i="2"/>
  <c r="BC1875" i="2"/>
  <c r="BA1875" i="2"/>
  <c r="AZ1875" i="2"/>
  <c r="AX1875" i="2"/>
  <c r="AW1875" i="2"/>
  <c r="AU1875" i="2"/>
  <c r="AT1875" i="2"/>
  <c r="AT1899" i="2" s="1"/>
  <c r="AT1898" i="2" s="1"/>
  <c r="U1875" i="2"/>
  <c r="S1875" i="2"/>
  <c r="R1875" i="2"/>
  <c r="B1875" i="2"/>
  <c r="BV1874" i="2"/>
  <c r="BU1874" i="2"/>
  <c r="BS1874" i="2"/>
  <c r="BR1874" i="2"/>
  <c r="BP1874" i="2"/>
  <c r="BO1874" i="2"/>
  <c r="BM1874" i="2"/>
  <c r="BL1874" i="2"/>
  <c r="BJ1874" i="2"/>
  <c r="BI1874" i="2"/>
  <c r="BG1874" i="2"/>
  <c r="BF1874" i="2"/>
  <c r="BD1874" i="2"/>
  <c r="BC1874" i="2"/>
  <c r="BA1874" i="2"/>
  <c r="AZ1874" i="2"/>
  <c r="AX1874" i="2"/>
  <c r="AW1874" i="2"/>
  <c r="AU1874" i="2"/>
  <c r="AT1874" i="2"/>
  <c r="U1874" i="2"/>
  <c r="S1874" i="2"/>
  <c r="R1874" i="2"/>
  <c r="B1874" i="2"/>
  <c r="BV1873" i="2"/>
  <c r="BU1873" i="2"/>
  <c r="BS1873" i="2"/>
  <c r="BR1873" i="2"/>
  <c r="BP1873" i="2"/>
  <c r="BO1873" i="2"/>
  <c r="BM1873" i="2"/>
  <c r="BL1873" i="2"/>
  <c r="BJ1873" i="2"/>
  <c r="BI1873" i="2"/>
  <c r="BG1873" i="2"/>
  <c r="BF1873" i="2"/>
  <c r="BD1873" i="2"/>
  <c r="BC1873" i="2"/>
  <c r="BA1873" i="2"/>
  <c r="AZ1873" i="2"/>
  <c r="AX1873" i="2"/>
  <c r="AW1873" i="2"/>
  <c r="AU1873" i="2"/>
  <c r="AT1873" i="2"/>
  <c r="U1873" i="2"/>
  <c r="S1873" i="2"/>
  <c r="R1873" i="2"/>
  <c r="B1873" i="2"/>
  <c r="BV1872" i="2"/>
  <c r="BU1872" i="2"/>
  <c r="BS1872" i="2"/>
  <c r="BS1892" i="2" s="1"/>
  <c r="BR1872" i="2"/>
  <c r="BP1872" i="2"/>
  <c r="BO1872" i="2"/>
  <c r="BO1892" i="2" s="1"/>
  <c r="BM1872" i="2"/>
  <c r="BL1872" i="2"/>
  <c r="BJ1872" i="2"/>
  <c r="BI1872" i="2"/>
  <c r="BI1899" i="2" s="1"/>
  <c r="BI1898" i="2" s="1"/>
  <c r="BG1872" i="2"/>
  <c r="BG1899" i="2" s="1"/>
  <c r="BG1898" i="2" s="1"/>
  <c r="BG1897" i="2" s="1"/>
  <c r="BF1872" i="2"/>
  <c r="BF1899" i="2" s="1"/>
  <c r="BF1898" i="2" s="1"/>
  <c r="BD1872" i="2"/>
  <c r="BC1872" i="2"/>
  <c r="BA1872" i="2"/>
  <c r="BA1892" i="2" s="1"/>
  <c r="AZ1872" i="2"/>
  <c r="AX1872" i="2"/>
  <c r="AW1872" i="2"/>
  <c r="AW1892" i="2" s="1"/>
  <c r="AU1872" i="2"/>
  <c r="AT1872" i="2"/>
  <c r="AR1872" i="2"/>
  <c r="U1872" i="2"/>
  <c r="S1872" i="2"/>
  <c r="R1872" i="2"/>
  <c r="R1897" i="2" s="1"/>
  <c r="B1872" i="2"/>
  <c r="AQ1869" i="2"/>
  <c r="BC1856" i="2"/>
  <c r="BV1855" i="2"/>
  <c r="BU1855" i="2"/>
  <c r="BS1855" i="2"/>
  <c r="BR1855" i="2"/>
  <c r="BP1855" i="2"/>
  <c r="BO1855" i="2"/>
  <c r="BM1855" i="2"/>
  <c r="BL1855" i="2"/>
  <c r="BJ1855" i="2"/>
  <c r="BI1855" i="2"/>
  <c r="BG1855" i="2"/>
  <c r="BF1855" i="2"/>
  <c r="BD1855" i="2"/>
  <c r="BC1855" i="2"/>
  <c r="BA1855" i="2"/>
  <c r="AZ1855" i="2"/>
  <c r="AX1855" i="2"/>
  <c r="AW1855" i="2"/>
  <c r="AU1855" i="2"/>
  <c r="AT1855" i="2"/>
  <c r="U1855" i="2"/>
  <c r="S1855" i="2"/>
  <c r="R1855" i="2"/>
  <c r="B1855" i="2"/>
  <c r="BV1854" i="2"/>
  <c r="BU1854" i="2"/>
  <c r="BS1854" i="2"/>
  <c r="BR1854" i="2"/>
  <c r="BP1854" i="2"/>
  <c r="BO1854" i="2"/>
  <c r="BM1854" i="2"/>
  <c r="BL1854" i="2"/>
  <c r="BJ1854" i="2"/>
  <c r="BI1854" i="2"/>
  <c r="BG1854" i="2"/>
  <c r="BF1854" i="2"/>
  <c r="BD1854" i="2"/>
  <c r="BC1854" i="2"/>
  <c r="BA1854" i="2"/>
  <c r="AZ1854" i="2"/>
  <c r="AX1854" i="2"/>
  <c r="AW1854" i="2"/>
  <c r="AU1854" i="2"/>
  <c r="AT1854" i="2"/>
  <c r="U1854" i="2"/>
  <c r="S1854" i="2"/>
  <c r="R1854" i="2"/>
  <c r="B1854" i="2"/>
  <c r="BV1853" i="2"/>
  <c r="BU1853" i="2"/>
  <c r="BS1853" i="2"/>
  <c r="BR1853" i="2"/>
  <c r="BP1853" i="2"/>
  <c r="BO1853" i="2"/>
  <c r="BM1853" i="2"/>
  <c r="BL1853" i="2"/>
  <c r="BJ1853" i="2"/>
  <c r="BI1853" i="2"/>
  <c r="BG1853" i="2"/>
  <c r="BF1853" i="2"/>
  <c r="BD1853" i="2"/>
  <c r="BC1853" i="2"/>
  <c r="BA1853" i="2"/>
  <c r="AZ1853" i="2"/>
  <c r="AX1853" i="2"/>
  <c r="AW1853" i="2"/>
  <c r="AU1853" i="2"/>
  <c r="AT1853" i="2"/>
  <c r="U1853" i="2"/>
  <c r="R1853" i="2"/>
  <c r="B1853" i="2"/>
  <c r="BV1852" i="2"/>
  <c r="BU1852" i="2"/>
  <c r="BS1852" i="2"/>
  <c r="BR1852" i="2"/>
  <c r="BP1852" i="2"/>
  <c r="BO1852" i="2"/>
  <c r="BM1852" i="2"/>
  <c r="BL1852" i="2"/>
  <c r="BJ1852" i="2"/>
  <c r="BI1852" i="2"/>
  <c r="BG1852" i="2"/>
  <c r="BF1852" i="2"/>
  <c r="BD1852" i="2"/>
  <c r="BC1852" i="2"/>
  <c r="BA1852" i="2"/>
  <c r="AZ1852" i="2"/>
  <c r="AX1852" i="2"/>
  <c r="AW1852" i="2"/>
  <c r="AU1852" i="2"/>
  <c r="AT1852" i="2"/>
  <c r="U1852" i="2"/>
  <c r="R1852" i="2"/>
  <c r="B1852" i="2"/>
  <c r="BV1851" i="2"/>
  <c r="BU1851" i="2"/>
  <c r="BS1851" i="2"/>
  <c r="BR1851" i="2"/>
  <c r="BP1851" i="2"/>
  <c r="BO1851" i="2"/>
  <c r="BM1851" i="2"/>
  <c r="BL1851" i="2"/>
  <c r="BJ1851" i="2"/>
  <c r="BI1851" i="2"/>
  <c r="BG1851" i="2"/>
  <c r="BF1851" i="2"/>
  <c r="BD1851" i="2"/>
  <c r="BC1851" i="2"/>
  <c r="BA1851" i="2"/>
  <c r="AZ1851" i="2"/>
  <c r="AX1851" i="2"/>
  <c r="AW1851" i="2"/>
  <c r="AU1851" i="2"/>
  <c r="AT1851" i="2"/>
  <c r="U1851" i="2"/>
  <c r="R1851" i="2"/>
  <c r="B1851" i="2"/>
  <c r="BV1850" i="2"/>
  <c r="BU1850" i="2"/>
  <c r="BS1850" i="2"/>
  <c r="BR1850" i="2"/>
  <c r="BP1850" i="2"/>
  <c r="BO1850" i="2"/>
  <c r="BM1850" i="2"/>
  <c r="BL1850" i="2"/>
  <c r="BJ1850" i="2"/>
  <c r="BI1850" i="2"/>
  <c r="BG1850" i="2"/>
  <c r="BF1850" i="2"/>
  <c r="BD1850" i="2"/>
  <c r="BC1850" i="2"/>
  <c r="BA1850" i="2"/>
  <c r="AZ1850" i="2"/>
  <c r="AX1850" i="2"/>
  <c r="AW1850" i="2"/>
  <c r="AU1850" i="2"/>
  <c r="AT1850" i="2"/>
  <c r="U1850" i="2"/>
  <c r="R1850" i="2"/>
  <c r="B1850" i="2"/>
  <c r="BV1849" i="2"/>
  <c r="BU1849" i="2"/>
  <c r="BS1849" i="2"/>
  <c r="BR1849" i="2"/>
  <c r="BP1849" i="2"/>
  <c r="BO1849" i="2"/>
  <c r="BM1849" i="2"/>
  <c r="BL1849" i="2"/>
  <c r="BJ1849" i="2"/>
  <c r="BI1849" i="2"/>
  <c r="BG1849" i="2"/>
  <c r="BF1849" i="2"/>
  <c r="BD1849" i="2"/>
  <c r="BC1849" i="2"/>
  <c r="BA1849" i="2"/>
  <c r="AZ1849" i="2"/>
  <c r="AX1849" i="2"/>
  <c r="AW1849" i="2"/>
  <c r="AU1849" i="2"/>
  <c r="AT1849" i="2"/>
  <c r="U1849" i="2"/>
  <c r="S1849" i="2"/>
  <c r="R1849" i="2"/>
  <c r="B1849" i="2"/>
  <c r="BV1848" i="2"/>
  <c r="BU1848" i="2"/>
  <c r="BS1848" i="2"/>
  <c r="BR1848" i="2"/>
  <c r="BP1848" i="2"/>
  <c r="BO1848" i="2"/>
  <c r="BM1848" i="2"/>
  <c r="BL1848" i="2"/>
  <c r="BJ1848" i="2"/>
  <c r="BI1848" i="2"/>
  <c r="BG1848" i="2"/>
  <c r="BF1848" i="2"/>
  <c r="BD1848" i="2"/>
  <c r="BC1848" i="2"/>
  <c r="BA1848" i="2"/>
  <c r="AZ1848" i="2"/>
  <c r="AX1848" i="2"/>
  <c r="AW1848" i="2"/>
  <c r="AU1848" i="2"/>
  <c r="AT1848" i="2"/>
  <c r="U1848" i="2"/>
  <c r="R1848" i="2"/>
  <c r="S1848" i="2" s="1"/>
  <c r="B1848" i="2"/>
  <c r="BV1847" i="2"/>
  <c r="BU1847" i="2"/>
  <c r="BS1847" i="2"/>
  <c r="BR1847" i="2"/>
  <c r="BP1847" i="2"/>
  <c r="BO1847" i="2"/>
  <c r="BM1847" i="2"/>
  <c r="BL1847" i="2"/>
  <c r="BJ1847" i="2"/>
  <c r="BI1847" i="2"/>
  <c r="BG1847" i="2"/>
  <c r="BF1847" i="2"/>
  <c r="BD1847" i="2"/>
  <c r="BC1847" i="2"/>
  <c r="BA1847" i="2"/>
  <c r="AZ1847" i="2"/>
  <c r="AX1847" i="2"/>
  <c r="AW1847" i="2"/>
  <c r="AU1847" i="2"/>
  <c r="AT1847" i="2"/>
  <c r="U1847" i="2"/>
  <c r="S1847" i="2"/>
  <c r="R1847" i="2"/>
  <c r="B1847" i="2"/>
  <c r="BV1846" i="2"/>
  <c r="BU1846" i="2"/>
  <c r="BS1846" i="2"/>
  <c r="BR1846" i="2"/>
  <c r="BP1846" i="2"/>
  <c r="BO1846" i="2"/>
  <c r="BM1846" i="2"/>
  <c r="BL1846" i="2"/>
  <c r="BJ1846" i="2"/>
  <c r="BI1846" i="2"/>
  <c r="BG1846" i="2"/>
  <c r="BF1846" i="2"/>
  <c r="BD1846" i="2"/>
  <c r="BC1846" i="2"/>
  <c r="BA1846" i="2"/>
  <c r="AZ1846" i="2"/>
  <c r="AX1846" i="2"/>
  <c r="AW1846" i="2"/>
  <c r="AU1846" i="2"/>
  <c r="AT1846" i="2"/>
  <c r="U1846" i="2"/>
  <c r="S1846" i="2"/>
  <c r="R1846" i="2"/>
  <c r="B1846" i="2"/>
  <c r="BV1845" i="2"/>
  <c r="BU1845" i="2"/>
  <c r="BS1845" i="2"/>
  <c r="BR1845" i="2"/>
  <c r="BP1845" i="2"/>
  <c r="BO1845" i="2"/>
  <c r="BM1845" i="2"/>
  <c r="BL1845" i="2"/>
  <c r="BJ1845" i="2"/>
  <c r="BI1845" i="2"/>
  <c r="BG1845" i="2"/>
  <c r="BF1845" i="2"/>
  <c r="BD1845" i="2"/>
  <c r="BC1845" i="2"/>
  <c r="BA1845" i="2"/>
  <c r="AZ1845" i="2"/>
  <c r="AX1845" i="2"/>
  <c r="AW1845" i="2"/>
  <c r="AU1845" i="2"/>
  <c r="AT1845" i="2"/>
  <c r="U1845" i="2"/>
  <c r="S1845" i="2"/>
  <c r="R1845" i="2"/>
  <c r="B1845" i="2"/>
  <c r="BV1844" i="2"/>
  <c r="BU1844" i="2"/>
  <c r="BS1844" i="2"/>
  <c r="BR1844" i="2"/>
  <c r="BP1844" i="2"/>
  <c r="BO1844" i="2"/>
  <c r="BM1844" i="2"/>
  <c r="BL1844" i="2"/>
  <c r="BJ1844" i="2"/>
  <c r="BI1844" i="2"/>
  <c r="BG1844" i="2"/>
  <c r="BF1844" i="2"/>
  <c r="BD1844" i="2"/>
  <c r="BC1844" i="2"/>
  <c r="BA1844" i="2"/>
  <c r="AZ1844" i="2"/>
  <c r="AX1844" i="2"/>
  <c r="AW1844" i="2"/>
  <c r="AU1844" i="2"/>
  <c r="AT1844" i="2"/>
  <c r="U1844" i="2"/>
  <c r="S1844" i="2"/>
  <c r="R1844" i="2"/>
  <c r="B1844" i="2"/>
  <c r="BV1843" i="2"/>
  <c r="BU1843" i="2"/>
  <c r="BS1843" i="2"/>
  <c r="BR1843" i="2"/>
  <c r="BP1843" i="2"/>
  <c r="BO1843" i="2"/>
  <c r="BM1843" i="2"/>
  <c r="BL1843" i="2"/>
  <c r="BJ1843" i="2"/>
  <c r="BI1843" i="2"/>
  <c r="BG1843" i="2"/>
  <c r="BF1843" i="2"/>
  <c r="BD1843" i="2"/>
  <c r="BC1843" i="2"/>
  <c r="BA1843" i="2"/>
  <c r="AZ1843" i="2"/>
  <c r="AX1843" i="2"/>
  <c r="AW1843" i="2"/>
  <c r="AU1843" i="2"/>
  <c r="AT1843" i="2"/>
  <c r="U1843" i="2"/>
  <c r="S1843" i="2"/>
  <c r="R1843" i="2"/>
  <c r="B1843" i="2"/>
  <c r="BV1842" i="2"/>
  <c r="BU1842" i="2"/>
  <c r="BS1842" i="2"/>
  <c r="BR1842" i="2"/>
  <c r="BP1842" i="2"/>
  <c r="BO1842" i="2"/>
  <c r="BM1842" i="2"/>
  <c r="BL1842" i="2"/>
  <c r="BJ1842" i="2"/>
  <c r="BI1842" i="2"/>
  <c r="BG1842" i="2"/>
  <c r="BF1842" i="2"/>
  <c r="BD1842" i="2"/>
  <c r="BC1842" i="2"/>
  <c r="BA1842" i="2"/>
  <c r="AZ1842" i="2"/>
  <c r="AX1842" i="2"/>
  <c r="AW1842" i="2"/>
  <c r="AU1842" i="2"/>
  <c r="AT1842" i="2"/>
  <c r="U1842" i="2"/>
  <c r="S1842" i="2"/>
  <c r="R1842" i="2"/>
  <c r="B1842" i="2"/>
  <c r="BV1841" i="2"/>
  <c r="BU1841" i="2"/>
  <c r="BS1841" i="2"/>
  <c r="BR1841" i="2"/>
  <c r="BP1841" i="2"/>
  <c r="BO1841" i="2"/>
  <c r="BM1841" i="2"/>
  <c r="BL1841" i="2"/>
  <c r="BJ1841" i="2"/>
  <c r="BI1841" i="2"/>
  <c r="BG1841" i="2"/>
  <c r="BF1841" i="2"/>
  <c r="BD1841" i="2"/>
  <c r="BC1841" i="2"/>
  <c r="BA1841" i="2"/>
  <c r="AZ1841" i="2"/>
  <c r="AX1841" i="2"/>
  <c r="AW1841" i="2"/>
  <c r="AU1841" i="2"/>
  <c r="AT1841" i="2"/>
  <c r="U1841" i="2"/>
  <c r="R1841" i="2"/>
  <c r="B1841" i="2"/>
  <c r="BV1840" i="2"/>
  <c r="BU1840" i="2"/>
  <c r="BS1840" i="2"/>
  <c r="BR1840" i="2"/>
  <c r="BR1856" i="2" s="1"/>
  <c r="BP1840" i="2"/>
  <c r="BO1840" i="2"/>
  <c r="BM1840" i="2"/>
  <c r="BL1840" i="2"/>
  <c r="BJ1840" i="2"/>
  <c r="BI1840" i="2"/>
  <c r="BG1840" i="2"/>
  <c r="BF1840" i="2"/>
  <c r="BD1840" i="2"/>
  <c r="BC1840" i="2"/>
  <c r="BA1840" i="2"/>
  <c r="AZ1840" i="2"/>
  <c r="AZ1856" i="2" s="1"/>
  <c r="AX1840" i="2"/>
  <c r="AW1840" i="2"/>
  <c r="AU1840" i="2"/>
  <c r="AT1840" i="2"/>
  <c r="U1840" i="2"/>
  <c r="R1840" i="2"/>
  <c r="B1840" i="2"/>
  <c r="BV1839" i="2"/>
  <c r="BU1839" i="2"/>
  <c r="BS1839" i="2"/>
  <c r="BS1856" i="2" s="1"/>
  <c r="BR1839" i="2"/>
  <c r="BP1839" i="2"/>
  <c r="BO1839" i="2"/>
  <c r="BM1839" i="2"/>
  <c r="BL1839" i="2"/>
  <c r="BJ1839" i="2"/>
  <c r="BI1839" i="2"/>
  <c r="BG1839" i="2"/>
  <c r="BF1839" i="2"/>
  <c r="BD1839" i="2"/>
  <c r="BC1839" i="2"/>
  <c r="BA1839" i="2"/>
  <c r="BA1856" i="2" s="1"/>
  <c r="AZ1839" i="2"/>
  <c r="AX1839" i="2"/>
  <c r="AW1839" i="2"/>
  <c r="AU1839" i="2"/>
  <c r="AT1839" i="2"/>
  <c r="U1839" i="2"/>
  <c r="R1839" i="2"/>
  <c r="B1839" i="2"/>
  <c r="BV1838" i="2"/>
  <c r="BU1838" i="2"/>
  <c r="BU1856" i="2" s="1"/>
  <c r="BS1838" i="2"/>
  <c r="BR1838" i="2"/>
  <c r="BP1838" i="2"/>
  <c r="BO1838" i="2"/>
  <c r="BO1856" i="2" s="1"/>
  <c r="BO1861" i="2" s="1"/>
  <c r="BM1838" i="2"/>
  <c r="BL1838" i="2"/>
  <c r="BJ1838" i="2"/>
  <c r="BI1838" i="2"/>
  <c r="BG1838" i="2"/>
  <c r="BF1838" i="2"/>
  <c r="BD1838" i="2"/>
  <c r="BC1838" i="2"/>
  <c r="BA1838" i="2"/>
  <c r="AZ1838" i="2"/>
  <c r="AX1838" i="2"/>
  <c r="AW1838" i="2"/>
  <c r="AW1856" i="2" s="1"/>
  <c r="AU1838" i="2"/>
  <c r="AT1838" i="2"/>
  <c r="U1838" i="2"/>
  <c r="R1838" i="2"/>
  <c r="B1838" i="2"/>
  <c r="BV1837" i="2"/>
  <c r="BU1837" i="2"/>
  <c r="BS1837" i="2"/>
  <c r="BR1837" i="2"/>
  <c r="BP1837" i="2"/>
  <c r="BO1837" i="2"/>
  <c r="BM1837" i="2"/>
  <c r="BL1837" i="2"/>
  <c r="BJ1837" i="2"/>
  <c r="BI1837" i="2"/>
  <c r="BG1837" i="2"/>
  <c r="BG1863" i="2" s="1"/>
  <c r="BG1862" i="2" s="1"/>
  <c r="BF1837" i="2"/>
  <c r="BD1837" i="2"/>
  <c r="BC1837" i="2"/>
  <c r="BA1837" i="2"/>
  <c r="AZ1837" i="2"/>
  <c r="AX1837" i="2"/>
  <c r="AW1837" i="2"/>
  <c r="AU1837" i="2"/>
  <c r="AT1837" i="2"/>
  <c r="U1837" i="2"/>
  <c r="S1837" i="2"/>
  <c r="R1837" i="2"/>
  <c r="B1837" i="2"/>
  <c r="BV1836" i="2"/>
  <c r="BU1836" i="2"/>
  <c r="BS1836" i="2"/>
  <c r="BS1863" i="2" s="1"/>
  <c r="BS1862" i="2" s="1"/>
  <c r="BS1861" i="2" s="1"/>
  <c r="BR1836" i="2"/>
  <c r="BR1863" i="2" s="1"/>
  <c r="BR1862" i="2" s="1"/>
  <c r="BR1861" i="2" s="1"/>
  <c r="BP1836" i="2"/>
  <c r="BP1856" i="2" s="1"/>
  <c r="BO1836" i="2"/>
  <c r="BO1863" i="2" s="1"/>
  <c r="BO1862" i="2" s="1"/>
  <c r="BM1836" i="2"/>
  <c r="BM1856" i="2" s="1"/>
  <c r="BL1836" i="2"/>
  <c r="BJ1836" i="2"/>
  <c r="BI1836" i="2"/>
  <c r="BI1856" i="2" s="1"/>
  <c r="BG1836" i="2"/>
  <c r="BF1836" i="2"/>
  <c r="BD1836" i="2"/>
  <c r="BC1836" i="2"/>
  <c r="BA1836" i="2"/>
  <c r="BA1863" i="2" s="1"/>
  <c r="BA1862" i="2" s="1"/>
  <c r="BA1861" i="2" s="1"/>
  <c r="AZ1836" i="2"/>
  <c r="AZ1863" i="2" s="1"/>
  <c r="AZ1862" i="2" s="1"/>
  <c r="AZ1861" i="2" s="1"/>
  <c r="AX1836" i="2"/>
  <c r="AX1856" i="2" s="1"/>
  <c r="AW1836" i="2"/>
  <c r="AW1863" i="2" s="1"/>
  <c r="AW1862" i="2" s="1"/>
  <c r="AU1836" i="2"/>
  <c r="AU1856" i="2" s="1"/>
  <c r="AT1836" i="2"/>
  <c r="U1836" i="2"/>
  <c r="AR1836" i="2" s="1"/>
  <c r="R1836" i="2"/>
  <c r="B1836" i="2"/>
  <c r="AQ1833" i="2"/>
  <c r="BV1819" i="2"/>
  <c r="BU1819" i="2"/>
  <c r="BS1819" i="2"/>
  <c r="BR1819" i="2"/>
  <c r="BP1819" i="2"/>
  <c r="BO1819" i="2"/>
  <c r="BM1819" i="2"/>
  <c r="BL1819" i="2"/>
  <c r="BJ1819" i="2"/>
  <c r="BI1819" i="2"/>
  <c r="BG1819" i="2"/>
  <c r="BF1819" i="2"/>
  <c r="BD1819" i="2"/>
  <c r="BC1819" i="2"/>
  <c r="BA1819" i="2"/>
  <c r="AZ1819" i="2"/>
  <c r="AX1819" i="2"/>
  <c r="AW1819" i="2"/>
  <c r="AU1819" i="2"/>
  <c r="AT1819" i="2"/>
  <c r="U1819" i="2"/>
  <c r="R1819" i="2"/>
  <c r="B1819" i="2"/>
  <c r="BV1818" i="2"/>
  <c r="BU1818" i="2"/>
  <c r="BS1818" i="2"/>
  <c r="BR1818" i="2"/>
  <c r="BP1818" i="2"/>
  <c r="BO1818" i="2"/>
  <c r="BM1818" i="2"/>
  <c r="BL1818" i="2"/>
  <c r="BJ1818" i="2"/>
  <c r="BI1818" i="2"/>
  <c r="BG1818" i="2"/>
  <c r="BF1818" i="2"/>
  <c r="BD1818" i="2"/>
  <c r="BC1818" i="2"/>
  <c r="BA1818" i="2"/>
  <c r="AZ1818" i="2"/>
  <c r="AX1818" i="2"/>
  <c r="AW1818" i="2"/>
  <c r="AU1818" i="2"/>
  <c r="AT1818" i="2"/>
  <c r="U1818" i="2"/>
  <c r="S1818" i="2"/>
  <c r="R1818" i="2"/>
  <c r="B1818" i="2"/>
  <c r="BV1817" i="2"/>
  <c r="BU1817" i="2"/>
  <c r="BS1817" i="2"/>
  <c r="BR1817" i="2"/>
  <c r="BP1817" i="2"/>
  <c r="BO1817" i="2"/>
  <c r="BM1817" i="2"/>
  <c r="BL1817" i="2"/>
  <c r="BJ1817" i="2"/>
  <c r="BI1817" i="2"/>
  <c r="BG1817" i="2"/>
  <c r="BF1817" i="2"/>
  <c r="BD1817" i="2"/>
  <c r="BC1817" i="2"/>
  <c r="BA1817" i="2"/>
  <c r="AZ1817" i="2"/>
  <c r="AX1817" i="2"/>
  <c r="AW1817" i="2"/>
  <c r="AU1817" i="2"/>
  <c r="AT1817" i="2"/>
  <c r="U1817" i="2"/>
  <c r="R1817" i="2"/>
  <c r="S1817" i="2" s="1"/>
  <c r="B1817" i="2"/>
  <c r="BV1816" i="2"/>
  <c r="BU1816" i="2"/>
  <c r="BS1816" i="2"/>
  <c r="BR1816" i="2"/>
  <c r="BP1816" i="2"/>
  <c r="BO1816" i="2"/>
  <c r="BM1816" i="2"/>
  <c r="BL1816" i="2"/>
  <c r="BJ1816" i="2"/>
  <c r="BI1816" i="2"/>
  <c r="BG1816" i="2"/>
  <c r="BF1816" i="2"/>
  <c r="BD1816" i="2"/>
  <c r="BC1816" i="2"/>
  <c r="BA1816" i="2"/>
  <c r="AZ1816" i="2"/>
  <c r="AX1816" i="2"/>
  <c r="AW1816" i="2"/>
  <c r="AU1816" i="2"/>
  <c r="AT1816" i="2"/>
  <c r="U1816" i="2"/>
  <c r="S1816" i="2"/>
  <c r="R1816" i="2"/>
  <c r="B1816" i="2"/>
  <c r="BV1815" i="2"/>
  <c r="BU1815" i="2"/>
  <c r="BS1815" i="2"/>
  <c r="BR1815" i="2"/>
  <c r="BP1815" i="2"/>
  <c r="BO1815" i="2"/>
  <c r="BM1815" i="2"/>
  <c r="BL1815" i="2"/>
  <c r="BJ1815" i="2"/>
  <c r="BI1815" i="2"/>
  <c r="BG1815" i="2"/>
  <c r="BF1815" i="2"/>
  <c r="BD1815" i="2"/>
  <c r="BC1815" i="2"/>
  <c r="BA1815" i="2"/>
  <c r="AZ1815" i="2"/>
  <c r="AX1815" i="2"/>
  <c r="AW1815" i="2"/>
  <c r="AU1815" i="2"/>
  <c r="AT1815" i="2"/>
  <c r="U1815" i="2"/>
  <c r="S1815" i="2"/>
  <c r="R1815" i="2"/>
  <c r="B1815" i="2"/>
  <c r="BV1814" i="2"/>
  <c r="BU1814" i="2"/>
  <c r="BS1814" i="2"/>
  <c r="BR1814" i="2"/>
  <c r="BP1814" i="2"/>
  <c r="BO1814" i="2"/>
  <c r="BM1814" i="2"/>
  <c r="BL1814" i="2"/>
  <c r="BJ1814" i="2"/>
  <c r="BI1814" i="2"/>
  <c r="BG1814" i="2"/>
  <c r="BF1814" i="2"/>
  <c r="BD1814" i="2"/>
  <c r="BC1814" i="2"/>
  <c r="BA1814" i="2"/>
  <c r="AZ1814" i="2"/>
  <c r="AX1814" i="2"/>
  <c r="AW1814" i="2"/>
  <c r="AU1814" i="2"/>
  <c r="AT1814" i="2"/>
  <c r="U1814" i="2"/>
  <c r="S1814" i="2"/>
  <c r="R1814" i="2"/>
  <c r="B1814" i="2"/>
  <c r="BV1813" i="2"/>
  <c r="BU1813" i="2"/>
  <c r="BS1813" i="2"/>
  <c r="BR1813" i="2"/>
  <c r="BP1813" i="2"/>
  <c r="BO1813" i="2"/>
  <c r="BM1813" i="2"/>
  <c r="BL1813" i="2"/>
  <c r="BJ1813" i="2"/>
  <c r="BI1813" i="2"/>
  <c r="BG1813" i="2"/>
  <c r="BF1813" i="2"/>
  <c r="BD1813" i="2"/>
  <c r="BC1813" i="2"/>
  <c r="BA1813" i="2"/>
  <c r="AZ1813" i="2"/>
  <c r="AX1813" i="2"/>
  <c r="AW1813" i="2"/>
  <c r="AU1813" i="2"/>
  <c r="AT1813" i="2"/>
  <c r="U1813" i="2"/>
  <c r="R1813" i="2"/>
  <c r="B1813" i="2"/>
  <c r="BV1812" i="2"/>
  <c r="BU1812" i="2"/>
  <c r="BS1812" i="2"/>
  <c r="BR1812" i="2"/>
  <c r="BP1812" i="2"/>
  <c r="BO1812" i="2"/>
  <c r="BM1812" i="2"/>
  <c r="BL1812" i="2"/>
  <c r="BJ1812" i="2"/>
  <c r="BI1812" i="2"/>
  <c r="BG1812" i="2"/>
  <c r="BF1812" i="2"/>
  <c r="BD1812" i="2"/>
  <c r="BC1812" i="2"/>
  <c r="BA1812" i="2"/>
  <c r="AZ1812" i="2"/>
  <c r="AX1812" i="2"/>
  <c r="AW1812" i="2"/>
  <c r="AU1812" i="2"/>
  <c r="AT1812" i="2"/>
  <c r="U1812" i="2"/>
  <c r="R1812" i="2"/>
  <c r="B1812" i="2"/>
  <c r="BV1811" i="2"/>
  <c r="BU1811" i="2"/>
  <c r="BS1811" i="2"/>
  <c r="BR1811" i="2"/>
  <c r="BP1811" i="2"/>
  <c r="BO1811" i="2"/>
  <c r="BM1811" i="2"/>
  <c r="BL1811" i="2"/>
  <c r="BJ1811" i="2"/>
  <c r="BI1811" i="2"/>
  <c r="BG1811" i="2"/>
  <c r="BF1811" i="2"/>
  <c r="BD1811" i="2"/>
  <c r="BC1811" i="2"/>
  <c r="BA1811" i="2"/>
  <c r="AZ1811" i="2"/>
  <c r="AX1811" i="2"/>
  <c r="AW1811" i="2"/>
  <c r="AU1811" i="2"/>
  <c r="AT1811" i="2"/>
  <c r="U1811" i="2"/>
  <c r="S1811" i="2"/>
  <c r="R1811" i="2"/>
  <c r="B1811" i="2"/>
  <c r="BV1810" i="2"/>
  <c r="BU1810" i="2"/>
  <c r="BS1810" i="2"/>
  <c r="BR1810" i="2"/>
  <c r="BP1810" i="2"/>
  <c r="BO1810" i="2"/>
  <c r="BM1810" i="2"/>
  <c r="BL1810" i="2"/>
  <c r="BJ1810" i="2"/>
  <c r="BI1810" i="2"/>
  <c r="BG1810" i="2"/>
  <c r="BF1810" i="2"/>
  <c r="BD1810" i="2"/>
  <c r="BC1810" i="2"/>
  <c r="BA1810" i="2"/>
  <c r="AZ1810" i="2"/>
  <c r="AX1810" i="2"/>
  <c r="AW1810" i="2"/>
  <c r="AU1810" i="2"/>
  <c r="AT1810" i="2"/>
  <c r="U1810" i="2"/>
  <c r="R1810" i="2"/>
  <c r="B1810" i="2"/>
  <c r="BV1809" i="2"/>
  <c r="BU1809" i="2"/>
  <c r="BS1809" i="2"/>
  <c r="BR1809" i="2"/>
  <c r="BP1809" i="2"/>
  <c r="BO1809" i="2"/>
  <c r="BM1809" i="2"/>
  <c r="BL1809" i="2"/>
  <c r="BJ1809" i="2"/>
  <c r="BI1809" i="2"/>
  <c r="BG1809" i="2"/>
  <c r="BF1809" i="2"/>
  <c r="BD1809" i="2"/>
  <c r="BC1809" i="2"/>
  <c r="BA1809" i="2"/>
  <c r="AZ1809" i="2"/>
  <c r="AX1809" i="2"/>
  <c r="AW1809" i="2"/>
  <c r="AU1809" i="2"/>
  <c r="AT1809" i="2"/>
  <c r="U1809" i="2"/>
  <c r="R1809" i="2"/>
  <c r="S1809" i="2" s="1"/>
  <c r="B1809" i="2"/>
  <c r="BV1808" i="2"/>
  <c r="BU1808" i="2"/>
  <c r="BS1808" i="2"/>
  <c r="BR1808" i="2"/>
  <c r="BP1808" i="2"/>
  <c r="BO1808" i="2"/>
  <c r="BM1808" i="2"/>
  <c r="BL1808" i="2"/>
  <c r="BJ1808" i="2"/>
  <c r="BI1808" i="2"/>
  <c r="BG1808" i="2"/>
  <c r="BF1808" i="2"/>
  <c r="BD1808" i="2"/>
  <c r="BC1808" i="2"/>
  <c r="BA1808" i="2"/>
  <c r="AZ1808" i="2"/>
  <c r="AX1808" i="2"/>
  <c r="AW1808" i="2"/>
  <c r="AU1808" i="2"/>
  <c r="AT1808" i="2"/>
  <c r="U1808" i="2"/>
  <c r="S1808" i="2"/>
  <c r="R1808" i="2"/>
  <c r="B1808" i="2"/>
  <c r="BV1807" i="2"/>
  <c r="BU1807" i="2"/>
  <c r="BS1807" i="2"/>
  <c r="BR1807" i="2"/>
  <c r="BP1807" i="2"/>
  <c r="BO1807" i="2"/>
  <c r="BM1807" i="2"/>
  <c r="BL1807" i="2"/>
  <c r="BJ1807" i="2"/>
  <c r="BI1807" i="2"/>
  <c r="BG1807" i="2"/>
  <c r="BF1807" i="2"/>
  <c r="BD1807" i="2"/>
  <c r="BC1807" i="2"/>
  <c r="BA1807" i="2"/>
  <c r="AZ1807" i="2"/>
  <c r="AX1807" i="2"/>
  <c r="AW1807" i="2"/>
  <c r="AU1807" i="2"/>
  <c r="AT1807" i="2"/>
  <c r="U1807" i="2"/>
  <c r="R1807" i="2"/>
  <c r="S1807" i="2" s="1"/>
  <c r="B1807" i="2"/>
  <c r="BV1806" i="2"/>
  <c r="BU1806" i="2"/>
  <c r="BS1806" i="2"/>
  <c r="BR1806" i="2"/>
  <c r="BP1806" i="2"/>
  <c r="BO1806" i="2"/>
  <c r="BM1806" i="2"/>
  <c r="BL1806" i="2"/>
  <c r="BJ1806" i="2"/>
  <c r="BI1806" i="2"/>
  <c r="BG1806" i="2"/>
  <c r="BF1806" i="2"/>
  <c r="BD1806" i="2"/>
  <c r="BC1806" i="2"/>
  <c r="BA1806" i="2"/>
  <c r="AZ1806" i="2"/>
  <c r="AX1806" i="2"/>
  <c r="AW1806" i="2"/>
  <c r="AU1806" i="2"/>
  <c r="AT1806" i="2"/>
  <c r="U1806" i="2"/>
  <c r="R1806" i="2"/>
  <c r="B1806" i="2"/>
  <c r="BV1805" i="2"/>
  <c r="BU1805" i="2"/>
  <c r="BS1805" i="2"/>
  <c r="BR1805" i="2"/>
  <c r="BP1805" i="2"/>
  <c r="BO1805" i="2"/>
  <c r="BM1805" i="2"/>
  <c r="BL1805" i="2"/>
  <c r="BJ1805" i="2"/>
  <c r="BI1805" i="2"/>
  <c r="BG1805" i="2"/>
  <c r="BF1805" i="2"/>
  <c r="BD1805" i="2"/>
  <c r="BC1805" i="2"/>
  <c r="BA1805" i="2"/>
  <c r="AZ1805" i="2"/>
  <c r="AX1805" i="2"/>
  <c r="AW1805" i="2"/>
  <c r="AU1805" i="2"/>
  <c r="AT1805" i="2"/>
  <c r="U1805" i="2"/>
  <c r="R1805" i="2"/>
  <c r="B1805" i="2"/>
  <c r="BV1804" i="2"/>
  <c r="BU1804" i="2"/>
  <c r="BS1804" i="2"/>
  <c r="BR1804" i="2"/>
  <c r="BP1804" i="2"/>
  <c r="BO1804" i="2"/>
  <c r="BM1804" i="2"/>
  <c r="BL1804" i="2"/>
  <c r="BJ1804" i="2"/>
  <c r="BI1804" i="2"/>
  <c r="BG1804" i="2"/>
  <c r="BF1804" i="2"/>
  <c r="BD1804" i="2"/>
  <c r="BC1804" i="2"/>
  <c r="BA1804" i="2"/>
  <c r="AZ1804" i="2"/>
  <c r="AX1804" i="2"/>
  <c r="AW1804" i="2"/>
  <c r="AU1804" i="2"/>
  <c r="AT1804" i="2"/>
  <c r="U1804" i="2"/>
  <c r="R1804" i="2"/>
  <c r="B1804" i="2"/>
  <c r="BV1803" i="2"/>
  <c r="BU1803" i="2"/>
  <c r="BS1803" i="2"/>
  <c r="BR1803" i="2"/>
  <c r="BP1803" i="2"/>
  <c r="BO1803" i="2"/>
  <c r="BM1803" i="2"/>
  <c r="BL1803" i="2"/>
  <c r="BJ1803" i="2"/>
  <c r="BI1803" i="2"/>
  <c r="BG1803" i="2"/>
  <c r="BF1803" i="2"/>
  <c r="BD1803" i="2"/>
  <c r="BC1803" i="2"/>
  <c r="BA1803" i="2"/>
  <c r="AZ1803" i="2"/>
  <c r="AX1803" i="2"/>
  <c r="AW1803" i="2"/>
  <c r="AU1803" i="2"/>
  <c r="AT1803" i="2"/>
  <c r="U1803" i="2"/>
  <c r="R1803" i="2"/>
  <c r="B1803" i="2"/>
  <c r="BV1802" i="2"/>
  <c r="BU1802" i="2"/>
  <c r="BS1802" i="2"/>
  <c r="BR1802" i="2"/>
  <c r="BP1802" i="2"/>
  <c r="BO1802" i="2"/>
  <c r="BM1802" i="2"/>
  <c r="BL1802" i="2"/>
  <c r="BJ1802" i="2"/>
  <c r="BI1802" i="2"/>
  <c r="BG1802" i="2"/>
  <c r="BG1820" i="2" s="1"/>
  <c r="BF1802" i="2"/>
  <c r="BD1802" i="2"/>
  <c r="BC1802" i="2"/>
  <c r="BA1802" i="2"/>
  <c r="AZ1802" i="2"/>
  <c r="AX1802" i="2"/>
  <c r="AW1802" i="2"/>
  <c r="AU1802" i="2"/>
  <c r="AT1802" i="2"/>
  <c r="U1802" i="2"/>
  <c r="S1802" i="2"/>
  <c r="R1802" i="2"/>
  <c r="B1802" i="2"/>
  <c r="BV1801" i="2"/>
  <c r="BU1801" i="2"/>
  <c r="BS1801" i="2"/>
  <c r="BR1801" i="2"/>
  <c r="BP1801" i="2"/>
  <c r="BO1801" i="2"/>
  <c r="BM1801" i="2"/>
  <c r="BL1801" i="2"/>
  <c r="BJ1801" i="2"/>
  <c r="BI1801" i="2"/>
  <c r="BI1820" i="2" s="1"/>
  <c r="BG1801" i="2"/>
  <c r="BF1801" i="2"/>
  <c r="BD1801" i="2"/>
  <c r="BC1801" i="2"/>
  <c r="BA1801" i="2"/>
  <c r="AZ1801" i="2"/>
  <c r="AX1801" i="2"/>
  <c r="AW1801" i="2"/>
  <c r="AU1801" i="2"/>
  <c r="AT1801" i="2"/>
  <c r="U1801" i="2"/>
  <c r="R1801" i="2"/>
  <c r="S1801" i="2" s="1"/>
  <c r="B1801" i="2"/>
  <c r="BV1800" i="2"/>
  <c r="BU1800" i="2"/>
  <c r="BS1800" i="2"/>
  <c r="BS1820" i="2" s="1"/>
  <c r="BR1800" i="2"/>
  <c r="BR1820" i="2" s="1"/>
  <c r="BP1800" i="2"/>
  <c r="BO1800" i="2"/>
  <c r="BO1827" i="2" s="1"/>
  <c r="BO1826" i="2" s="1"/>
  <c r="BM1800" i="2"/>
  <c r="BM1827" i="2" s="1"/>
  <c r="BM1826" i="2" s="1"/>
  <c r="BL1800" i="2"/>
  <c r="BL1827" i="2" s="1"/>
  <c r="BL1826" i="2" s="1"/>
  <c r="BJ1800" i="2"/>
  <c r="BI1800" i="2"/>
  <c r="BI1827" i="2" s="1"/>
  <c r="BI1826" i="2" s="1"/>
  <c r="BI1825" i="2" s="1"/>
  <c r="BG1800" i="2"/>
  <c r="BF1800" i="2"/>
  <c r="BD1800" i="2"/>
  <c r="BC1800" i="2"/>
  <c r="BA1800" i="2"/>
  <c r="BA1820" i="2" s="1"/>
  <c r="AZ1800" i="2"/>
  <c r="AZ1820" i="2" s="1"/>
  <c r="AX1800" i="2"/>
  <c r="AW1800" i="2"/>
  <c r="AW1820" i="2" s="1"/>
  <c r="AU1800" i="2"/>
  <c r="AU1820" i="2" s="1"/>
  <c r="AT1800" i="2"/>
  <c r="AT1820" i="2" s="1"/>
  <c r="AR1800" i="2"/>
  <c r="U1800" i="2"/>
  <c r="R1800" i="2"/>
  <c r="R1824" i="2" s="1"/>
  <c r="B1800" i="2"/>
  <c r="AQ1797" i="2"/>
  <c r="BV1784" i="2"/>
  <c r="BU1784" i="2"/>
  <c r="BS1784" i="2"/>
  <c r="BR1784" i="2"/>
  <c r="BP1784" i="2"/>
  <c r="BO1784" i="2"/>
  <c r="BM1784" i="2"/>
  <c r="BL1784" i="2"/>
  <c r="BJ1784" i="2"/>
  <c r="BI1784" i="2"/>
  <c r="BG1784" i="2"/>
  <c r="BF1784" i="2"/>
  <c r="BD1784" i="2"/>
  <c r="BC1784" i="2"/>
  <c r="BA1784" i="2"/>
  <c r="AZ1784" i="2"/>
  <c r="AX1784" i="2"/>
  <c r="AW1784" i="2"/>
  <c r="AU1784" i="2"/>
  <c r="AT1784" i="2"/>
  <c r="U1784" i="2"/>
  <c r="R1784" i="2"/>
  <c r="B1784" i="2"/>
  <c r="BV1783" i="2"/>
  <c r="BU1783" i="2"/>
  <c r="BS1783" i="2"/>
  <c r="BR1783" i="2"/>
  <c r="BP1783" i="2"/>
  <c r="BO1783" i="2"/>
  <c r="BM1783" i="2"/>
  <c r="BL1783" i="2"/>
  <c r="BJ1783" i="2"/>
  <c r="BI1783" i="2"/>
  <c r="BG1783" i="2"/>
  <c r="BF1783" i="2"/>
  <c r="BD1783" i="2"/>
  <c r="BC1783" i="2"/>
  <c r="BA1783" i="2"/>
  <c r="AZ1783" i="2"/>
  <c r="AX1783" i="2"/>
  <c r="AW1783" i="2"/>
  <c r="AU1783" i="2"/>
  <c r="AT1783" i="2"/>
  <c r="U1783" i="2"/>
  <c r="S1783" i="2"/>
  <c r="R1783" i="2"/>
  <c r="B1783" i="2"/>
  <c r="BV1782" i="2"/>
  <c r="BU1782" i="2"/>
  <c r="BS1782" i="2"/>
  <c r="BR1782" i="2"/>
  <c r="BP1782" i="2"/>
  <c r="BO1782" i="2"/>
  <c r="BM1782" i="2"/>
  <c r="BL1782" i="2"/>
  <c r="BJ1782" i="2"/>
  <c r="BI1782" i="2"/>
  <c r="BG1782" i="2"/>
  <c r="BF1782" i="2"/>
  <c r="BD1782" i="2"/>
  <c r="BC1782" i="2"/>
  <c r="BA1782" i="2"/>
  <c r="AZ1782" i="2"/>
  <c r="AX1782" i="2"/>
  <c r="AW1782" i="2"/>
  <c r="AU1782" i="2"/>
  <c r="AT1782" i="2"/>
  <c r="U1782" i="2"/>
  <c r="R1782" i="2"/>
  <c r="S1782" i="2" s="1"/>
  <c r="B1782" i="2"/>
  <c r="BV1781" i="2"/>
  <c r="BU1781" i="2"/>
  <c r="BS1781" i="2"/>
  <c r="BR1781" i="2"/>
  <c r="BP1781" i="2"/>
  <c r="BO1781" i="2"/>
  <c r="BM1781" i="2"/>
  <c r="BL1781" i="2"/>
  <c r="BJ1781" i="2"/>
  <c r="BI1781" i="2"/>
  <c r="BG1781" i="2"/>
  <c r="BF1781" i="2"/>
  <c r="BD1781" i="2"/>
  <c r="BC1781" i="2"/>
  <c r="BA1781" i="2"/>
  <c r="AZ1781" i="2"/>
  <c r="AX1781" i="2"/>
  <c r="AW1781" i="2"/>
  <c r="AU1781" i="2"/>
  <c r="AT1781" i="2"/>
  <c r="U1781" i="2"/>
  <c r="R1781" i="2"/>
  <c r="B1781" i="2"/>
  <c r="BV1780" i="2"/>
  <c r="BU1780" i="2"/>
  <c r="BS1780" i="2"/>
  <c r="BR1780" i="2"/>
  <c r="BP1780" i="2"/>
  <c r="BO1780" i="2"/>
  <c r="BM1780" i="2"/>
  <c r="BL1780" i="2"/>
  <c r="BJ1780" i="2"/>
  <c r="BI1780" i="2"/>
  <c r="BG1780" i="2"/>
  <c r="BF1780" i="2"/>
  <c r="BD1780" i="2"/>
  <c r="BC1780" i="2"/>
  <c r="BA1780" i="2"/>
  <c r="AZ1780" i="2"/>
  <c r="AX1780" i="2"/>
  <c r="AW1780" i="2"/>
  <c r="AU1780" i="2"/>
  <c r="AT1780" i="2"/>
  <c r="U1780" i="2"/>
  <c r="S1780" i="2"/>
  <c r="R1780" i="2"/>
  <c r="B1780" i="2"/>
  <c r="BV1779" i="2"/>
  <c r="BU1779" i="2"/>
  <c r="BS1779" i="2"/>
  <c r="BR1779" i="2"/>
  <c r="BP1779" i="2"/>
  <c r="BO1779" i="2"/>
  <c r="BM1779" i="2"/>
  <c r="BL1779" i="2"/>
  <c r="BJ1779" i="2"/>
  <c r="BI1779" i="2"/>
  <c r="BG1779" i="2"/>
  <c r="BF1779" i="2"/>
  <c r="BD1779" i="2"/>
  <c r="BC1779" i="2"/>
  <c r="BA1779" i="2"/>
  <c r="AZ1779" i="2"/>
  <c r="AX1779" i="2"/>
  <c r="AW1779" i="2"/>
  <c r="AU1779" i="2"/>
  <c r="AT1779" i="2"/>
  <c r="U1779" i="2"/>
  <c r="R1779" i="2"/>
  <c r="S1779" i="2" s="1"/>
  <c r="B1779" i="2"/>
  <c r="BV1778" i="2"/>
  <c r="BU1778" i="2"/>
  <c r="BS1778" i="2"/>
  <c r="BR1778" i="2"/>
  <c r="BP1778" i="2"/>
  <c r="BO1778" i="2"/>
  <c r="BM1778" i="2"/>
  <c r="BL1778" i="2"/>
  <c r="BJ1778" i="2"/>
  <c r="BI1778" i="2"/>
  <c r="BG1778" i="2"/>
  <c r="BF1778" i="2"/>
  <c r="BD1778" i="2"/>
  <c r="BC1778" i="2"/>
  <c r="BA1778" i="2"/>
  <c r="AZ1778" i="2"/>
  <c r="AX1778" i="2"/>
  <c r="AW1778" i="2"/>
  <c r="AU1778" i="2"/>
  <c r="AT1778" i="2"/>
  <c r="U1778" i="2"/>
  <c r="R1778" i="2"/>
  <c r="S1778" i="2" s="1"/>
  <c r="B1778" i="2"/>
  <c r="BV1777" i="2"/>
  <c r="BU1777" i="2"/>
  <c r="BS1777" i="2"/>
  <c r="BR1777" i="2"/>
  <c r="BP1777" i="2"/>
  <c r="BO1777" i="2"/>
  <c r="BM1777" i="2"/>
  <c r="BL1777" i="2"/>
  <c r="BJ1777" i="2"/>
  <c r="BI1777" i="2"/>
  <c r="BG1777" i="2"/>
  <c r="BF1777" i="2"/>
  <c r="BD1777" i="2"/>
  <c r="BC1777" i="2"/>
  <c r="BA1777" i="2"/>
  <c r="AZ1777" i="2"/>
  <c r="AX1777" i="2"/>
  <c r="AW1777" i="2"/>
  <c r="AU1777" i="2"/>
  <c r="AT1777" i="2"/>
  <c r="U1777" i="2"/>
  <c r="S1777" i="2"/>
  <c r="R1777" i="2"/>
  <c r="B1777" i="2"/>
  <c r="BV1776" i="2"/>
  <c r="BU1776" i="2"/>
  <c r="BS1776" i="2"/>
  <c r="BR1776" i="2"/>
  <c r="BP1776" i="2"/>
  <c r="BO1776" i="2"/>
  <c r="BM1776" i="2"/>
  <c r="BL1776" i="2"/>
  <c r="BJ1776" i="2"/>
  <c r="BI1776" i="2"/>
  <c r="BG1776" i="2"/>
  <c r="BF1776" i="2"/>
  <c r="BD1776" i="2"/>
  <c r="BC1776" i="2"/>
  <c r="BA1776" i="2"/>
  <c r="AZ1776" i="2"/>
  <c r="AX1776" i="2"/>
  <c r="AW1776" i="2"/>
  <c r="AU1776" i="2"/>
  <c r="AT1776" i="2"/>
  <c r="U1776" i="2"/>
  <c r="R1776" i="2"/>
  <c r="S1776" i="2" s="1"/>
  <c r="B1776" i="2"/>
  <c r="BV1775" i="2"/>
  <c r="BU1775" i="2"/>
  <c r="BS1775" i="2"/>
  <c r="BR1775" i="2"/>
  <c r="BP1775" i="2"/>
  <c r="BO1775" i="2"/>
  <c r="BM1775" i="2"/>
  <c r="BL1775" i="2"/>
  <c r="BJ1775" i="2"/>
  <c r="BI1775" i="2"/>
  <c r="BG1775" i="2"/>
  <c r="BF1775" i="2"/>
  <c r="BD1775" i="2"/>
  <c r="BC1775" i="2"/>
  <c r="BA1775" i="2"/>
  <c r="AZ1775" i="2"/>
  <c r="AX1775" i="2"/>
  <c r="AW1775" i="2"/>
  <c r="AU1775" i="2"/>
  <c r="AT1775" i="2"/>
  <c r="U1775" i="2"/>
  <c r="R1775" i="2"/>
  <c r="B1775" i="2"/>
  <c r="BV1774" i="2"/>
  <c r="BU1774" i="2"/>
  <c r="BS1774" i="2"/>
  <c r="BR1774" i="2"/>
  <c r="BP1774" i="2"/>
  <c r="BO1774" i="2"/>
  <c r="BM1774" i="2"/>
  <c r="BL1774" i="2"/>
  <c r="BJ1774" i="2"/>
  <c r="BI1774" i="2"/>
  <c r="BG1774" i="2"/>
  <c r="BF1774" i="2"/>
  <c r="BD1774" i="2"/>
  <c r="BC1774" i="2"/>
  <c r="BA1774" i="2"/>
  <c r="AZ1774" i="2"/>
  <c r="AX1774" i="2"/>
  <c r="AW1774" i="2"/>
  <c r="AU1774" i="2"/>
  <c r="AT1774" i="2"/>
  <c r="U1774" i="2"/>
  <c r="S1774" i="2"/>
  <c r="R1774" i="2"/>
  <c r="B1774" i="2"/>
  <c r="BV1773" i="2"/>
  <c r="BU1773" i="2"/>
  <c r="BS1773" i="2"/>
  <c r="BR1773" i="2"/>
  <c r="BP1773" i="2"/>
  <c r="BO1773" i="2"/>
  <c r="BM1773" i="2"/>
  <c r="BL1773" i="2"/>
  <c r="BJ1773" i="2"/>
  <c r="BI1773" i="2"/>
  <c r="BG1773" i="2"/>
  <c r="BF1773" i="2"/>
  <c r="BD1773" i="2"/>
  <c r="BC1773" i="2"/>
  <c r="BA1773" i="2"/>
  <c r="AZ1773" i="2"/>
  <c r="AX1773" i="2"/>
  <c r="AW1773" i="2"/>
  <c r="AU1773" i="2"/>
  <c r="AT1773" i="2"/>
  <c r="U1773" i="2"/>
  <c r="R1773" i="2"/>
  <c r="S1773" i="2" s="1"/>
  <c r="B1773" i="2"/>
  <c r="BV1772" i="2"/>
  <c r="BU1772" i="2"/>
  <c r="BS1772" i="2"/>
  <c r="BR1772" i="2"/>
  <c r="BP1772" i="2"/>
  <c r="BO1772" i="2"/>
  <c r="BM1772" i="2"/>
  <c r="BL1772" i="2"/>
  <c r="BJ1772" i="2"/>
  <c r="BI1772" i="2"/>
  <c r="BG1772" i="2"/>
  <c r="BF1772" i="2"/>
  <c r="BD1772" i="2"/>
  <c r="BC1772" i="2"/>
  <c r="BA1772" i="2"/>
  <c r="AZ1772" i="2"/>
  <c r="AX1772" i="2"/>
  <c r="AW1772" i="2"/>
  <c r="AU1772" i="2"/>
  <c r="AT1772" i="2"/>
  <c r="U1772" i="2"/>
  <c r="R1772" i="2"/>
  <c r="B1772" i="2"/>
  <c r="BV1771" i="2"/>
  <c r="BU1771" i="2"/>
  <c r="BS1771" i="2"/>
  <c r="BR1771" i="2"/>
  <c r="BP1771" i="2"/>
  <c r="BO1771" i="2"/>
  <c r="BM1771" i="2"/>
  <c r="BL1771" i="2"/>
  <c r="BJ1771" i="2"/>
  <c r="BI1771" i="2"/>
  <c r="BG1771" i="2"/>
  <c r="BF1771" i="2"/>
  <c r="BD1771" i="2"/>
  <c r="BC1771" i="2"/>
  <c r="BA1771" i="2"/>
  <c r="AZ1771" i="2"/>
  <c r="AX1771" i="2"/>
  <c r="AW1771" i="2"/>
  <c r="AU1771" i="2"/>
  <c r="AT1771" i="2"/>
  <c r="U1771" i="2"/>
  <c r="S1771" i="2"/>
  <c r="R1771" i="2"/>
  <c r="B1771" i="2"/>
  <c r="BV1770" i="2"/>
  <c r="BU1770" i="2"/>
  <c r="BS1770" i="2"/>
  <c r="BR1770" i="2"/>
  <c r="BP1770" i="2"/>
  <c r="BO1770" i="2"/>
  <c r="BM1770" i="2"/>
  <c r="BL1770" i="2"/>
  <c r="BJ1770" i="2"/>
  <c r="BI1770" i="2"/>
  <c r="BG1770" i="2"/>
  <c r="BF1770" i="2"/>
  <c r="BD1770" i="2"/>
  <c r="BC1770" i="2"/>
  <c r="BA1770" i="2"/>
  <c r="AZ1770" i="2"/>
  <c r="AX1770" i="2"/>
  <c r="AW1770" i="2"/>
  <c r="AU1770" i="2"/>
  <c r="AT1770" i="2"/>
  <c r="U1770" i="2"/>
  <c r="R1770" i="2"/>
  <c r="S1770" i="2" s="1"/>
  <c r="B1770" i="2"/>
  <c r="BV1769" i="2"/>
  <c r="BU1769" i="2"/>
  <c r="BS1769" i="2"/>
  <c r="BR1769" i="2"/>
  <c r="BP1769" i="2"/>
  <c r="BO1769" i="2"/>
  <c r="BM1769" i="2"/>
  <c r="BL1769" i="2"/>
  <c r="BJ1769" i="2"/>
  <c r="BI1769" i="2"/>
  <c r="BG1769" i="2"/>
  <c r="BF1769" i="2"/>
  <c r="BD1769" i="2"/>
  <c r="BC1769" i="2"/>
  <c r="BA1769" i="2"/>
  <c r="AZ1769" i="2"/>
  <c r="AX1769" i="2"/>
  <c r="AW1769" i="2"/>
  <c r="AU1769" i="2"/>
  <c r="AT1769" i="2"/>
  <c r="U1769" i="2"/>
  <c r="R1769" i="2"/>
  <c r="B1769" i="2"/>
  <c r="BV1768" i="2"/>
  <c r="BU1768" i="2"/>
  <c r="BS1768" i="2"/>
  <c r="BR1768" i="2"/>
  <c r="BP1768" i="2"/>
  <c r="BO1768" i="2"/>
  <c r="BM1768" i="2"/>
  <c r="BL1768" i="2"/>
  <c r="BJ1768" i="2"/>
  <c r="BI1768" i="2"/>
  <c r="BG1768" i="2"/>
  <c r="BF1768" i="2"/>
  <c r="BD1768" i="2"/>
  <c r="BC1768" i="2"/>
  <c r="BA1768" i="2"/>
  <c r="AZ1768" i="2"/>
  <c r="AX1768" i="2"/>
  <c r="AW1768" i="2"/>
  <c r="AU1768" i="2"/>
  <c r="AT1768" i="2"/>
  <c r="U1768" i="2"/>
  <c r="S1768" i="2"/>
  <c r="R1768" i="2"/>
  <c r="B1768" i="2"/>
  <c r="BV1767" i="2"/>
  <c r="BU1767" i="2"/>
  <c r="BS1767" i="2"/>
  <c r="BR1767" i="2"/>
  <c r="BP1767" i="2"/>
  <c r="BO1767" i="2"/>
  <c r="BM1767" i="2"/>
  <c r="BL1767" i="2"/>
  <c r="BJ1767" i="2"/>
  <c r="BI1767" i="2"/>
  <c r="BG1767" i="2"/>
  <c r="BF1767" i="2"/>
  <c r="BD1767" i="2"/>
  <c r="BC1767" i="2"/>
  <c r="BA1767" i="2"/>
  <c r="AZ1767" i="2"/>
  <c r="AX1767" i="2"/>
  <c r="AW1767" i="2"/>
  <c r="AU1767" i="2"/>
  <c r="AT1767" i="2"/>
  <c r="U1767" i="2"/>
  <c r="R1767" i="2"/>
  <c r="S1767" i="2" s="1"/>
  <c r="B1767" i="2"/>
  <c r="BV1766" i="2"/>
  <c r="BU1766" i="2"/>
  <c r="BS1766" i="2"/>
  <c r="BR1766" i="2"/>
  <c r="BP1766" i="2"/>
  <c r="BO1766" i="2"/>
  <c r="BM1766" i="2"/>
  <c r="BL1766" i="2"/>
  <c r="BJ1766" i="2"/>
  <c r="BI1766" i="2"/>
  <c r="BG1766" i="2"/>
  <c r="BF1766" i="2"/>
  <c r="BD1766" i="2"/>
  <c r="BC1766" i="2"/>
  <c r="BA1766" i="2"/>
  <c r="AZ1766" i="2"/>
  <c r="AX1766" i="2"/>
  <c r="AW1766" i="2"/>
  <c r="AU1766" i="2"/>
  <c r="AT1766" i="2"/>
  <c r="U1766" i="2"/>
  <c r="R1766" i="2"/>
  <c r="S1766" i="2" s="1"/>
  <c r="B1766" i="2"/>
  <c r="BV1765" i="2"/>
  <c r="BV1792" i="2" s="1"/>
  <c r="BV1791" i="2" s="1"/>
  <c r="BU1765" i="2"/>
  <c r="BU1792" i="2" s="1"/>
  <c r="BU1791" i="2" s="1"/>
  <c r="BS1765" i="2"/>
  <c r="BS1792" i="2" s="1"/>
  <c r="BS1791" i="2" s="1"/>
  <c r="BR1765" i="2"/>
  <c r="BR1785" i="2" s="1"/>
  <c r="BP1765" i="2"/>
  <c r="BP1792" i="2" s="1"/>
  <c r="BP1791" i="2" s="1"/>
  <c r="BO1765" i="2"/>
  <c r="BO1785" i="2" s="1"/>
  <c r="BM1765" i="2"/>
  <c r="BM1785" i="2" s="1"/>
  <c r="BL1765" i="2"/>
  <c r="BL1785" i="2" s="1"/>
  <c r="BJ1765" i="2"/>
  <c r="BJ1785" i="2" s="1"/>
  <c r="BI1765" i="2"/>
  <c r="BI1785" i="2" s="1"/>
  <c r="BG1765" i="2"/>
  <c r="BG1792" i="2" s="1"/>
  <c r="BG1791" i="2" s="1"/>
  <c r="BF1765" i="2"/>
  <c r="BF1792" i="2" s="1"/>
  <c r="BF1791" i="2" s="1"/>
  <c r="BD1765" i="2"/>
  <c r="BD1792" i="2" s="1"/>
  <c r="BD1791" i="2" s="1"/>
  <c r="BC1765" i="2"/>
  <c r="BC1792" i="2" s="1"/>
  <c r="BC1791" i="2" s="1"/>
  <c r="BA1765" i="2"/>
  <c r="BA1792" i="2" s="1"/>
  <c r="BA1791" i="2" s="1"/>
  <c r="AZ1765" i="2"/>
  <c r="AZ1785" i="2" s="1"/>
  <c r="AX1765" i="2"/>
  <c r="AX1792" i="2" s="1"/>
  <c r="AX1791" i="2" s="1"/>
  <c r="AW1765" i="2"/>
  <c r="AW1785" i="2" s="1"/>
  <c r="AU1765" i="2"/>
  <c r="AU1785" i="2" s="1"/>
  <c r="AT1765" i="2"/>
  <c r="AT1785" i="2" s="1"/>
  <c r="U1765" i="2"/>
  <c r="AR1765" i="2" s="1"/>
  <c r="R1765" i="2"/>
  <c r="R1790" i="2" s="1"/>
  <c r="B1765" i="2"/>
  <c r="AQ1762" i="2"/>
  <c r="BV1750" i="2"/>
  <c r="BU1750" i="2"/>
  <c r="BS1750" i="2"/>
  <c r="BR1750" i="2"/>
  <c r="BP1750" i="2"/>
  <c r="BO1750" i="2"/>
  <c r="BM1750" i="2"/>
  <c r="BL1750" i="2"/>
  <c r="BJ1750" i="2"/>
  <c r="BI1750" i="2"/>
  <c r="BG1750" i="2"/>
  <c r="BF1750" i="2"/>
  <c r="BD1750" i="2"/>
  <c r="BC1750" i="2"/>
  <c r="BA1750" i="2"/>
  <c r="AZ1750" i="2"/>
  <c r="AX1750" i="2"/>
  <c r="AW1750" i="2"/>
  <c r="AU1750" i="2"/>
  <c r="AT1750" i="2"/>
  <c r="U1750" i="2"/>
  <c r="R1750" i="2"/>
  <c r="S1750" i="2" s="1"/>
  <c r="B1750" i="2"/>
  <c r="BV1749" i="2"/>
  <c r="BU1749" i="2"/>
  <c r="BS1749" i="2"/>
  <c r="BR1749" i="2"/>
  <c r="BP1749" i="2"/>
  <c r="BO1749" i="2"/>
  <c r="BM1749" i="2"/>
  <c r="BL1749" i="2"/>
  <c r="BJ1749" i="2"/>
  <c r="BI1749" i="2"/>
  <c r="BG1749" i="2"/>
  <c r="BF1749" i="2"/>
  <c r="BD1749" i="2"/>
  <c r="BC1749" i="2"/>
  <c r="BA1749" i="2"/>
  <c r="AZ1749" i="2"/>
  <c r="AX1749" i="2"/>
  <c r="AW1749" i="2"/>
  <c r="AU1749" i="2"/>
  <c r="AT1749" i="2"/>
  <c r="U1749" i="2"/>
  <c r="R1749" i="2"/>
  <c r="B1749" i="2"/>
  <c r="BV1748" i="2"/>
  <c r="BU1748" i="2"/>
  <c r="BS1748" i="2"/>
  <c r="BR1748" i="2"/>
  <c r="BP1748" i="2"/>
  <c r="BO1748" i="2"/>
  <c r="BM1748" i="2"/>
  <c r="BL1748" i="2"/>
  <c r="BJ1748" i="2"/>
  <c r="BI1748" i="2"/>
  <c r="BG1748" i="2"/>
  <c r="BF1748" i="2"/>
  <c r="BD1748" i="2"/>
  <c r="BC1748" i="2"/>
  <c r="BA1748" i="2"/>
  <c r="AZ1748" i="2"/>
  <c r="AX1748" i="2"/>
  <c r="AW1748" i="2"/>
  <c r="AU1748" i="2"/>
  <c r="AT1748" i="2"/>
  <c r="U1748" i="2"/>
  <c r="S1748" i="2"/>
  <c r="R1748" i="2"/>
  <c r="B1748" i="2"/>
  <c r="BV1747" i="2"/>
  <c r="BU1747" i="2"/>
  <c r="BS1747" i="2"/>
  <c r="BR1747" i="2"/>
  <c r="BP1747" i="2"/>
  <c r="BO1747" i="2"/>
  <c r="BM1747" i="2"/>
  <c r="BL1747" i="2"/>
  <c r="BJ1747" i="2"/>
  <c r="BI1747" i="2"/>
  <c r="BG1747" i="2"/>
  <c r="BF1747" i="2"/>
  <c r="BD1747" i="2"/>
  <c r="BC1747" i="2"/>
  <c r="BA1747" i="2"/>
  <c r="AZ1747" i="2"/>
  <c r="AX1747" i="2"/>
  <c r="AW1747" i="2"/>
  <c r="AU1747" i="2"/>
  <c r="AT1747" i="2"/>
  <c r="U1747" i="2"/>
  <c r="R1747" i="2"/>
  <c r="S1747" i="2" s="1"/>
  <c r="B1747" i="2"/>
  <c r="BV1746" i="2"/>
  <c r="BU1746" i="2"/>
  <c r="BS1746" i="2"/>
  <c r="BR1746" i="2"/>
  <c r="BP1746" i="2"/>
  <c r="BO1746" i="2"/>
  <c r="BM1746" i="2"/>
  <c r="BL1746" i="2"/>
  <c r="BJ1746" i="2"/>
  <c r="BI1746" i="2"/>
  <c r="BG1746" i="2"/>
  <c r="BF1746" i="2"/>
  <c r="BD1746" i="2"/>
  <c r="BC1746" i="2"/>
  <c r="BA1746" i="2"/>
  <c r="AZ1746" i="2"/>
  <c r="AX1746" i="2"/>
  <c r="AW1746" i="2"/>
  <c r="AU1746" i="2"/>
  <c r="AT1746" i="2"/>
  <c r="U1746" i="2"/>
  <c r="R1746" i="2"/>
  <c r="B1746" i="2"/>
  <c r="BV1745" i="2"/>
  <c r="BU1745" i="2"/>
  <c r="BS1745" i="2"/>
  <c r="BR1745" i="2"/>
  <c r="BP1745" i="2"/>
  <c r="BO1745" i="2"/>
  <c r="BM1745" i="2"/>
  <c r="BL1745" i="2"/>
  <c r="BJ1745" i="2"/>
  <c r="BI1745" i="2"/>
  <c r="BG1745" i="2"/>
  <c r="BF1745" i="2"/>
  <c r="BD1745" i="2"/>
  <c r="BC1745" i="2"/>
  <c r="BA1745" i="2"/>
  <c r="AZ1745" i="2"/>
  <c r="AX1745" i="2"/>
  <c r="AW1745" i="2"/>
  <c r="AU1745" i="2"/>
  <c r="AT1745" i="2"/>
  <c r="U1745" i="2"/>
  <c r="S1745" i="2"/>
  <c r="R1745" i="2"/>
  <c r="B1745" i="2"/>
  <c r="BV1744" i="2"/>
  <c r="BU1744" i="2"/>
  <c r="BS1744" i="2"/>
  <c r="BR1744" i="2"/>
  <c r="BP1744" i="2"/>
  <c r="BO1744" i="2"/>
  <c r="BM1744" i="2"/>
  <c r="BL1744" i="2"/>
  <c r="BJ1744" i="2"/>
  <c r="BI1744" i="2"/>
  <c r="BG1744" i="2"/>
  <c r="BF1744" i="2"/>
  <c r="BD1744" i="2"/>
  <c r="BC1744" i="2"/>
  <c r="BA1744" i="2"/>
  <c r="AZ1744" i="2"/>
  <c r="AX1744" i="2"/>
  <c r="AW1744" i="2"/>
  <c r="AU1744" i="2"/>
  <c r="AT1744" i="2"/>
  <c r="U1744" i="2"/>
  <c r="R1744" i="2"/>
  <c r="S1744" i="2" s="1"/>
  <c r="B1744" i="2"/>
  <c r="BV1743" i="2"/>
  <c r="BU1743" i="2"/>
  <c r="BS1743" i="2"/>
  <c r="BR1743" i="2"/>
  <c r="BP1743" i="2"/>
  <c r="BO1743" i="2"/>
  <c r="BM1743" i="2"/>
  <c r="BL1743" i="2"/>
  <c r="BJ1743" i="2"/>
  <c r="BI1743" i="2"/>
  <c r="BG1743" i="2"/>
  <c r="BF1743" i="2"/>
  <c r="BD1743" i="2"/>
  <c r="BC1743" i="2"/>
  <c r="BA1743" i="2"/>
  <c r="AZ1743" i="2"/>
  <c r="AX1743" i="2"/>
  <c r="AW1743" i="2"/>
  <c r="AU1743" i="2"/>
  <c r="AT1743" i="2"/>
  <c r="U1743" i="2"/>
  <c r="R1743" i="2"/>
  <c r="B1743" i="2"/>
  <c r="BV1742" i="2"/>
  <c r="BU1742" i="2"/>
  <c r="BS1742" i="2"/>
  <c r="BR1742" i="2"/>
  <c r="BP1742" i="2"/>
  <c r="BO1742" i="2"/>
  <c r="BM1742" i="2"/>
  <c r="BL1742" i="2"/>
  <c r="BJ1742" i="2"/>
  <c r="BI1742" i="2"/>
  <c r="BG1742" i="2"/>
  <c r="BF1742" i="2"/>
  <c r="BD1742" i="2"/>
  <c r="BC1742" i="2"/>
  <c r="BA1742" i="2"/>
  <c r="AZ1742" i="2"/>
  <c r="AX1742" i="2"/>
  <c r="AW1742" i="2"/>
  <c r="AU1742" i="2"/>
  <c r="AT1742" i="2"/>
  <c r="U1742" i="2"/>
  <c r="S1742" i="2"/>
  <c r="R1742" i="2"/>
  <c r="B1742" i="2"/>
  <c r="BV1741" i="2"/>
  <c r="BU1741" i="2"/>
  <c r="BS1741" i="2"/>
  <c r="BR1741" i="2"/>
  <c r="BP1741" i="2"/>
  <c r="BO1741" i="2"/>
  <c r="BM1741" i="2"/>
  <c r="BL1741" i="2"/>
  <c r="BJ1741" i="2"/>
  <c r="BI1741" i="2"/>
  <c r="BG1741" i="2"/>
  <c r="BF1741" i="2"/>
  <c r="BD1741" i="2"/>
  <c r="BC1741" i="2"/>
  <c r="BA1741" i="2"/>
  <c r="AZ1741" i="2"/>
  <c r="AX1741" i="2"/>
  <c r="AW1741" i="2"/>
  <c r="AU1741" i="2"/>
  <c r="AT1741" i="2"/>
  <c r="U1741" i="2"/>
  <c r="R1741" i="2"/>
  <c r="S1741" i="2" s="1"/>
  <c r="B1741" i="2"/>
  <c r="BV1740" i="2"/>
  <c r="BU1740" i="2"/>
  <c r="BS1740" i="2"/>
  <c r="BR1740" i="2"/>
  <c r="BP1740" i="2"/>
  <c r="BO1740" i="2"/>
  <c r="BM1740" i="2"/>
  <c r="BL1740" i="2"/>
  <c r="BJ1740" i="2"/>
  <c r="BI1740" i="2"/>
  <c r="BG1740" i="2"/>
  <c r="BF1740" i="2"/>
  <c r="BD1740" i="2"/>
  <c r="BC1740" i="2"/>
  <c r="BA1740" i="2"/>
  <c r="AZ1740" i="2"/>
  <c r="AX1740" i="2"/>
  <c r="AW1740" i="2"/>
  <c r="AU1740" i="2"/>
  <c r="AT1740" i="2"/>
  <c r="U1740" i="2"/>
  <c r="R1740" i="2"/>
  <c r="S1740" i="2" s="1"/>
  <c r="B1740" i="2"/>
  <c r="BV1739" i="2"/>
  <c r="BU1739" i="2"/>
  <c r="BS1739" i="2"/>
  <c r="BR1739" i="2"/>
  <c r="BP1739" i="2"/>
  <c r="BO1739" i="2"/>
  <c r="BM1739" i="2"/>
  <c r="BL1739" i="2"/>
  <c r="BJ1739" i="2"/>
  <c r="BI1739" i="2"/>
  <c r="BG1739" i="2"/>
  <c r="BF1739" i="2"/>
  <c r="BD1739" i="2"/>
  <c r="BC1739" i="2"/>
  <c r="BA1739" i="2"/>
  <c r="AZ1739" i="2"/>
  <c r="AX1739" i="2"/>
  <c r="AW1739" i="2"/>
  <c r="AU1739" i="2"/>
  <c r="AT1739" i="2"/>
  <c r="U1739" i="2"/>
  <c r="S1739" i="2"/>
  <c r="R1739" i="2"/>
  <c r="B1739" i="2"/>
  <c r="BV1738" i="2"/>
  <c r="BU1738" i="2"/>
  <c r="BS1738" i="2"/>
  <c r="BR1738" i="2"/>
  <c r="BP1738" i="2"/>
  <c r="BO1738" i="2"/>
  <c r="BM1738" i="2"/>
  <c r="BL1738" i="2"/>
  <c r="BJ1738" i="2"/>
  <c r="BI1738" i="2"/>
  <c r="BG1738" i="2"/>
  <c r="BF1738" i="2"/>
  <c r="BD1738" i="2"/>
  <c r="BC1738" i="2"/>
  <c r="BA1738" i="2"/>
  <c r="AZ1738" i="2"/>
  <c r="AX1738" i="2"/>
  <c r="AW1738" i="2"/>
  <c r="AU1738" i="2"/>
  <c r="AT1738" i="2"/>
  <c r="U1738" i="2"/>
  <c r="R1738" i="2"/>
  <c r="S1738" i="2" s="1"/>
  <c r="B1738" i="2"/>
  <c r="BV1737" i="2"/>
  <c r="BU1737" i="2"/>
  <c r="BS1737" i="2"/>
  <c r="BR1737" i="2"/>
  <c r="BP1737" i="2"/>
  <c r="BO1737" i="2"/>
  <c r="BM1737" i="2"/>
  <c r="BL1737" i="2"/>
  <c r="BJ1737" i="2"/>
  <c r="BI1737" i="2"/>
  <c r="BG1737" i="2"/>
  <c r="BF1737" i="2"/>
  <c r="BD1737" i="2"/>
  <c r="BC1737" i="2"/>
  <c r="BA1737" i="2"/>
  <c r="AZ1737" i="2"/>
  <c r="AX1737" i="2"/>
  <c r="AW1737" i="2"/>
  <c r="AU1737" i="2"/>
  <c r="AT1737" i="2"/>
  <c r="U1737" i="2"/>
  <c r="R1737" i="2"/>
  <c r="B1737" i="2"/>
  <c r="BV1736" i="2"/>
  <c r="BU1736" i="2"/>
  <c r="BS1736" i="2"/>
  <c r="BR1736" i="2"/>
  <c r="BP1736" i="2"/>
  <c r="BO1736" i="2"/>
  <c r="BM1736" i="2"/>
  <c r="BL1736" i="2"/>
  <c r="BJ1736" i="2"/>
  <c r="BI1736" i="2"/>
  <c r="BG1736" i="2"/>
  <c r="BF1736" i="2"/>
  <c r="BD1736" i="2"/>
  <c r="BC1736" i="2"/>
  <c r="BA1736" i="2"/>
  <c r="AZ1736" i="2"/>
  <c r="AX1736" i="2"/>
  <c r="AW1736" i="2"/>
  <c r="AU1736" i="2"/>
  <c r="AT1736" i="2"/>
  <c r="U1736" i="2"/>
  <c r="S1736" i="2"/>
  <c r="R1736" i="2"/>
  <c r="B1736" i="2"/>
  <c r="BV1735" i="2"/>
  <c r="BU1735" i="2"/>
  <c r="BS1735" i="2"/>
  <c r="BR1735" i="2"/>
  <c r="BP1735" i="2"/>
  <c r="BO1735" i="2"/>
  <c r="BM1735" i="2"/>
  <c r="BL1735" i="2"/>
  <c r="BJ1735" i="2"/>
  <c r="BI1735" i="2"/>
  <c r="BG1735" i="2"/>
  <c r="BF1735" i="2"/>
  <c r="BD1735" i="2"/>
  <c r="BC1735" i="2"/>
  <c r="BA1735" i="2"/>
  <c r="AZ1735" i="2"/>
  <c r="AX1735" i="2"/>
  <c r="AW1735" i="2"/>
  <c r="AU1735" i="2"/>
  <c r="AT1735" i="2"/>
  <c r="U1735" i="2"/>
  <c r="R1735" i="2"/>
  <c r="S1735" i="2" s="1"/>
  <c r="B1735" i="2"/>
  <c r="BV1734" i="2"/>
  <c r="BU1734" i="2"/>
  <c r="BS1734" i="2"/>
  <c r="BR1734" i="2"/>
  <c r="BP1734" i="2"/>
  <c r="BO1734" i="2"/>
  <c r="BM1734" i="2"/>
  <c r="BL1734" i="2"/>
  <c r="BJ1734" i="2"/>
  <c r="BI1734" i="2"/>
  <c r="BG1734" i="2"/>
  <c r="BF1734" i="2"/>
  <c r="BD1734" i="2"/>
  <c r="BC1734" i="2"/>
  <c r="BA1734" i="2"/>
  <c r="AZ1734" i="2"/>
  <c r="AX1734" i="2"/>
  <c r="AW1734" i="2"/>
  <c r="AU1734" i="2"/>
  <c r="AT1734" i="2"/>
  <c r="U1734" i="2"/>
  <c r="R1734" i="2"/>
  <c r="B1734" i="2"/>
  <c r="BV1733" i="2"/>
  <c r="BU1733" i="2"/>
  <c r="BS1733" i="2"/>
  <c r="BR1733" i="2"/>
  <c r="BP1733" i="2"/>
  <c r="BO1733" i="2"/>
  <c r="BM1733" i="2"/>
  <c r="BL1733" i="2"/>
  <c r="BJ1733" i="2"/>
  <c r="BI1733" i="2"/>
  <c r="BG1733" i="2"/>
  <c r="BF1733" i="2"/>
  <c r="BD1733" i="2"/>
  <c r="BC1733" i="2"/>
  <c r="BA1733" i="2"/>
  <c r="AZ1733" i="2"/>
  <c r="AX1733" i="2"/>
  <c r="AW1733" i="2"/>
  <c r="AU1733" i="2"/>
  <c r="AT1733" i="2"/>
  <c r="U1733" i="2"/>
  <c r="S1733" i="2"/>
  <c r="R1733" i="2"/>
  <c r="B1733" i="2"/>
  <c r="BV1732" i="2"/>
  <c r="BU1732" i="2"/>
  <c r="BS1732" i="2"/>
  <c r="BR1732" i="2"/>
  <c r="BP1732" i="2"/>
  <c r="BO1732" i="2"/>
  <c r="BM1732" i="2"/>
  <c r="BL1732" i="2"/>
  <c r="BJ1732" i="2"/>
  <c r="BI1732" i="2"/>
  <c r="BG1732" i="2"/>
  <c r="BF1732" i="2"/>
  <c r="BD1732" i="2"/>
  <c r="BC1732" i="2"/>
  <c r="BA1732" i="2"/>
  <c r="AZ1732" i="2"/>
  <c r="AX1732" i="2"/>
  <c r="AW1732" i="2"/>
  <c r="AU1732" i="2"/>
  <c r="AT1732" i="2"/>
  <c r="U1732" i="2"/>
  <c r="R1732" i="2"/>
  <c r="S1732" i="2" s="1"/>
  <c r="B1732" i="2"/>
  <c r="BV1731" i="2"/>
  <c r="BV1751" i="2" s="1"/>
  <c r="BU1731" i="2"/>
  <c r="BU1751" i="2" s="1"/>
  <c r="BS1731" i="2"/>
  <c r="BS1751" i="2" s="1"/>
  <c r="BR1731" i="2"/>
  <c r="BR1751" i="2" s="1"/>
  <c r="BP1731" i="2"/>
  <c r="BP1758" i="2" s="1"/>
  <c r="BP1757" i="2" s="1"/>
  <c r="BO1731" i="2"/>
  <c r="BO1758" i="2" s="1"/>
  <c r="BO1757" i="2" s="1"/>
  <c r="BM1731" i="2"/>
  <c r="BM1758" i="2" s="1"/>
  <c r="BM1757" i="2" s="1"/>
  <c r="BL1731" i="2"/>
  <c r="BL1751" i="2" s="1"/>
  <c r="BJ1731" i="2"/>
  <c r="BJ1751" i="2" s="1"/>
  <c r="BI1731" i="2"/>
  <c r="BI1751" i="2" s="1"/>
  <c r="BG1731" i="2"/>
  <c r="BG1751" i="2" s="1"/>
  <c r="BF1731" i="2"/>
  <c r="BF1751" i="2" s="1"/>
  <c r="BD1731" i="2"/>
  <c r="BD1751" i="2" s="1"/>
  <c r="BC1731" i="2"/>
  <c r="BC1751" i="2" s="1"/>
  <c r="BA1731" i="2"/>
  <c r="BA1751" i="2" s="1"/>
  <c r="AZ1731" i="2"/>
  <c r="AZ1751" i="2" s="1"/>
  <c r="AX1731" i="2"/>
  <c r="AX1758" i="2" s="1"/>
  <c r="AX1757" i="2" s="1"/>
  <c r="AW1731" i="2"/>
  <c r="AW1758" i="2" s="1"/>
  <c r="AW1757" i="2" s="1"/>
  <c r="AU1731" i="2"/>
  <c r="AU1758" i="2" s="1"/>
  <c r="AU1757" i="2" s="1"/>
  <c r="AT1731" i="2"/>
  <c r="AT1751" i="2" s="1"/>
  <c r="AR1731" i="2"/>
  <c r="U1731" i="2"/>
  <c r="S1731" i="2"/>
  <c r="R1731" i="2"/>
  <c r="R1755" i="2" s="1"/>
  <c r="B1731" i="2"/>
  <c r="AQ1728" i="2"/>
  <c r="BV1716" i="2"/>
  <c r="BU1716" i="2"/>
  <c r="BS1716" i="2"/>
  <c r="BR1716" i="2"/>
  <c r="BP1716" i="2"/>
  <c r="BO1716" i="2"/>
  <c r="BM1716" i="2"/>
  <c r="BL1716" i="2"/>
  <c r="BJ1716" i="2"/>
  <c r="BI1716" i="2"/>
  <c r="BG1716" i="2"/>
  <c r="BF1716" i="2"/>
  <c r="BD1716" i="2"/>
  <c r="BC1716" i="2"/>
  <c r="BA1716" i="2"/>
  <c r="AZ1716" i="2"/>
  <c r="AX1716" i="2"/>
  <c r="AW1716" i="2"/>
  <c r="AU1716" i="2"/>
  <c r="AT1716" i="2"/>
  <c r="U1716" i="2"/>
  <c r="S1716" i="2"/>
  <c r="R1716" i="2"/>
  <c r="B1716" i="2"/>
  <c r="BV1715" i="2"/>
  <c r="BU1715" i="2"/>
  <c r="BS1715" i="2"/>
  <c r="BR1715" i="2"/>
  <c r="BP1715" i="2"/>
  <c r="BO1715" i="2"/>
  <c r="BM1715" i="2"/>
  <c r="BL1715" i="2"/>
  <c r="BJ1715" i="2"/>
  <c r="BI1715" i="2"/>
  <c r="BG1715" i="2"/>
  <c r="BF1715" i="2"/>
  <c r="BD1715" i="2"/>
  <c r="BC1715" i="2"/>
  <c r="BA1715" i="2"/>
  <c r="AZ1715" i="2"/>
  <c r="AX1715" i="2"/>
  <c r="AW1715" i="2"/>
  <c r="AU1715" i="2"/>
  <c r="AT1715" i="2"/>
  <c r="U1715" i="2"/>
  <c r="R1715" i="2"/>
  <c r="S1715" i="2" s="1"/>
  <c r="B1715" i="2"/>
  <c r="BV1714" i="2"/>
  <c r="BU1714" i="2"/>
  <c r="BS1714" i="2"/>
  <c r="BR1714" i="2"/>
  <c r="BP1714" i="2"/>
  <c r="BO1714" i="2"/>
  <c r="BM1714" i="2"/>
  <c r="BL1714" i="2"/>
  <c r="BJ1714" i="2"/>
  <c r="BI1714" i="2"/>
  <c r="BG1714" i="2"/>
  <c r="BF1714" i="2"/>
  <c r="BD1714" i="2"/>
  <c r="BC1714" i="2"/>
  <c r="BA1714" i="2"/>
  <c r="AZ1714" i="2"/>
  <c r="AX1714" i="2"/>
  <c r="AW1714" i="2"/>
  <c r="AU1714" i="2"/>
  <c r="AT1714" i="2"/>
  <c r="U1714" i="2"/>
  <c r="R1714" i="2"/>
  <c r="S1714" i="2" s="1"/>
  <c r="B1714" i="2"/>
  <c r="BV1713" i="2"/>
  <c r="BU1713" i="2"/>
  <c r="BS1713" i="2"/>
  <c r="BR1713" i="2"/>
  <c r="BP1713" i="2"/>
  <c r="BO1713" i="2"/>
  <c r="BM1713" i="2"/>
  <c r="BL1713" i="2"/>
  <c r="BJ1713" i="2"/>
  <c r="BI1713" i="2"/>
  <c r="BG1713" i="2"/>
  <c r="BF1713" i="2"/>
  <c r="BD1713" i="2"/>
  <c r="BC1713" i="2"/>
  <c r="BA1713" i="2"/>
  <c r="AZ1713" i="2"/>
  <c r="AX1713" i="2"/>
  <c r="AW1713" i="2"/>
  <c r="AU1713" i="2"/>
  <c r="AT1713" i="2"/>
  <c r="U1713" i="2"/>
  <c r="S1713" i="2"/>
  <c r="R1713" i="2"/>
  <c r="B1713" i="2"/>
  <c r="BV1712" i="2"/>
  <c r="BU1712" i="2"/>
  <c r="BS1712" i="2"/>
  <c r="BR1712" i="2"/>
  <c r="BP1712" i="2"/>
  <c r="BO1712" i="2"/>
  <c r="BM1712" i="2"/>
  <c r="BL1712" i="2"/>
  <c r="BJ1712" i="2"/>
  <c r="BI1712" i="2"/>
  <c r="BG1712" i="2"/>
  <c r="BF1712" i="2"/>
  <c r="BD1712" i="2"/>
  <c r="BC1712" i="2"/>
  <c r="BA1712" i="2"/>
  <c r="AZ1712" i="2"/>
  <c r="AX1712" i="2"/>
  <c r="AW1712" i="2"/>
  <c r="AU1712" i="2"/>
  <c r="AT1712" i="2"/>
  <c r="U1712" i="2"/>
  <c r="R1712" i="2"/>
  <c r="S1712" i="2" s="1"/>
  <c r="B1712" i="2"/>
  <c r="BV1711" i="2"/>
  <c r="BU1711" i="2"/>
  <c r="BS1711" i="2"/>
  <c r="BR1711" i="2"/>
  <c r="BP1711" i="2"/>
  <c r="BO1711" i="2"/>
  <c r="BM1711" i="2"/>
  <c r="BL1711" i="2"/>
  <c r="BJ1711" i="2"/>
  <c r="BI1711" i="2"/>
  <c r="BG1711" i="2"/>
  <c r="BF1711" i="2"/>
  <c r="BD1711" i="2"/>
  <c r="BC1711" i="2"/>
  <c r="BA1711" i="2"/>
  <c r="AZ1711" i="2"/>
  <c r="AX1711" i="2"/>
  <c r="AW1711" i="2"/>
  <c r="AU1711" i="2"/>
  <c r="AT1711" i="2"/>
  <c r="U1711" i="2"/>
  <c r="R1711" i="2"/>
  <c r="B1711" i="2"/>
  <c r="BV1710" i="2"/>
  <c r="BU1710" i="2"/>
  <c r="BS1710" i="2"/>
  <c r="BR1710" i="2"/>
  <c r="BP1710" i="2"/>
  <c r="BO1710" i="2"/>
  <c r="BM1710" i="2"/>
  <c r="BL1710" i="2"/>
  <c r="BJ1710" i="2"/>
  <c r="BI1710" i="2"/>
  <c r="BG1710" i="2"/>
  <c r="BF1710" i="2"/>
  <c r="BD1710" i="2"/>
  <c r="BC1710" i="2"/>
  <c r="BA1710" i="2"/>
  <c r="AZ1710" i="2"/>
  <c r="AX1710" i="2"/>
  <c r="AW1710" i="2"/>
  <c r="AU1710" i="2"/>
  <c r="AT1710" i="2"/>
  <c r="U1710" i="2"/>
  <c r="S1710" i="2"/>
  <c r="R1710" i="2"/>
  <c r="B1710" i="2"/>
  <c r="BV1709" i="2"/>
  <c r="BU1709" i="2"/>
  <c r="BS1709" i="2"/>
  <c r="BR1709" i="2"/>
  <c r="BP1709" i="2"/>
  <c r="BO1709" i="2"/>
  <c r="BM1709" i="2"/>
  <c r="BL1709" i="2"/>
  <c r="BJ1709" i="2"/>
  <c r="BI1709" i="2"/>
  <c r="BG1709" i="2"/>
  <c r="BF1709" i="2"/>
  <c r="BD1709" i="2"/>
  <c r="BC1709" i="2"/>
  <c r="BA1709" i="2"/>
  <c r="AZ1709" i="2"/>
  <c r="AX1709" i="2"/>
  <c r="AW1709" i="2"/>
  <c r="AU1709" i="2"/>
  <c r="AT1709" i="2"/>
  <c r="U1709" i="2"/>
  <c r="S1709" i="2"/>
  <c r="R1709" i="2"/>
  <c r="B1709" i="2"/>
  <c r="BV1708" i="2"/>
  <c r="BU1708" i="2"/>
  <c r="BS1708" i="2"/>
  <c r="BR1708" i="2"/>
  <c r="BP1708" i="2"/>
  <c r="BO1708" i="2"/>
  <c r="BM1708" i="2"/>
  <c r="BL1708" i="2"/>
  <c r="BJ1708" i="2"/>
  <c r="BI1708" i="2"/>
  <c r="BG1708" i="2"/>
  <c r="BF1708" i="2"/>
  <c r="BD1708" i="2"/>
  <c r="BC1708" i="2"/>
  <c r="BA1708" i="2"/>
  <c r="AZ1708" i="2"/>
  <c r="AX1708" i="2"/>
  <c r="AW1708" i="2"/>
  <c r="AU1708" i="2"/>
  <c r="AT1708" i="2"/>
  <c r="U1708" i="2"/>
  <c r="R1708" i="2"/>
  <c r="B1708" i="2"/>
  <c r="BV1707" i="2"/>
  <c r="BU1707" i="2"/>
  <c r="BS1707" i="2"/>
  <c r="BR1707" i="2"/>
  <c r="BP1707" i="2"/>
  <c r="BO1707" i="2"/>
  <c r="BM1707" i="2"/>
  <c r="BL1707" i="2"/>
  <c r="BJ1707" i="2"/>
  <c r="BI1707" i="2"/>
  <c r="BG1707" i="2"/>
  <c r="BF1707" i="2"/>
  <c r="BD1707" i="2"/>
  <c r="BC1707" i="2"/>
  <c r="BA1707" i="2"/>
  <c r="AZ1707" i="2"/>
  <c r="AX1707" i="2"/>
  <c r="AW1707" i="2"/>
  <c r="AU1707" i="2"/>
  <c r="AT1707" i="2"/>
  <c r="U1707" i="2"/>
  <c r="S1707" i="2"/>
  <c r="R1707" i="2"/>
  <c r="B1707" i="2"/>
  <c r="BV1706" i="2"/>
  <c r="BU1706" i="2"/>
  <c r="BS1706" i="2"/>
  <c r="BR1706" i="2"/>
  <c r="BP1706" i="2"/>
  <c r="BO1706" i="2"/>
  <c r="BM1706" i="2"/>
  <c r="BL1706" i="2"/>
  <c r="BJ1706" i="2"/>
  <c r="BI1706" i="2"/>
  <c r="BG1706" i="2"/>
  <c r="BF1706" i="2"/>
  <c r="BD1706" i="2"/>
  <c r="BC1706" i="2"/>
  <c r="BA1706" i="2"/>
  <c r="AZ1706" i="2"/>
  <c r="AX1706" i="2"/>
  <c r="AW1706" i="2"/>
  <c r="AU1706" i="2"/>
  <c r="AT1706" i="2"/>
  <c r="U1706" i="2"/>
  <c r="R1706" i="2"/>
  <c r="S1706" i="2" s="1"/>
  <c r="B1706" i="2"/>
  <c r="BV1705" i="2"/>
  <c r="BU1705" i="2"/>
  <c r="BS1705" i="2"/>
  <c r="BR1705" i="2"/>
  <c r="BP1705" i="2"/>
  <c r="BO1705" i="2"/>
  <c r="BM1705" i="2"/>
  <c r="BL1705" i="2"/>
  <c r="BJ1705" i="2"/>
  <c r="BI1705" i="2"/>
  <c r="BG1705" i="2"/>
  <c r="BF1705" i="2"/>
  <c r="BD1705" i="2"/>
  <c r="BC1705" i="2"/>
  <c r="BA1705" i="2"/>
  <c r="AZ1705" i="2"/>
  <c r="AX1705" i="2"/>
  <c r="AW1705" i="2"/>
  <c r="AU1705" i="2"/>
  <c r="AT1705" i="2"/>
  <c r="U1705" i="2"/>
  <c r="R1705" i="2"/>
  <c r="B1705" i="2"/>
  <c r="BV1704" i="2"/>
  <c r="BU1704" i="2"/>
  <c r="BS1704" i="2"/>
  <c r="BR1704" i="2"/>
  <c r="BP1704" i="2"/>
  <c r="BO1704" i="2"/>
  <c r="BM1704" i="2"/>
  <c r="BL1704" i="2"/>
  <c r="BJ1704" i="2"/>
  <c r="BI1704" i="2"/>
  <c r="BG1704" i="2"/>
  <c r="BF1704" i="2"/>
  <c r="BD1704" i="2"/>
  <c r="BC1704" i="2"/>
  <c r="BA1704" i="2"/>
  <c r="AZ1704" i="2"/>
  <c r="AX1704" i="2"/>
  <c r="AW1704" i="2"/>
  <c r="AU1704" i="2"/>
  <c r="AT1704" i="2"/>
  <c r="U1704" i="2"/>
  <c r="S1704" i="2"/>
  <c r="R1704" i="2"/>
  <c r="B1704" i="2"/>
  <c r="BV1703" i="2"/>
  <c r="BU1703" i="2"/>
  <c r="BS1703" i="2"/>
  <c r="BR1703" i="2"/>
  <c r="BP1703" i="2"/>
  <c r="BO1703" i="2"/>
  <c r="BM1703" i="2"/>
  <c r="BL1703" i="2"/>
  <c r="BJ1703" i="2"/>
  <c r="BI1703" i="2"/>
  <c r="BG1703" i="2"/>
  <c r="BF1703" i="2"/>
  <c r="BD1703" i="2"/>
  <c r="BC1703" i="2"/>
  <c r="BA1703" i="2"/>
  <c r="AZ1703" i="2"/>
  <c r="AX1703" i="2"/>
  <c r="AW1703" i="2"/>
  <c r="AU1703" i="2"/>
  <c r="AT1703" i="2"/>
  <c r="U1703" i="2"/>
  <c r="R1703" i="2"/>
  <c r="S1703" i="2" s="1"/>
  <c r="B1703" i="2"/>
  <c r="BV1702" i="2"/>
  <c r="BU1702" i="2"/>
  <c r="BS1702" i="2"/>
  <c r="BR1702" i="2"/>
  <c r="BP1702" i="2"/>
  <c r="BO1702" i="2"/>
  <c r="BM1702" i="2"/>
  <c r="BL1702" i="2"/>
  <c r="BJ1702" i="2"/>
  <c r="BI1702" i="2"/>
  <c r="BG1702" i="2"/>
  <c r="BF1702" i="2"/>
  <c r="BD1702" i="2"/>
  <c r="BC1702" i="2"/>
  <c r="BA1702" i="2"/>
  <c r="AZ1702" i="2"/>
  <c r="AX1702" i="2"/>
  <c r="AW1702" i="2"/>
  <c r="AU1702" i="2"/>
  <c r="AT1702" i="2"/>
  <c r="U1702" i="2"/>
  <c r="S1702" i="2"/>
  <c r="R1702" i="2"/>
  <c r="B1702" i="2"/>
  <c r="BV1701" i="2"/>
  <c r="BU1701" i="2"/>
  <c r="BS1701" i="2"/>
  <c r="BR1701" i="2"/>
  <c r="BP1701" i="2"/>
  <c r="BO1701" i="2"/>
  <c r="BM1701" i="2"/>
  <c r="BL1701" i="2"/>
  <c r="BJ1701" i="2"/>
  <c r="BI1701" i="2"/>
  <c r="BG1701" i="2"/>
  <c r="BF1701" i="2"/>
  <c r="BD1701" i="2"/>
  <c r="BC1701" i="2"/>
  <c r="BA1701" i="2"/>
  <c r="AZ1701" i="2"/>
  <c r="AX1701" i="2"/>
  <c r="AW1701" i="2"/>
  <c r="AU1701" i="2"/>
  <c r="AT1701" i="2"/>
  <c r="U1701" i="2"/>
  <c r="S1701" i="2"/>
  <c r="R1701" i="2"/>
  <c r="B1701" i="2"/>
  <c r="BV1700" i="2"/>
  <c r="BU1700" i="2"/>
  <c r="BS1700" i="2"/>
  <c r="BR1700" i="2"/>
  <c r="BP1700" i="2"/>
  <c r="BO1700" i="2"/>
  <c r="BM1700" i="2"/>
  <c r="BL1700" i="2"/>
  <c r="BJ1700" i="2"/>
  <c r="BI1700" i="2"/>
  <c r="BG1700" i="2"/>
  <c r="BF1700" i="2"/>
  <c r="BD1700" i="2"/>
  <c r="BC1700" i="2"/>
  <c r="BA1700" i="2"/>
  <c r="AZ1700" i="2"/>
  <c r="AX1700" i="2"/>
  <c r="AW1700" i="2"/>
  <c r="AU1700" i="2"/>
  <c r="AT1700" i="2"/>
  <c r="U1700" i="2"/>
  <c r="R1700" i="2"/>
  <c r="S1700" i="2" s="1"/>
  <c r="B1700" i="2"/>
  <c r="BV1699" i="2"/>
  <c r="BU1699" i="2"/>
  <c r="BS1699" i="2"/>
  <c r="BR1699" i="2"/>
  <c r="BP1699" i="2"/>
  <c r="BO1699" i="2"/>
  <c r="BM1699" i="2"/>
  <c r="BL1699" i="2"/>
  <c r="BJ1699" i="2"/>
  <c r="BI1699" i="2"/>
  <c r="BG1699" i="2"/>
  <c r="BF1699" i="2"/>
  <c r="BD1699" i="2"/>
  <c r="BC1699" i="2"/>
  <c r="BA1699" i="2"/>
  <c r="AZ1699" i="2"/>
  <c r="AX1699" i="2"/>
  <c r="AW1699" i="2"/>
  <c r="AU1699" i="2"/>
  <c r="AT1699" i="2"/>
  <c r="U1699" i="2"/>
  <c r="R1699" i="2"/>
  <c r="B1699" i="2"/>
  <c r="BV1698" i="2"/>
  <c r="BU1698" i="2"/>
  <c r="BS1698" i="2"/>
  <c r="BR1698" i="2"/>
  <c r="BP1698" i="2"/>
  <c r="BO1698" i="2"/>
  <c r="BM1698" i="2"/>
  <c r="BL1698" i="2"/>
  <c r="BJ1698" i="2"/>
  <c r="BI1698" i="2"/>
  <c r="BG1698" i="2"/>
  <c r="BF1698" i="2"/>
  <c r="BD1698" i="2"/>
  <c r="BC1698" i="2"/>
  <c r="BA1698" i="2"/>
  <c r="AZ1698" i="2"/>
  <c r="AX1698" i="2"/>
  <c r="AW1698" i="2"/>
  <c r="AU1698" i="2"/>
  <c r="AT1698" i="2"/>
  <c r="U1698" i="2"/>
  <c r="S1698" i="2"/>
  <c r="R1698" i="2"/>
  <c r="B1698" i="2"/>
  <c r="BV1697" i="2"/>
  <c r="BU1697" i="2"/>
  <c r="BU1717" i="2" s="1"/>
  <c r="BS1697" i="2"/>
  <c r="BR1697" i="2"/>
  <c r="BP1697" i="2"/>
  <c r="BO1697" i="2"/>
  <c r="BM1697" i="2"/>
  <c r="BL1697" i="2"/>
  <c r="BJ1697" i="2"/>
  <c r="BJ1724" i="2" s="1"/>
  <c r="BJ1723" i="2" s="1"/>
  <c r="BI1697" i="2"/>
  <c r="BG1697" i="2"/>
  <c r="BF1697" i="2"/>
  <c r="BD1697" i="2"/>
  <c r="BC1697" i="2"/>
  <c r="BC1717" i="2" s="1"/>
  <c r="BA1697" i="2"/>
  <c r="AZ1697" i="2"/>
  <c r="AX1697" i="2"/>
  <c r="AW1697" i="2"/>
  <c r="AU1697" i="2"/>
  <c r="AT1697" i="2"/>
  <c r="U1697" i="2"/>
  <c r="AR1697" i="2" s="1"/>
  <c r="R1697" i="2"/>
  <c r="B1697" i="2"/>
  <c r="AQ1694" i="2"/>
  <c r="BV1680" i="2"/>
  <c r="BU1680" i="2"/>
  <c r="BS1680" i="2"/>
  <c r="BR1680" i="2"/>
  <c r="BP1680" i="2"/>
  <c r="BO1680" i="2"/>
  <c r="BM1680" i="2"/>
  <c r="BL1680" i="2"/>
  <c r="BJ1680" i="2"/>
  <c r="BI1680" i="2"/>
  <c r="BG1680" i="2"/>
  <c r="BF1680" i="2"/>
  <c r="BD1680" i="2"/>
  <c r="BC1680" i="2"/>
  <c r="BA1680" i="2"/>
  <c r="AZ1680" i="2"/>
  <c r="AX1680" i="2"/>
  <c r="AW1680" i="2"/>
  <c r="AU1680" i="2"/>
  <c r="AT1680" i="2"/>
  <c r="U1680" i="2"/>
  <c r="R1680" i="2"/>
  <c r="B1680" i="2"/>
  <c r="BV1679" i="2"/>
  <c r="BU1679" i="2"/>
  <c r="BS1679" i="2"/>
  <c r="BR1679" i="2"/>
  <c r="BP1679" i="2"/>
  <c r="BO1679" i="2"/>
  <c r="BM1679" i="2"/>
  <c r="BL1679" i="2"/>
  <c r="BJ1679" i="2"/>
  <c r="BI1679" i="2"/>
  <c r="BG1679" i="2"/>
  <c r="BF1679" i="2"/>
  <c r="BD1679" i="2"/>
  <c r="BC1679" i="2"/>
  <c r="BA1679" i="2"/>
  <c r="AZ1679" i="2"/>
  <c r="AX1679" i="2"/>
  <c r="AW1679" i="2"/>
  <c r="AU1679" i="2"/>
  <c r="AT1679" i="2"/>
  <c r="U1679" i="2"/>
  <c r="S1679" i="2"/>
  <c r="R1679" i="2"/>
  <c r="B1679" i="2"/>
  <c r="BV1678" i="2"/>
  <c r="BU1678" i="2"/>
  <c r="BS1678" i="2"/>
  <c r="BR1678" i="2"/>
  <c r="BP1678" i="2"/>
  <c r="BO1678" i="2"/>
  <c r="BM1678" i="2"/>
  <c r="BL1678" i="2"/>
  <c r="BJ1678" i="2"/>
  <c r="BI1678" i="2"/>
  <c r="BG1678" i="2"/>
  <c r="BF1678" i="2"/>
  <c r="BD1678" i="2"/>
  <c r="BC1678" i="2"/>
  <c r="BA1678" i="2"/>
  <c r="AZ1678" i="2"/>
  <c r="AX1678" i="2"/>
  <c r="AW1678" i="2"/>
  <c r="AU1678" i="2"/>
  <c r="AT1678" i="2"/>
  <c r="U1678" i="2"/>
  <c r="R1678" i="2"/>
  <c r="B1678" i="2"/>
  <c r="BV1677" i="2"/>
  <c r="BU1677" i="2"/>
  <c r="BS1677" i="2"/>
  <c r="BR1677" i="2"/>
  <c r="BP1677" i="2"/>
  <c r="BO1677" i="2"/>
  <c r="BM1677" i="2"/>
  <c r="BL1677" i="2"/>
  <c r="BJ1677" i="2"/>
  <c r="BI1677" i="2"/>
  <c r="BG1677" i="2"/>
  <c r="BF1677" i="2"/>
  <c r="BD1677" i="2"/>
  <c r="BC1677" i="2"/>
  <c r="BA1677" i="2"/>
  <c r="AZ1677" i="2"/>
  <c r="AX1677" i="2"/>
  <c r="AW1677" i="2"/>
  <c r="AU1677" i="2"/>
  <c r="AT1677" i="2"/>
  <c r="U1677" i="2"/>
  <c r="S1677" i="2"/>
  <c r="R1677" i="2"/>
  <c r="B1677" i="2"/>
  <c r="BV1676" i="2"/>
  <c r="BU1676" i="2"/>
  <c r="BS1676" i="2"/>
  <c r="BR1676" i="2"/>
  <c r="BP1676" i="2"/>
  <c r="BO1676" i="2"/>
  <c r="BM1676" i="2"/>
  <c r="BL1676" i="2"/>
  <c r="BJ1676" i="2"/>
  <c r="BI1676" i="2"/>
  <c r="BG1676" i="2"/>
  <c r="BF1676" i="2"/>
  <c r="BD1676" i="2"/>
  <c r="BC1676" i="2"/>
  <c r="BA1676" i="2"/>
  <c r="AZ1676" i="2"/>
  <c r="AX1676" i="2"/>
  <c r="AW1676" i="2"/>
  <c r="AU1676" i="2"/>
  <c r="AT1676" i="2"/>
  <c r="U1676" i="2"/>
  <c r="S1676" i="2"/>
  <c r="R1676" i="2"/>
  <c r="B1676" i="2"/>
  <c r="BV1675" i="2"/>
  <c r="BU1675" i="2"/>
  <c r="BS1675" i="2"/>
  <c r="BR1675" i="2"/>
  <c r="BP1675" i="2"/>
  <c r="BO1675" i="2"/>
  <c r="BM1675" i="2"/>
  <c r="BL1675" i="2"/>
  <c r="BJ1675" i="2"/>
  <c r="BI1675" i="2"/>
  <c r="BG1675" i="2"/>
  <c r="BF1675" i="2"/>
  <c r="BD1675" i="2"/>
  <c r="BC1675" i="2"/>
  <c r="BA1675" i="2"/>
  <c r="AZ1675" i="2"/>
  <c r="AX1675" i="2"/>
  <c r="AW1675" i="2"/>
  <c r="AU1675" i="2"/>
  <c r="AT1675" i="2"/>
  <c r="U1675" i="2"/>
  <c r="S1675" i="2"/>
  <c r="R1675" i="2"/>
  <c r="B1675" i="2"/>
  <c r="BV1674" i="2"/>
  <c r="BU1674" i="2"/>
  <c r="BS1674" i="2"/>
  <c r="BR1674" i="2"/>
  <c r="BP1674" i="2"/>
  <c r="BO1674" i="2"/>
  <c r="BM1674" i="2"/>
  <c r="BL1674" i="2"/>
  <c r="BJ1674" i="2"/>
  <c r="BI1674" i="2"/>
  <c r="BG1674" i="2"/>
  <c r="BF1674" i="2"/>
  <c r="BD1674" i="2"/>
  <c r="BC1674" i="2"/>
  <c r="BA1674" i="2"/>
  <c r="AZ1674" i="2"/>
  <c r="AX1674" i="2"/>
  <c r="AW1674" i="2"/>
  <c r="AU1674" i="2"/>
  <c r="AT1674" i="2"/>
  <c r="U1674" i="2"/>
  <c r="R1674" i="2"/>
  <c r="B1674" i="2"/>
  <c r="BV1673" i="2"/>
  <c r="BU1673" i="2"/>
  <c r="BS1673" i="2"/>
  <c r="BR1673" i="2"/>
  <c r="BP1673" i="2"/>
  <c r="BO1673" i="2"/>
  <c r="BM1673" i="2"/>
  <c r="BL1673" i="2"/>
  <c r="BJ1673" i="2"/>
  <c r="BI1673" i="2"/>
  <c r="BG1673" i="2"/>
  <c r="BF1673" i="2"/>
  <c r="BD1673" i="2"/>
  <c r="BC1673" i="2"/>
  <c r="BA1673" i="2"/>
  <c r="AZ1673" i="2"/>
  <c r="AX1673" i="2"/>
  <c r="AW1673" i="2"/>
  <c r="AU1673" i="2"/>
  <c r="AT1673" i="2"/>
  <c r="U1673" i="2"/>
  <c r="R1673" i="2"/>
  <c r="S1673" i="2" s="1"/>
  <c r="B1673" i="2"/>
  <c r="BV1672" i="2"/>
  <c r="BU1672" i="2"/>
  <c r="BS1672" i="2"/>
  <c r="BR1672" i="2"/>
  <c r="BP1672" i="2"/>
  <c r="BO1672" i="2"/>
  <c r="BM1672" i="2"/>
  <c r="BL1672" i="2"/>
  <c r="BJ1672" i="2"/>
  <c r="BI1672" i="2"/>
  <c r="BG1672" i="2"/>
  <c r="BF1672" i="2"/>
  <c r="BD1672" i="2"/>
  <c r="BC1672" i="2"/>
  <c r="BA1672" i="2"/>
  <c r="AZ1672" i="2"/>
  <c r="AX1672" i="2"/>
  <c r="AW1672" i="2"/>
  <c r="AU1672" i="2"/>
  <c r="AT1672" i="2"/>
  <c r="U1672" i="2"/>
  <c r="R1672" i="2"/>
  <c r="B1672" i="2"/>
  <c r="BV1671" i="2"/>
  <c r="BU1671" i="2"/>
  <c r="BS1671" i="2"/>
  <c r="BR1671" i="2"/>
  <c r="BP1671" i="2"/>
  <c r="BO1671" i="2"/>
  <c r="BM1671" i="2"/>
  <c r="BL1671" i="2"/>
  <c r="BJ1671" i="2"/>
  <c r="BI1671" i="2"/>
  <c r="BG1671" i="2"/>
  <c r="BF1671" i="2"/>
  <c r="BD1671" i="2"/>
  <c r="BC1671" i="2"/>
  <c r="BA1671" i="2"/>
  <c r="AZ1671" i="2"/>
  <c r="AX1671" i="2"/>
  <c r="AW1671" i="2"/>
  <c r="AU1671" i="2"/>
  <c r="AT1671" i="2"/>
  <c r="U1671" i="2"/>
  <c r="S1671" i="2"/>
  <c r="R1671" i="2"/>
  <c r="B1671" i="2"/>
  <c r="BV1670" i="2"/>
  <c r="BU1670" i="2"/>
  <c r="BS1670" i="2"/>
  <c r="BR1670" i="2"/>
  <c r="BP1670" i="2"/>
  <c r="BO1670" i="2"/>
  <c r="BM1670" i="2"/>
  <c r="BL1670" i="2"/>
  <c r="BJ1670" i="2"/>
  <c r="BI1670" i="2"/>
  <c r="BG1670" i="2"/>
  <c r="BF1670" i="2"/>
  <c r="BD1670" i="2"/>
  <c r="BC1670" i="2"/>
  <c r="BA1670" i="2"/>
  <c r="AZ1670" i="2"/>
  <c r="AX1670" i="2"/>
  <c r="AW1670" i="2"/>
  <c r="AU1670" i="2"/>
  <c r="AT1670" i="2"/>
  <c r="U1670" i="2"/>
  <c r="S1670" i="2"/>
  <c r="R1670" i="2"/>
  <c r="B1670" i="2"/>
  <c r="BV1669" i="2"/>
  <c r="BU1669" i="2"/>
  <c r="BS1669" i="2"/>
  <c r="BR1669" i="2"/>
  <c r="BP1669" i="2"/>
  <c r="BO1669" i="2"/>
  <c r="BM1669" i="2"/>
  <c r="BL1669" i="2"/>
  <c r="BJ1669" i="2"/>
  <c r="BI1669" i="2"/>
  <c r="BG1669" i="2"/>
  <c r="BF1669" i="2"/>
  <c r="BD1669" i="2"/>
  <c r="BC1669" i="2"/>
  <c r="BA1669" i="2"/>
  <c r="AZ1669" i="2"/>
  <c r="AX1669" i="2"/>
  <c r="AW1669" i="2"/>
  <c r="AU1669" i="2"/>
  <c r="AT1669" i="2"/>
  <c r="U1669" i="2"/>
  <c r="S1669" i="2"/>
  <c r="R1669" i="2"/>
  <c r="B1669" i="2"/>
  <c r="BV1668" i="2"/>
  <c r="BU1668" i="2"/>
  <c r="BS1668" i="2"/>
  <c r="BR1668" i="2"/>
  <c r="BP1668" i="2"/>
  <c r="BO1668" i="2"/>
  <c r="BM1668" i="2"/>
  <c r="BL1668" i="2"/>
  <c r="BJ1668" i="2"/>
  <c r="BI1668" i="2"/>
  <c r="BG1668" i="2"/>
  <c r="BF1668" i="2"/>
  <c r="BD1668" i="2"/>
  <c r="BC1668" i="2"/>
  <c r="BA1668" i="2"/>
  <c r="AZ1668" i="2"/>
  <c r="AX1668" i="2"/>
  <c r="AW1668" i="2"/>
  <c r="AU1668" i="2"/>
  <c r="AT1668" i="2"/>
  <c r="U1668" i="2"/>
  <c r="R1668" i="2"/>
  <c r="S1668" i="2" s="1"/>
  <c r="B1668" i="2"/>
  <c r="BV1667" i="2"/>
  <c r="BU1667" i="2"/>
  <c r="BS1667" i="2"/>
  <c r="BR1667" i="2"/>
  <c r="BP1667" i="2"/>
  <c r="BO1667" i="2"/>
  <c r="BM1667" i="2"/>
  <c r="BL1667" i="2"/>
  <c r="BJ1667" i="2"/>
  <c r="BI1667" i="2"/>
  <c r="BG1667" i="2"/>
  <c r="BF1667" i="2"/>
  <c r="BD1667" i="2"/>
  <c r="BC1667" i="2"/>
  <c r="BA1667" i="2"/>
  <c r="AZ1667" i="2"/>
  <c r="AX1667" i="2"/>
  <c r="AW1667" i="2"/>
  <c r="AU1667" i="2"/>
  <c r="AT1667" i="2"/>
  <c r="U1667" i="2"/>
  <c r="R1667" i="2"/>
  <c r="B1667" i="2"/>
  <c r="BV1666" i="2"/>
  <c r="BU1666" i="2"/>
  <c r="BS1666" i="2"/>
  <c r="BR1666" i="2"/>
  <c r="BP1666" i="2"/>
  <c r="BO1666" i="2"/>
  <c r="BM1666" i="2"/>
  <c r="BL1666" i="2"/>
  <c r="BJ1666" i="2"/>
  <c r="BI1666" i="2"/>
  <c r="BG1666" i="2"/>
  <c r="BF1666" i="2"/>
  <c r="BD1666" i="2"/>
  <c r="BC1666" i="2"/>
  <c r="BA1666" i="2"/>
  <c r="AZ1666" i="2"/>
  <c r="AX1666" i="2"/>
  <c r="AW1666" i="2"/>
  <c r="AU1666" i="2"/>
  <c r="AT1666" i="2"/>
  <c r="U1666" i="2"/>
  <c r="R1666" i="2"/>
  <c r="B1666" i="2"/>
  <c r="BV1665" i="2"/>
  <c r="BU1665" i="2"/>
  <c r="BS1665" i="2"/>
  <c r="BR1665" i="2"/>
  <c r="BP1665" i="2"/>
  <c r="BO1665" i="2"/>
  <c r="BM1665" i="2"/>
  <c r="BL1665" i="2"/>
  <c r="BJ1665" i="2"/>
  <c r="BI1665" i="2"/>
  <c r="BG1665" i="2"/>
  <c r="BF1665" i="2"/>
  <c r="BD1665" i="2"/>
  <c r="BC1665" i="2"/>
  <c r="BA1665" i="2"/>
  <c r="AZ1665" i="2"/>
  <c r="AX1665" i="2"/>
  <c r="AW1665" i="2"/>
  <c r="AU1665" i="2"/>
  <c r="AT1665" i="2"/>
  <c r="U1665" i="2"/>
  <c r="S1665" i="2"/>
  <c r="R1665" i="2"/>
  <c r="B1665" i="2"/>
  <c r="BV1664" i="2"/>
  <c r="BU1664" i="2"/>
  <c r="BS1664" i="2"/>
  <c r="BR1664" i="2"/>
  <c r="BP1664" i="2"/>
  <c r="BO1664" i="2"/>
  <c r="BM1664" i="2"/>
  <c r="BL1664" i="2"/>
  <c r="BJ1664" i="2"/>
  <c r="BI1664" i="2"/>
  <c r="BG1664" i="2"/>
  <c r="BF1664" i="2"/>
  <c r="BD1664" i="2"/>
  <c r="BC1664" i="2"/>
  <c r="BA1664" i="2"/>
  <c r="AZ1664" i="2"/>
  <c r="AX1664" i="2"/>
  <c r="AW1664" i="2"/>
  <c r="AU1664" i="2"/>
  <c r="AT1664" i="2"/>
  <c r="U1664" i="2"/>
  <c r="S1664" i="2"/>
  <c r="R1664" i="2"/>
  <c r="B1664" i="2"/>
  <c r="BV1663" i="2"/>
  <c r="BU1663" i="2"/>
  <c r="BS1663" i="2"/>
  <c r="BR1663" i="2"/>
  <c r="BP1663" i="2"/>
  <c r="BO1663" i="2"/>
  <c r="BM1663" i="2"/>
  <c r="BL1663" i="2"/>
  <c r="BJ1663" i="2"/>
  <c r="BI1663" i="2"/>
  <c r="BI1688" i="2" s="1"/>
  <c r="BI1687" i="2" s="1"/>
  <c r="BG1663" i="2"/>
  <c r="BF1663" i="2"/>
  <c r="BD1663" i="2"/>
  <c r="BC1663" i="2"/>
  <c r="BA1663" i="2"/>
  <c r="AZ1663" i="2"/>
  <c r="AX1663" i="2"/>
  <c r="AX1681" i="2" s="1"/>
  <c r="AW1663" i="2"/>
  <c r="AU1663" i="2"/>
  <c r="AT1663" i="2"/>
  <c r="U1663" i="2"/>
  <c r="S1663" i="2"/>
  <c r="R1663" i="2"/>
  <c r="B1663" i="2"/>
  <c r="BV1662" i="2"/>
  <c r="BU1662" i="2"/>
  <c r="BS1662" i="2"/>
  <c r="BR1662" i="2"/>
  <c r="BR1681" i="2" s="1"/>
  <c r="BP1662" i="2"/>
  <c r="BO1662" i="2"/>
  <c r="BM1662" i="2"/>
  <c r="BL1662" i="2"/>
  <c r="BL1681" i="2" s="1"/>
  <c r="BJ1662" i="2"/>
  <c r="BJ1688" i="2" s="1"/>
  <c r="BJ1687" i="2" s="1"/>
  <c r="BI1662" i="2"/>
  <c r="BG1662" i="2"/>
  <c r="BF1662" i="2"/>
  <c r="BD1662" i="2"/>
  <c r="BC1662" i="2"/>
  <c r="BA1662" i="2"/>
  <c r="AZ1662" i="2"/>
  <c r="AZ1681" i="2" s="1"/>
  <c r="AX1662" i="2"/>
  <c r="AW1662" i="2"/>
  <c r="AU1662" i="2"/>
  <c r="AT1662" i="2"/>
  <c r="U1662" i="2"/>
  <c r="R1662" i="2"/>
  <c r="B1662" i="2"/>
  <c r="BV1661" i="2"/>
  <c r="BV1681" i="2" s="1"/>
  <c r="BU1661" i="2"/>
  <c r="BU1681" i="2" s="1"/>
  <c r="BS1661" i="2"/>
  <c r="BR1661" i="2"/>
  <c r="BR1688" i="2" s="1"/>
  <c r="BR1687" i="2" s="1"/>
  <c r="BR1686" i="2" s="1"/>
  <c r="BP1661" i="2"/>
  <c r="BP1681" i="2" s="1"/>
  <c r="BO1661" i="2"/>
  <c r="BM1661" i="2"/>
  <c r="BL1661" i="2"/>
  <c r="BJ1661" i="2"/>
  <c r="BI1661" i="2"/>
  <c r="BG1661" i="2"/>
  <c r="BG1681" i="2" s="1"/>
  <c r="BF1661" i="2"/>
  <c r="BF1688" i="2" s="1"/>
  <c r="BF1687" i="2" s="1"/>
  <c r="BD1661" i="2"/>
  <c r="BD1688" i="2" s="1"/>
  <c r="BD1687" i="2" s="1"/>
  <c r="BC1661" i="2"/>
  <c r="BA1661" i="2"/>
  <c r="AZ1661" i="2"/>
  <c r="AZ1688" i="2" s="1"/>
  <c r="AZ1687" i="2" s="1"/>
  <c r="AZ1686" i="2" s="1"/>
  <c r="AX1661" i="2"/>
  <c r="AX1688" i="2" s="1"/>
  <c r="AX1687" i="2" s="1"/>
  <c r="AX1686" i="2" s="1"/>
  <c r="AW1661" i="2"/>
  <c r="AU1661" i="2"/>
  <c r="AT1661" i="2"/>
  <c r="AR1661" i="2"/>
  <c r="U1661" i="2"/>
  <c r="R1661" i="2"/>
  <c r="R1681" i="2" s="1"/>
  <c r="B1661" i="2"/>
  <c r="AQ1658" i="2"/>
  <c r="BV1644" i="2"/>
  <c r="BU1644" i="2"/>
  <c r="BS1644" i="2"/>
  <c r="BR1644" i="2"/>
  <c r="BP1644" i="2"/>
  <c r="BO1644" i="2"/>
  <c r="BM1644" i="2"/>
  <c r="BL1644" i="2"/>
  <c r="BJ1644" i="2"/>
  <c r="BI1644" i="2"/>
  <c r="BG1644" i="2"/>
  <c r="BF1644" i="2"/>
  <c r="BD1644" i="2"/>
  <c r="BC1644" i="2"/>
  <c r="BA1644" i="2"/>
  <c r="AZ1644" i="2"/>
  <c r="AX1644" i="2"/>
  <c r="AW1644" i="2"/>
  <c r="AU1644" i="2"/>
  <c r="AT1644" i="2"/>
  <c r="U1644" i="2"/>
  <c r="R1644" i="2"/>
  <c r="B1644" i="2"/>
  <c r="BV1643" i="2"/>
  <c r="BU1643" i="2"/>
  <c r="BS1643" i="2"/>
  <c r="BR1643" i="2"/>
  <c r="BP1643" i="2"/>
  <c r="BO1643" i="2"/>
  <c r="BM1643" i="2"/>
  <c r="BL1643" i="2"/>
  <c r="BJ1643" i="2"/>
  <c r="BI1643" i="2"/>
  <c r="BG1643" i="2"/>
  <c r="BF1643" i="2"/>
  <c r="BD1643" i="2"/>
  <c r="BC1643" i="2"/>
  <c r="BA1643" i="2"/>
  <c r="AZ1643" i="2"/>
  <c r="AX1643" i="2"/>
  <c r="AW1643" i="2"/>
  <c r="AU1643" i="2"/>
  <c r="AT1643" i="2"/>
  <c r="U1643" i="2"/>
  <c r="S1643" i="2"/>
  <c r="R1643" i="2"/>
  <c r="B1643" i="2"/>
  <c r="BV1642" i="2"/>
  <c r="BU1642" i="2"/>
  <c r="BS1642" i="2"/>
  <c r="BR1642" i="2"/>
  <c r="BP1642" i="2"/>
  <c r="BO1642" i="2"/>
  <c r="BM1642" i="2"/>
  <c r="BL1642" i="2"/>
  <c r="BJ1642" i="2"/>
  <c r="BI1642" i="2"/>
  <c r="BG1642" i="2"/>
  <c r="BF1642" i="2"/>
  <c r="BD1642" i="2"/>
  <c r="BC1642" i="2"/>
  <c r="BA1642" i="2"/>
  <c r="AZ1642" i="2"/>
  <c r="AX1642" i="2"/>
  <c r="AW1642" i="2"/>
  <c r="AU1642" i="2"/>
  <c r="AT1642" i="2"/>
  <c r="U1642" i="2"/>
  <c r="S1642" i="2"/>
  <c r="R1642" i="2"/>
  <c r="B1642" i="2"/>
  <c r="BV1641" i="2"/>
  <c r="BU1641" i="2"/>
  <c r="BS1641" i="2"/>
  <c r="BR1641" i="2"/>
  <c r="BP1641" i="2"/>
  <c r="BO1641" i="2"/>
  <c r="BM1641" i="2"/>
  <c r="BL1641" i="2"/>
  <c r="BJ1641" i="2"/>
  <c r="BI1641" i="2"/>
  <c r="BG1641" i="2"/>
  <c r="BF1641" i="2"/>
  <c r="BD1641" i="2"/>
  <c r="BC1641" i="2"/>
  <c r="BA1641" i="2"/>
  <c r="AZ1641" i="2"/>
  <c r="AX1641" i="2"/>
  <c r="AW1641" i="2"/>
  <c r="AU1641" i="2"/>
  <c r="AT1641" i="2"/>
  <c r="U1641" i="2"/>
  <c r="S1641" i="2"/>
  <c r="R1641" i="2"/>
  <c r="B1641" i="2"/>
  <c r="BV1640" i="2"/>
  <c r="BU1640" i="2"/>
  <c r="BS1640" i="2"/>
  <c r="BR1640" i="2"/>
  <c r="BP1640" i="2"/>
  <c r="BO1640" i="2"/>
  <c r="BM1640" i="2"/>
  <c r="BL1640" i="2"/>
  <c r="BJ1640" i="2"/>
  <c r="BI1640" i="2"/>
  <c r="BG1640" i="2"/>
  <c r="BF1640" i="2"/>
  <c r="BD1640" i="2"/>
  <c r="BC1640" i="2"/>
  <c r="BA1640" i="2"/>
  <c r="AZ1640" i="2"/>
  <c r="AX1640" i="2"/>
  <c r="AW1640" i="2"/>
  <c r="AU1640" i="2"/>
  <c r="AT1640" i="2"/>
  <c r="U1640" i="2"/>
  <c r="R1640" i="2"/>
  <c r="S1640" i="2" s="1"/>
  <c r="B1640" i="2"/>
  <c r="BV1639" i="2"/>
  <c r="BU1639" i="2"/>
  <c r="BS1639" i="2"/>
  <c r="BR1639" i="2"/>
  <c r="BP1639" i="2"/>
  <c r="BO1639" i="2"/>
  <c r="BM1639" i="2"/>
  <c r="BL1639" i="2"/>
  <c r="BJ1639" i="2"/>
  <c r="BI1639" i="2"/>
  <c r="BG1639" i="2"/>
  <c r="BF1639" i="2"/>
  <c r="BD1639" i="2"/>
  <c r="BC1639" i="2"/>
  <c r="BA1639" i="2"/>
  <c r="AZ1639" i="2"/>
  <c r="AX1639" i="2"/>
  <c r="AW1639" i="2"/>
  <c r="AU1639" i="2"/>
  <c r="AT1639" i="2"/>
  <c r="U1639" i="2"/>
  <c r="R1639" i="2"/>
  <c r="B1639" i="2"/>
  <c r="BV1638" i="2"/>
  <c r="BU1638" i="2"/>
  <c r="BS1638" i="2"/>
  <c r="BR1638" i="2"/>
  <c r="BP1638" i="2"/>
  <c r="BO1638" i="2"/>
  <c r="BM1638" i="2"/>
  <c r="BL1638" i="2"/>
  <c r="BJ1638" i="2"/>
  <c r="BI1638" i="2"/>
  <c r="BG1638" i="2"/>
  <c r="BF1638" i="2"/>
  <c r="BD1638" i="2"/>
  <c r="BC1638" i="2"/>
  <c r="BA1638" i="2"/>
  <c r="AZ1638" i="2"/>
  <c r="AX1638" i="2"/>
  <c r="AW1638" i="2"/>
  <c r="AU1638" i="2"/>
  <c r="AT1638" i="2"/>
  <c r="U1638" i="2"/>
  <c r="R1638" i="2"/>
  <c r="B1638" i="2"/>
  <c r="BV1637" i="2"/>
  <c r="BU1637" i="2"/>
  <c r="BS1637" i="2"/>
  <c r="BR1637" i="2"/>
  <c r="BP1637" i="2"/>
  <c r="BO1637" i="2"/>
  <c r="BM1637" i="2"/>
  <c r="BL1637" i="2"/>
  <c r="BJ1637" i="2"/>
  <c r="BI1637" i="2"/>
  <c r="BG1637" i="2"/>
  <c r="BF1637" i="2"/>
  <c r="BD1637" i="2"/>
  <c r="BC1637" i="2"/>
  <c r="BA1637" i="2"/>
  <c r="AZ1637" i="2"/>
  <c r="AX1637" i="2"/>
  <c r="AW1637" i="2"/>
  <c r="AU1637" i="2"/>
  <c r="AT1637" i="2"/>
  <c r="U1637" i="2"/>
  <c r="S1637" i="2"/>
  <c r="R1637" i="2"/>
  <c r="B1637" i="2"/>
  <c r="BV1636" i="2"/>
  <c r="BU1636" i="2"/>
  <c r="BS1636" i="2"/>
  <c r="BR1636" i="2"/>
  <c r="BP1636" i="2"/>
  <c r="BO1636" i="2"/>
  <c r="BM1636" i="2"/>
  <c r="BL1636" i="2"/>
  <c r="BJ1636" i="2"/>
  <c r="BI1636" i="2"/>
  <c r="BG1636" i="2"/>
  <c r="BF1636" i="2"/>
  <c r="BD1636" i="2"/>
  <c r="BC1636" i="2"/>
  <c r="BA1636" i="2"/>
  <c r="AZ1636" i="2"/>
  <c r="AX1636" i="2"/>
  <c r="AW1636" i="2"/>
  <c r="AU1636" i="2"/>
  <c r="AT1636" i="2"/>
  <c r="U1636" i="2"/>
  <c r="S1636" i="2"/>
  <c r="R1636" i="2"/>
  <c r="B1636" i="2"/>
  <c r="BV1635" i="2"/>
  <c r="BU1635" i="2"/>
  <c r="BS1635" i="2"/>
  <c r="BR1635" i="2"/>
  <c r="BP1635" i="2"/>
  <c r="BO1635" i="2"/>
  <c r="BM1635" i="2"/>
  <c r="BL1635" i="2"/>
  <c r="BJ1635" i="2"/>
  <c r="BI1635" i="2"/>
  <c r="BG1635" i="2"/>
  <c r="BF1635" i="2"/>
  <c r="BD1635" i="2"/>
  <c r="BC1635" i="2"/>
  <c r="BA1635" i="2"/>
  <c r="AZ1635" i="2"/>
  <c r="AX1635" i="2"/>
  <c r="AW1635" i="2"/>
  <c r="AU1635" i="2"/>
  <c r="AT1635" i="2"/>
  <c r="U1635" i="2"/>
  <c r="S1635" i="2"/>
  <c r="R1635" i="2"/>
  <c r="B1635" i="2"/>
  <c r="BV1634" i="2"/>
  <c r="BU1634" i="2"/>
  <c r="BS1634" i="2"/>
  <c r="BR1634" i="2"/>
  <c r="BP1634" i="2"/>
  <c r="BO1634" i="2"/>
  <c r="BM1634" i="2"/>
  <c r="BL1634" i="2"/>
  <c r="BJ1634" i="2"/>
  <c r="BI1634" i="2"/>
  <c r="BG1634" i="2"/>
  <c r="BF1634" i="2"/>
  <c r="BD1634" i="2"/>
  <c r="BC1634" i="2"/>
  <c r="BA1634" i="2"/>
  <c r="AZ1634" i="2"/>
  <c r="AX1634" i="2"/>
  <c r="AW1634" i="2"/>
  <c r="AU1634" i="2"/>
  <c r="AT1634" i="2"/>
  <c r="U1634" i="2"/>
  <c r="R1634" i="2"/>
  <c r="B1634" i="2"/>
  <c r="BV1633" i="2"/>
  <c r="BU1633" i="2"/>
  <c r="BS1633" i="2"/>
  <c r="BR1633" i="2"/>
  <c r="BP1633" i="2"/>
  <c r="BO1633" i="2"/>
  <c r="BM1633" i="2"/>
  <c r="BL1633" i="2"/>
  <c r="BJ1633" i="2"/>
  <c r="BI1633" i="2"/>
  <c r="BG1633" i="2"/>
  <c r="BF1633" i="2"/>
  <c r="BD1633" i="2"/>
  <c r="BC1633" i="2"/>
  <c r="BA1633" i="2"/>
  <c r="AZ1633" i="2"/>
  <c r="AX1633" i="2"/>
  <c r="AW1633" i="2"/>
  <c r="AU1633" i="2"/>
  <c r="AT1633" i="2"/>
  <c r="U1633" i="2"/>
  <c r="R1633" i="2"/>
  <c r="S1633" i="2" s="1"/>
  <c r="B1633" i="2"/>
  <c r="BV1632" i="2"/>
  <c r="BU1632" i="2"/>
  <c r="BS1632" i="2"/>
  <c r="BR1632" i="2"/>
  <c r="BP1632" i="2"/>
  <c r="BO1632" i="2"/>
  <c r="BM1632" i="2"/>
  <c r="BL1632" i="2"/>
  <c r="BJ1632" i="2"/>
  <c r="BI1632" i="2"/>
  <c r="BG1632" i="2"/>
  <c r="BF1632" i="2"/>
  <c r="BD1632" i="2"/>
  <c r="BC1632" i="2"/>
  <c r="BA1632" i="2"/>
  <c r="AZ1632" i="2"/>
  <c r="AX1632" i="2"/>
  <c r="AW1632" i="2"/>
  <c r="AU1632" i="2"/>
  <c r="AT1632" i="2"/>
  <c r="U1632" i="2"/>
  <c r="R1632" i="2"/>
  <c r="B1632" i="2"/>
  <c r="BV1631" i="2"/>
  <c r="BU1631" i="2"/>
  <c r="BS1631" i="2"/>
  <c r="BR1631" i="2"/>
  <c r="BP1631" i="2"/>
  <c r="BO1631" i="2"/>
  <c r="BM1631" i="2"/>
  <c r="BL1631" i="2"/>
  <c r="BJ1631" i="2"/>
  <c r="BI1631" i="2"/>
  <c r="BG1631" i="2"/>
  <c r="BF1631" i="2"/>
  <c r="BD1631" i="2"/>
  <c r="BC1631" i="2"/>
  <c r="BA1631" i="2"/>
  <c r="AZ1631" i="2"/>
  <c r="AX1631" i="2"/>
  <c r="AW1631" i="2"/>
  <c r="AU1631" i="2"/>
  <c r="AT1631" i="2"/>
  <c r="U1631" i="2"/>
  <c r="S1631" i="2"/>
  <c r="R1631" i="2"/>
  <c r="B1631" i="2"/>
  <c r="BV1630" i="2"/>
  <c r="BU1630" i="2"/>
  <c r="BS1630" i="2"/>
  <c r="BR1630" i="2"/>
  <c r="BP1630" i="2"/>
  <c r="BO1630" i="2"/>
  <c r="BM1630" i="2"/>
  <c r="BL1630" i="2"/>
  <c r="BJ1630" i="2"/>
  <c r="BI1630" i="2"/>
  <c r="BG1630" i="2"/>
  <c r="BF1630" i="2"/>
  <c r="BD1630" i="2"/>
  <c r="BC1630" i="2"/>
  <c r="BA1630" i="2"/>
  <c r="AZ1630" i="2"/>
  <c r="AX1630" i="2"/>
  <c r="AW1630" i="2"/>
  <c r="AU1630" i="2"/>
  <c r="AT1630" i="2"/>
  <c r="U1630" i="2"/>
  <c r="S1630" i="2"/>
  <c r="R1630" i="2"/>
  <c r="B1630" i="2"/>
  <c r="BV1629" i="2"/>
  <c r="BU1629" i="2"/>
  <c r="BS1629" i="2"/>
  <c r="BR1629" i="2"/>
  <c r="BP1629" i="2"/>
  <c r="BO1629" i="2"/>
  <c r="BM1629" i="2"/>
  <c r="BL1629" i="2"/>
  <c r="BJ1629" i="2"/>
  <c r="BI1629" i="2"/>
  <c r="BG1629" i="2"/>
  <c r="BF1629" i="2"/>
  <c r="BD1629" i="2"/>
  <c r="BC1629" i="2"/>
  <c r="BA1629" i="2"/>
  <c r="AZ1629" i="2"/>
  <c r="AX1629" i="2"/>
  <c r="AW1629" i="2"/>
  <c r="AU1629" i="2"/>
  <c r="AT1629" i="2"/>
  <c r="U1629" i="2"/>
  <c r="S1629" i="2"/>
  <c r="R1629" i="2"/>
  <c r="B1629" i="2"/>
  <c r="BV1628" i="2"/>
  <c r="BU1628" i="2"/>
  <c r="BS1628" i="2"/>
  <c r="BR1628" i="2"/>
  <c r="BP1628" i="2"/>
  <c r="BO1628" i="2"/>
  <c r="BM1628" i="2"/>
  <c r="BL1628" i="2"/>
  <c r="BJ1628" i="2"/>
  <c r="BI1628" i="2"/>
  <c r="BG1628" i="2"/>
  <c r="BF1628" i="2"/>
  <c r="BD1628" i="2"/>
  <c r="BC1628" i="2"/>
  <c r="BA1628" i="2"/>
  <c r="AZ1628" i="2"/>
  <c r="AX1628" i="2"/>
  <c r="AW1628" i="2"/>
  <c r="AU1628" i="2"/>
  <c r="AT1628" i="2"/>
  <c r="U1628" i="2"/>
  <c r="R1628" i="2"/>
  <c r="S1628" i="2" s="1"/>
  <c r="B1628" i="2"/>
  <c r="BV1627" i="2"/>
  <c r="BV1652" i="2" s="1"/>
  <c r="BV1651" i="2" s="1"/>
  <c r="BU1627" i="2"/>
  <c r="BS1627" i="2"/>
  <c r="BR1627" i="2"/>
  <c r="BP1627" i="2"/>
  <c r="BO1627" i="2"/>
  <c r="BM1627" i="2"/>
  <c r="BL1627" i="2"/>
  <c r="BJ1627" i="2"/>
  <c r="BI1627" i="2"/>
  <c r="BG1627" i="2"/>
  <c r="BF1627" i="2"/>
  <c r="BD1627" i="2"/>
  <c r="BD1652" i="2" s="1"/>
  <c r="BD1651" i="2" s="1"/>
  <c r="BC1627" i="2"/>
  <c r="BA1627" i="2"/>
  <c r="AZ1627" i="2"/>
  <c r="AX1627" i="2"/>
  <c r="AW1627" i="2"/>
  <c r="AU1627" i="2"/>
  <c r="AT1627" i="2"/>
  <c r="U1627" i="2"/>
  <c r="R1627" i="2"/>
  <c r="B1627" i="2"/>
  <c r="BV1626" i="2"/>
  <c r="BU1626" i="2"/>
  <c r="BS1626" i="2"/>
  <c r="BR1626" i="2"/>
  <c r="BP1626" i="2"/>
  <c r="BO1626" i="2"/>
  <c r="BM1626" i="2"/>
  <c r="BL1626" i="2"/>
  <c r="BJ1626" i="2"/>
  <c r="BI1626" i="2"/>
  <c r="BG1626" i="2"/>
  <c r="BF1626" i="2"/>
  <c r="BD1626" i="2"/>
  <c r="BC1626" i="2"/>
  <c r="BA1626" i="2"/>
  <c r="AZ1626" i="2"/>
  <c r="AX1626" i="2"/>
  <c r="AW1626" i="2"/>
  <c r="AU1626" i="2"/>
  <c r="AT1626" i="2"/>
  <c r="U1626" i="2"/>
  <c r="R1626" i="2"/>
  <c r="B1626" i="2"/>
  <c r="BV1625" i="2"/>
  <c r="BU1625" i="2"/>
  <c r="BS1625" i="2"/>
  <c r="BR1625" i="2"/>
  <c r="BP1625" i="2"/>
  <c r="BP1652" i="2" s="1"/>
  <c r="BP1651" i="2" s="1"/>
  <c r="BO1625" i="2"/>
  <c r="BO1652" i="2" s="1"/>
  <c r="BO1651" i="2" s="1"/>
  <c r="BM1625" i="2"/>
  <c r="BL1625" i="2"/>
  <c r="BJ1625" i="2"/>
  <c r="BI1625" i="2"/>
  <c r="BI1645" i="2" s="1"/>
  <c r="BG1625" i="2"/>
  <c r="BF1625" i="2"/>
  <c r="BD1625" i="2"/>
  <c r="BC1625" i="2"/>
  <c r="BA1625" i="2"/>
  <c r="AZ1625" i="2"/>
  <c r="AX1625" i="2"/>
  <c r="AX1652" i="2" s="1"/>
  <c r="AX1651" i="2" s="1"/>
  <c r="AW1625" i="2"/>
  <c r="AW1652" i="2" s="1"/>
  <c r="AW1651" i="2" s="1"/>
  <c r="AU1625" i="2"/>
  <c r="AT1625" i="2"/>
  <c r="U1625" i="2"/>
  <c r="AR1625" i="2" s="1"/>
  <c r="S1625" i="2"/>
  <c r="R1625" i="2"/>
  <c r="B1625" i="2"/>
  <c r="AQ1622" i="2"/>
  <c r="BV1608" i="2"/>
  <c r="BU1608" i="2"/>
  <c r="BS1608" i="2"/>
  <c r="BR1608" i="2"/>
  <c r="BP1608" i="2"/>
  <c r="BO1608" i="2"/>
  <c r="BM1608" i="2"/>
  <c r="BL1608" i="2"/>
  <c r="BJ1608" i="2"/>
  <c r="BI1608" i="2"/>
  <c r="BG1608" i="2"/>
  <c r="BF1608" i="2"/>
  <c r="BD1608" i="2"/>
  <c r="BC1608" i="2"/>
  <c r="BA1608" i="2"/>
  <c r="AZ1608" i="2"/>
  <c r="AX1608" i="2"/>
  <c r="AW1608" i="2"/>
  <c r="AU1608" i="2"/>
  <c r="AT1608" i="2"/>
  <c r="U1608" i="2"/>
  <c r="S1608" i="2"/>
  <c r="R1608" i="2"/>
  <c r="B1608" i="2"/>
  <c r="BV1607" i="2"/>
  <c r="BU1607" i="2"/>
  <c r="BS1607" i="2"/>
  <c r="BR1607" i="2"/>
  <c r="BP1607" i="2"/>
  <c r="BO1607" i="2"/>
  <c r="BM1607" i="2"/>
  <c r="BL1607" i="2"/>
  <c r="BJ1607" i="2"/>
  <c r="BI1607" i="2"/>
  <c r="BG1607" i="2"/>
  <c r="BF1607" i="2"/>
  <c r="BD1607" i="2"/>
  <c r="BC1607" i="2"/>
  <c r="BA1607" i="2"/>
  <c r="AZ1607" i="2"/>
  <c r="AX1607" i="2"/>
  <c r="AW1607" i="2"/>
  <c r="AU1607" i="2"/>
  <c r="AT1607" i="2"/>
  <c r="U1607" i="2"/>
  <c r="S1607" i="2"/>
  <c r="R1607" i="2"/>
  <c r="B1607" i="2"/>
  <c r="BV1606" i="2"/>
  <c r="BU1606" i="2"/>
  <c r="BS1606" i="2"/>
  <c r="BR1606" i="2"/>
  <c r="BP1606" i="2"/>
  <c r="BO1606" i="2"/>
  <c r="BM1606" i="2"/>
  <c r="BL1606" i="2"/>
  <c r="BJ1606" i="2"/>
  <c r="BI1606" i="2"/>
  <c r="BG1606" i="2"/>
  <c r="BF1606" i="2"/>
  <c r="BD1606" i="2"/>
  <c r="BC1606" i="2"/>
  <c r="BA1606" i="2"/>
  <c r="AZ1606" i="2"/>
  <c r="AU1606" i="2"/>
  <c r="AT1606" i="2"/>
  <c r="U1606" i="2"/>
  <c r="J1606" i="2"/>
  <c r="L1606" i="2" s="1"/>
  <c r="R1606" i="2" s="1"/>
  <c r="B1606" i="2"/>
  <c r="BV1605" i="2"/>
  <c r="BU1605" i="2"/>
  <c r="BS1605" i="2"/>
  <c r="BR1605" i="2"/>
  <c r="BP1605" i="2"/>
  <c r="BO1605" i="2"/>
  <c r="BM1605" i="2"/>
  <c r="BL1605" i="2"/>
  <c r="BJ1605" i="2"/>
  <c r="BI1605" i="2"/>
  <c r="BG1605" i="2"/>
  <c r="BF1605" i="2"/>
  <c r="BD1605" i="2"/>
  <c r="BC1605" i="2"/>
  <c r="BA1605" i="2"/>
  <c r="AZ1605" i="2"/>
  <c r="AU1605" i="2"/>
  <c r="AT1605" i="2"/>
  <c r="U1605" i="2"/>
  <c r="R1605" i="2"/>
  <c r="L1605" i="2"/>
  <c r="J1605" i="2"/>
  <c r="B1605" i="2"/>
  <c r="BV1604" i="2"/>
  <c r="BU1604" i="2"/>
  <c r="BS1604" i="2"/>
  <c r="BR1604" i="2"/>
  <c r="BP1604" i="2"/>
  <c r="BO1604" i="2"/>
  <c r="BM1604" i="2"/>
  <c r="BL1604" i="2"/>
  <c r="BJ1604" i="2"/>
  <c r="BI1604" i="2"/>
  <c r="BG1604" i="2"/>
  <c r="BF1604" i="2"/>
  <c r="BD1604" i="2"/>
  <c r="BC1604" i="2"/>
  <c r="BA1604" i="2"/>
  <c r="AZ1604" i="2"/>
  <c r="AU1604" i="2"/>
  <c r="AT1604" i="2"/>
  <c r="U1604" i="2"/>
  <c r="J1604" i="2"/>
  <c r="L1604" i="2" s="1"/>
  <c r="R1604" i="2" s="1"/>
  <c r="B1604" i="2"/>
  <c r="BV1603" i="2"/>
  <c r="BU1603" i="2"/>
  <c r="BS1603" i="2"/>
  <c r="BR1603" i="2"/>
  <c r="BP1603" i="2"/>
  <c r="BO1603" i="2"/>
  <c r="BM1603" i="2"/>
  <c r="BL1603" i="2"/>
  <c r="BJ1603" i="2"/>
  <c r="BI1603" i="2"/>
  <c r="BG1603" i="2"/>
  <c r="BF1603" i="2"/>
  <c r="BD1603" i="2"/>
  <c r="BC1603" i="2"/>
  <c r="BA1603" i="2"/>
  <c r="AZ1603" i="2"/>
  <c r="AW1603" i="2"/>
  <c r="AU1603" i="2"/>
  <c r="AT1603" i="2"/>
  <c r="U1603" i="2"/>
  <c r="R1603" i="2"/>
  <c r="L1603" i="2"/>
  <c r="B1603" i="2"/>
  <c r="BV1602" i="2"/>
  <c r="BU1602" i="2"/>
  <c r="BS1602" i="2"/>
  <c r="BR1602" i="2"/>
  <c r="BP1602" i="2"/>
  <c r="BO1602" i="2"/>
  <c r="BM1602" i="2"/>
  <c r="BL1602" i="2"/>
  <c r="BJ1602" i="2"/>
  <c r="BI1602" i="2"/>
  <c r="BG1602" i="2"/>
  <c r="BF1602" i="2"/>
  <c r="BD1602" i="2"/>
  <c r="BC1602" i="2"/>
  <c r="BA1602" i="2"/>
  <c r="AZ1602" i="2"/>
  <c r="AU1602" i="2"/>
  <c r="AT1602" i="2"/>
  <c r="U1602" i="2"/>
  <c r="J1602" i="2"/>
  <c r="L1602" i="2" s="1"/>
  <c r="R1602" i="2" s="1"/>
  <c r="B1602" i="2"/>
  <c r="BV1601" i="2"/>
  <c r="BU1601" i="2"/>
  <c r="BS1601" i="2"/>
  <c r="BR1601" i="2"/>
  <c r="BP1601" i="2"/>
  <c r="BO1601" i="2"/>
  <c r="BM1601" i="2"/>
  <c r="BL1601" i="2"/>
  <c r="BJ1601" i="2"/>
  <c r="BI1601" i="2"/>
  <c r="BG1601" i="2"/>
  <c r="BF1601" i="2"/>
  <c r="BD1601" i="2"/>
  <c r="BC1601" i="2"/>
  <c r="BA1601" i="2"/>
  <c r="AZ1601" i="2"/>
  <c r="AU1601" i="2"/>
  <c r="AT1601" i="2"/>
  <c r="U1601" i="2"/>
  <c r="L1601" i="2"/>
  <c r="R1601" i="2" s="1"/>
  <c r="B1601" i="2"/>
  <c r="BV1600" i="2"/>
  <c r="BU1600" i="2"/>
  <c r="BS1600" i="2"/>
  <c r="BR1600" i="2"/>
  <c r="BP1600" i="2"/>
  <c r="BO1600" i="2"/>
  <c r="BM1600" i="2"/>
  <c r="BL1600" i="2"/>
  <c r="BJ1600" i="2"/>
  <c r="BI1600" i="2"/>
  <c r="BG1600" i="2"/>
  <c r="BF1600" i="2"/>
  <c r="BD1600" i="2"/>
  <c r="BC1600" i="2"/>
  <c r="BA1600" i="2"/>
  <c r="AZ1600" i="2"/>
  <c r="AU1600" i="2"/>
  <c r="AT1600" i="2"/>
  <c r="U1600" i="2"/>
  <c r="J1600" i="2"/>
  <c r="L1600" i="2" s="1"/>
  <c r="R1600" i="2" s="1"/>
  <c r="AW1600" i="2" s="1"/>
  <c r="B1600" i="2"/>
  <c r="BV1599" i="2"/>
  <c r="BU1599" i="2"/>
  <c r="BS1599" i="2"/>
  <c r="BR1599" i="2"/>
  <c r="BP1599" i="2"/>
  <c r="BO1599" i="2"/>
  <c r="BM1599" i="2"/>
  <c r="BL1599" i="2"/>
  <c r="BJ1599" i="2"/>
  <c r="BI1599" i="2"/>
  <c r="BG1599" i="2"/>
  <c r="BF1599" i="2"/>
  <c r="BD1599" i="2"/>
  <c r="BC1599" i="2"/>
  <c r="BA1599" i="2"/>
  <c r="AZ1599" i="2"/>
  <c r="AU1599" i="2"/>
  <c r="AT1599" i="2"/>
  <c r="U1599" i="2"/>
  <c r="J1599" i="2"/>
  <c r="L1599" i="2" s="1"/>
  <c r="R1599" i="2" s="1"/>
  <c r="B1599" i="2"/>
  <c r="BV1598" i="2"/>
  <c r="BU1598" i="2"/>
  <c r="BS1598" i="2"/>
  <c r="BR1598" i="2"/>
  <c r="BP1598" i="2"/>
  <c r="BO1598" i="2"/>
  <c r="BM1598" i="2"/>
  <c r="BL1598" i="2"/>
  <c r="BJ1598" i="2"/>
  <c r="BI1598" i="2"/>
  <c r="BG1598" i="2"/>
  <c r="BF1598" i="2"/>
  <c r="BD1598" i="2"/>
  <c r="BC1598" i="2"/>
  <c r="BA1598" i="2"/>
  <c r="AZ1598" i="2"/>
  <c r="AU1598" i="2"/>
  <c r="AT1598" i="2"/>
  <c r="U1598" i="2"/>
  <c r="J1598" i="2"/>
  <c r="L1598" i="2" s="1"/>
  <c r="R1598" i="2" s="1"/>
  <c r="AW1598" i="2" s="1"/>
  <c r="B1598" i="2"/>
  <c r="BV1597" i="2"/>
  <c r="BU1597" i="2"/>
  <c r="BS1597" i="2"/>
  <c r="BR1597" i="2"/>
  <c r="BP1597" i="2"/>
  <c r="BO1597" i="2"/>
  <c r="BM1597" i="2"/>
  <c r="BL1597" i="2"/>
  <c r="BJ1597" i="2"/>
  <c r="BI1597" i="2"/>
  <c r="BG1597" i="2"/>
  <c r="BF1597" i="2"/>
  <c r="BD1597" i="2"/>
  <c r="BC1597" i="2"/>
  <c r="BA1597" i="2"/>
  <c r="AZ1597" i="2"/>
  <c r="AU1597" i="2"/>
  <c r="AT1597" i="2"/>
  <c r="U1597" i="2"/>
  <c r="L1597" i="2"/>
  <c r="R1597" i="2" s="1"/>
  <c r="B1597" i="2"/>
  <c r="BV1596" i="2"/>
  <c r="BU1596" i="2"/>
  <c r="BS1596" i="2"/>
  <c r="BR1596" i="2"/>
  <c r="BP1596" i="2"/>
  <c r="BO1596" i="2"/>
  <c r="BM1596" i="2"/>
  <c r="BL1596" i="2"/>
  <c r="BJ1596" i="2"/>
  <c r="BI1596" i="2"/>
  <c r="BG1596" i="2"/>
  <c r="BF1596" i="2"/>
  <c r="BD1596" i="2"/>
  <c r="BC1596" i="2"/>
  <c r="BA1596" i="2"/>
  <c r="AZ1596" i="2"/>
  <c r="AU1596" i="2"/>
  <c r="AT1596" i="2"/>
  <c r="U1596" i="2"/>
  <c r="R1596" i="2"/>
  <c r="L1596" i="2"/>
  <c r="J1596" i="2"/>
  <c r="B1596" i="2"/>
  <c r="BV1595" i="2"/>
  <c r="BU1595" i="2"/>
  <c r="BS1595" i="2"/>
  <c r="BS1609" i="2" s="1"/>
  <c r="BR1595" i="2"/>
  <c r="BP1595" i="2"/>
  <c r="BO1595" i="2"/>
  <c r="BM1595" i="2"/>
  <c r="BL1595" i="2"/>
  <c r="BJ1595" i="2"/>
  <c r="BI1595" i="2"/>
  <c r="BG1595" i="2"/>
  <c r="BF1595" i="2"/>
  <c r="BD1595" i="2"/>
  <c r="BC1595" i="2"/>
  <c r="BA1595" i="2"/>
  <c r="AZ1595" i="2"/>
  <c r="AU1595" i="2"/>
  <c r="AT1595" i="2"/>
  <c r="U1595" i="2"/>
  <c r="L1595" i="2"/>
  <c r="R1595" i="2" s="1"/>
  <c r="B1595" i="2"/>
  <c r="BV1594" i="2"/>
  <c r="BU1594" i="2"/>
  <c r="BS1594" i="2"/>
  <c r="BR1594" i="2"/>
  <c r="BP1594" i="2"/>
  <c r="BO1594" i="2"/>
  <c r="BM1594" i="2"/>
  <c r="BL1594" i="2"/>
  <c r="BJ1594" i="2"/>
  <c r="BI1594" i="2"/>
  <c r="BG1594" i="2"/>
  <c r="BF1594" i="2"/>
  <c r="BD1594" i="2"/>
  <c r="BC1594" i="2"/>
  <c r="BA1594" i="2"/>
  <c r="AZ1594" i="2"/>
  <c r="AU1594" i="2"/>
  <c r="AT1594" i="2"/>
  <c r="U1594" i="2"/>
  <c r="L1594" i="2"/>
  <c r="R1594" i="2" s="1"/>
  <c r="B1594" i="2"/>
  <c r="BV1593" i="2"/>
  <c r="BU1593" i="2"/>
  <c r="BS1593" i="2"/>
  <c r="BR1593" i="2"/>
  <c r="BP1593" i="2"/>
  <c r="BO1593" i="2"/>
  <c r="BM1593" i="2"/>
  <c r="BL1593" i="2"/>
  <c r="BJ1593" i="2"/>
  <c r="BI1593" i="2"/>
  <c r="BG1593" i="2"/>
  <c r="BF1593" i="2"/>
  <c r="BD1593" i="2"/>
  <c r="BC1593" i="2"/>
  <c r="BA1593" i="2"/>
  <c r="AZ1593" i="2"/>
  <c r="AU1593" i="2"/>
  <c r="AT1593" i="2"/>
  <c r="U1593" i="2"/>
  <c r="B1593" i="2"/>
  <c r="BV1592" i="2"/>
  <c r="BU1592" i="2"/>
  <c r="BS1592" i="2"/>
  <c r="BR1592" i="2"/>
  <c r="BP1592" i="2"/>
  <c r="BO1592" i="2"/>
  <c r="BM1592" i="2"/>
  <c r="BL1592" i="2"/>
  <c r="BJ1592" i="2"/>
  <c r="BI1592" i="2"/>
  <c r="BG1592" i="2"/>
  <c r="BF1592" i="2"/>
  <c r="BD1592" i="2"/>
  <c r="BC1592" i="2"/>
  <c r="BA1592" i="2"/>
  <c r="AZ1592" i="2"/>
  <c r="AU1592" i="2"/>
  <c r="AT1592" i="2"/>
  <c r="U1592" i="2"/>
  <c r="B1592" i="2"/>
  <c r="BV1591" i="2"/>
  <c r="BU1591" i="2"/>
  <c r="BS1591" i="2"/>
  <c r="BR1591" i="2"/>
  <c r="BP1591" i="2"/>
  <c r="BO1591" i="2"/>
  <c r="BM1591" i="2"/>
  <c r="BL1591" i="2"/>
  <c r="BJ1591" i="2"/>
  <c r="BI1591" i="2"/>
  <c r="BG1591" i="2"/>
  <c r="BF1591" i="2"/>
  <c r="BD1591" i="2"/>
  <c r="BC1591" i="2"/>
  <c r="BA1591" i="2"/>
  <c r="AZ1591" i="2"/>
  <c r="AW1591" i="2"/>
  <c r="AU1591" i="2"/>
  <c r="AT1591" i="2"/>
  <c r="U1591" i="2"/>
  <c r="R1591" i="2"/>
  <c r="L1591" i="2"/>
  <c r="B1591" i="2"/>
  <c r="BV1590" i="2"/>
  <c r="BU1590" i="2"/>
  <c r="BS1590" i="2"/>
  <c r="BR1590" i="2"/>
  <c r="BP1590" i="2"/>
  <c r="BO1590" i="2"/>
  <c r="BM1590" i="2"/>
  <c r="BL1590" i="2"/>
  <c r="BJ1590" i="2"/>
  <c r="BI1590" i="2"/>
  <c r="BG1590" i="2"/>
  <c r="BG1616" i="2" s="1"/>
  <c r="BG1615" i="2" s="1"/>
  <c r="BF1590" i="2"/>
  <c r="BF1616" i="2" s="1"/>
  <c r="BF1615" i="2" s="1"/>
  <c r="BD1590" i="2"/>
  <c r="BC1590" i="2"/>
  <c r="BA1590" i="2"/>
  <c r="AZ1590" i="2"/>
  <c r="AU1590" i="2"/>
  <c r="AT1590" i="2"/>
  <c r="U1590" i="2"/>
  <c r="B1590" i="2"/>
  <c r="BV1589" i="2"/>
  <c r="BV1609" i="2" s="1"/>
  <c r="BU1589" i="2"/>
  <c r="BS1589" i="2"/>
  <c r="BR1589" i="2"/>
  <c r="BP1589" i="2"/>
  <c r="BO1589" i="2"/>
  <c r="BM1589" i="2"/>
  <c r="BM1609" i="2" s="1"/>
  <c r="BL1589" i="2"/>
  <c r="BJ1589" i="2"/>
  <c r="BI1589" i="2"/>
  <c r="BG1589" i="2"/>
  <c r="BF1589" i="2"/>
  <c r="BD1589" i="2"/>
  <c r="BD1609" i="2" s="1"/>
  <c r="BC1589" i="2"/>
  <c r="BA1589" i="2"/>
  <c r="BA1609" i="2" s="1"/>
  <c r="AZ1589" i="2"/>
  <c r="AU1589" i="2"/>
  <c r="AT1589" i="2"/>
  <c r="AR1589" i="2"/>
  <c r="U1589" i="2"/>
  <c r="B1589" i="2"/>
  <c r="AQ1586" i="2"/>
  <c r="BV1573" i="2"/>
  <c r="BU1573" i="2"/>
  <c r="BS1573" i="2"/>
  <c r="BR1573" i="2"/>
  <c r="BP1573" i="2"/>
  <c r="BO1573" i="2"/>
  <c r="BM1573" i="2"/>
  <c r="BL1573" i="2"/>
  <c r="BJ1573" i="2"/>
  <c r="BI1573" i="2"/>
  <c r="BG1573" i="2"/>
  <c r="BF1573" i="2"/>
  <c r="BD1573" i="2"/>
  <c r="BC1573" i="2"/>
  <c r="BA1573" i="2"/>
  <c r="AZ1573" i="2"/>
  <c r="AX1573" i="2"/>
  <c r="AW1573" i="2"/>
  <c r="AU1573" i="2"/>
  <c r="AT1573" i="2"/>
  <c r="U1573" i="2"/>
  <c r="R1573" i="2"/>
  <c r="B1573" i="2"/>
  <c r="BV1572" i="2"/>
  <c r="BU1572" i="2"/>
  <c r="BS1572" i="2"/>
  <c r="BR1572" i="2"/>
  <c r="BP1572" i="2"/>
  <c r="BO1572" i="2"/>
  <c r="BM1572" i="2"/>
  <c r="BL1572" i="2"/>
  <c r="BJ1572" i="2"/>
  <c r="BI1572" i="2"/>
  <c r="BG1572" i="2"/>
  <c r="BF1572" i="2"/>
  <c r="BD1572" i="2"/>
  <c r="BC1572" i="2"/>
  <c r="BA1572" i="2"/>
  <c r="AZ1572" i="2"/>
  <c r="AX1572" i="2"/>
  <c r="AW1572" i="2"/>
  <c r="AU1572" i="2"/>
  <c r="AT1572" i="2"/>
  <c r="U1572" i="2"/>
  <c r="S1572" i="2"/>
  <c r="R1572" i="2"/>
  <c r="B1572" i="2"/>
  <c r="BV1571" i="2"/>
  <c r="BU1571" i="2"/>
  <c r="BS1571" i="2"/>
  <c r="BR1571" i="2"/>
  <c r="BP1571" i="2"/>
  <c r="BO1571" i="2"/>
  <c r="BM1571" i="2"/>
  <c r="BL1571" i="2"/>
  <c r="BJ1571" i="2"/>
  <c r="BI1571" i="2"/>
  <c r="BG1571" i="2"/>
  <c r="BF1571" i="2"/>
  <c r="BD1571" i="2"/>
  <c r="BC1571" i="2"/>
  <c r="BA1571" i="2"/>
  <c r="AZ1571" i="2"/>
  <c r="AX1571" i="2"/>
  <c r="AW1571" i="2"/>
  <c r="AU1571" i="2"/>
  <c r="AT1571" i="2"/>
  <c r="U1571" i="2"/>
  <c r="S1571" i="2"/>
  <c r="R1571" i="2"/>
  <c r="B1571" i="2"/>
  <c r="BV1570" i="2"/>
  <c r="BU1570" i="2"/>
  <c r="BS1570" i="2"/>
  <c r="BR1570" i="2"/>
  <c r="BP1570" i="2"/>
  <c r="BO1570" i="2"/>
  <c r="BM1570" i="2"/>
  <c r="BL1570" i="2"/>
  <c r="BJ1570" i="2"/>
  <c r="BI1570" i="2"/>
  <c r="BG1570" i="2"/>
  <c r="BF1570" i="2"/>
  <c r="BD1570" i="2"/>
  <c r="BC1570" i="2"/>
  <c r="BA1570" i="2"/>
  <c r="AZ1570" i="2"/>
  <c r="AX1570" i="2"/>
  <c r="AW1570" i="2"/>
  <c r="AU1570" i="2"/>
  <c r="AT1570" i="2"/>
  <c r="U1570" i="2"/>
  <c r="S1570" i="2"/>
  <c r="R1570" i="2"/>
  <c r="B1570" i="2"/>
  <c r="BV1569" i="2"/>
  <c r="BU1569" i="2"/>
  <c r="BS1569" i="2"/>
  <c r="BR1569" i="2"/>
  <c r="BP1569" i="2"/>
  <c r="BO1569" i="2"/>
  <c r="BM1569" i="2"/>
  <c r="BL1569" i="2"/>
  <c r="BJ1569" i="2"/>
  <c r="BI1569" i="2"/>
  <c r="BG1569" i="2"/>
  <c r="BF1569" i="2"/>
  <c r="BD1569" i="2"/>
  <c r="BC1569" i="2"/>
  <c r="BA1569" i="2"/>
  <c r="AZ1569" i="2"/>
  <c r="AX1569" i="2"/>
  <c r="AW1569" i="2"/>
  <c r="AU1569" i="2"/>
  <c r="AT1569" i="2"/>
  <c r="U1569" i="2"/>
  <c r="R1569" i="2"/>
  <c r="S1569" i="2" s="1"/>
  <c r="B1569" i="2"/>
  <c r="BV1568" i="2"/>
  <c r="BU1568" i="2"/>
  <c r="BS1568" i="2"/>
  <c r="BR1568" i="2"/>
  <c r="BP1568" i="2"/>
  <c r="BO1568" i="2"/>
  <c r="BM1568" i="2"/>
  <c r="BL1568" i="2"/>
  <c r="BJ1568" i="2"/>
  <c r="BI1568" i="2"/>
  <c r="BG1568" i="2"/>
  <c r="BF1568" i="2"/>
  <c r="BD1568" i="2"/>
  <c r="BC1568" i="2"/>
  <c r="BA1568" i="2"/>
  <c r="AZ1568" i="2"/>
  <c r="AX1568" i="2"/>
  <c r="AW1568" i="2"/>
  <c r="AU1568" i="2"/>
  <c r="AT1568" i="2"/>
  <c r="U1568" i="2"/>
  <c r="R1568" i="2"/>
  <c r="B1568" i="2"/>
  <c r="BV1567" i="2"/>
  <c r="BU1567" i="2"/>
  <c r="BS1567" i="2"/>
  <c r="BR1567" i="2"/>
  <c r="BP1567" i="2"/>
  <c r="BO1567" i="2"/>
  <c r="BM1567" i="2"/>
  <c r="BL1567" i="2"/>
  <c r="BJ1567" i="2"/>
  <c r="BI1567" i="2"/>
  <c r="BG1567" i="2"/>
  <c r="BF1567" i="2"/>
  <c r="BD1567" i="2"/>
  <c r="BC1567" i="2"/>
  <c r="BA1567" i="2"/>
  <c r="AZ1567" i="2"/>
  <c r="AX1567" i="2"/>
  <c r="AW1567" i="2"/>
  <c r="AU1567" i="2"/>
  <c r="AT1567" i="2"/>
  <c r="U1567" i="2"/>
  <c r="S1567" i="2"/>
  <c r="R1567" i="2"/>
  <c r="B1567" i="2"/>
  <c r="BV1566" i="2"/>
  <c r="BU1566" i="2"/>
  <c r="BS1566" i="2"/>
  <c r="BR1566" i="2"/>
  <c r="BP1566" i="2"/>
  <c r="BO1566" i="2"/>
  <c r="BM1566" i="2"/>
  <c r="BL1566" i="2"/>
  <c r="BJ1566" i="2"/>
  <c r="BI1566" i="2"/>
  <c r="BG1566" i="2"/>
  <c r="BF1566" i="2"/>
  <c r="BD1566" i="2"/>
  <c r="BC1566" i="2"/>
  <c r="BA1566" i="2"/>
  <c r="AZ1566" i="2"/>
  <c r="AX1566" i="2"/>
  <c r="AW1566" i="2"/>
  <c r="AU1566" i="2"/>
  <c r="AT1566" i="2"/>
  <c r="U1566" i="2"/>
  <c r="S1566" i="2"/>
  <c r="R1566" i="2"/>
  <c r="B1566" i="2"/>
  <c r="BV1565" i="2"/>
  <c r="BU1565" i="2"/>
  <c r="BS1565" i="2"/>
  <c r="BR1565" i="2"/>
  <c r="BP1565" i="2"/>
  <c r="BO1565" i="2"/>
  <c r="BM1565" i="2"/>
  <c r="BL1565" i="2"/>
  <c r="BJ1565" i="2"/>
  <c r="BI1565" i="2"/>
  <c r="BG1565" i="2"/>
  <c r="BF1565" i="2"/>
  <c r="BD1565" i="2"/>
  <c r="BC1565" i="2"/>
  <c r="BA1565" i="2"/>
  <c r="AZ1565" i="2"/>
  <c r="AX1565" i="2"/>
  <c r="AW1565" i="2"/>
  <c r="AU1565" i="2"/>
  <c r="AT1565" i="2"/>
  <c r="U1565" i="2"/>
  <c r="R1565" i="2"/>
  <c r="S1565" i="2" s="1"/>
  <c r="B1565" i="2"/>
  <c r="BV1564" i="2"/>
  <c r="BU1564" i="2"/>
  <c r="BU1581" i="2" s="1"/>
  <c r="BU1580" i="2" s="1"/>
  <c r="BS1564" i="2"/>
  <c r="BR1564" i="2"/>
  <c r="BP1564" i="2"/>
  <c r="BO1564" i="2"/>
  <c r="BM1564" i="2"/>
  <c r="BL1564" i="2"/>
  <c r="BJ1564" i="2"/>
  <c r="BI1564" i="2"/>
  <c r="BG1564" i="2"/>
  <c r="BF1564" i="2"/>
  <c r="BD1564" i="2"/>
  <c r="BC1564" i="2"/>
  <c r="BA1564" i="2"/>
  <c r="AZ1564" i="2"/>
  <c r="AX1564" i="2"/>
  <c r="AW1564" i="2"/>
  <c r="AU1564" i="2"/>
  <c r="AT1564" i="2"/>
  <c r="U1564" i="2"/>
  <c r="S1564" i="2"/>
  <c r="R1564" i="2"/>
  <c r="B1564" i="2"/>
  <c r="BV1563" i="2"/>
  <c r="BU1563" i="2"/>
  <c r="BS1563" i="2"/>
  <c r="BR1563" i="2"/>
  <c r="BP1563" i="2"/>
  <c r="BO1563" i="2"/>
  <c r="BM1563" i="2"/>
  <c r="BL1563" i="2"/>
  <c r="BJ1563" i="2"/>
  <c r="BI1563" i="2"/>
  <c r="BG1563" i="2"/>
  <c r="BF1563" i="2"/>
  <c r="BD1563" i="2"/>
  <c r="BC1563" i="2"/>
  <c r="BA1563" i="2"/>
  <c r="AZ1563" i="2"/>
  <c r="AX1563" i="2"/>
  <c r="AW1563" i="2"/>
  <c r="AU1563" i="2"/>
  <c r="AT1563" i="2"/>
  <c r="U1563" i="2"/>
  <c r="R1563" i="2"/>
  <c r="S1563" i="2" s="1"/>
  <c r="B1563" i="2"/>
  <c r="BV1562" i="2"/>
  <c r="BU1562" i="2"/>
  <c r="BS1562" i="2"/>
  <c r="BR1562" i="2"/>
  <c r="BP1562" i="2"/>
  <c r="BO1562" i="2"/>
  <c r="BM1562" i="2"/>
  <c r="BL1562" i="2"/>
  <c r="BJ1562" i="2"/>
  <c r="BI1562" i="2"/>
  <c r="BG1562" i="2"/>
  <c r="BF1562" i="2"/>
  <c r="BD1562" i="2"/>
  <c r="BC1562" i="2"/>
  <c r="BA1562" i="2"/>
  <c r="AZ1562" i="2"/>
  <c r="AX1562" i="2"/>
  <c r="AW1562" i="2"/>
  <c r="AU1562" i="2"/>
  <c r="AT1562" i="2"/>
  <c r="U1562" i="2"/>
  <c r="R1562" i="2"/>
  <c r="B1562" i="2"/>
  <c r="BV1561" i="2"/>
  <c r="BU1561" i="2"/>
  <c r="BS1561" i="2"/>
  <c r="BR1561" i="2"/>
  <c r="BP1561" i="2"/>
  <c r="BO1561" i="2"/>
  <c r="BM1561" i="2"/>
  <c r="BL1561" i="2"/>
  <c r="BJ1561" i="2"/>
  <c r="BI1561" i="2"/>
  <c r="BG1561" i="2"/>
  <c r="BF1561" i="2"/>
  <c r="BD1561" i="2"/>
  <c r="BC1561" i="2"/>
  <c r="BA1561" i="2"/>
  <c r="AZ1561" i="2"/>
  <c r="AU1561" i="2"/>
  <c r="AT1561" i="2"/>
  <c r="AT1581" i="2" s="1"/>
  <c r="AT1580" i="2" s="1"/>
  <c r="U1561" i="2"/>
  <c r="R1561" i="2"/>
  <c r="AW1561" i="2" s="1"/>
  <c r="B1561" i="2"/>
  <c r="BV1560" i="2"/>
  <c r="BU1560" i="2"/>
  <c r="BS1560" i="2"/>
  <c r="BR1560" i="2"/>
  <c r="BP1560" i="2"/>
  <c r="BO1560" i="2"/>
  <c r="BM1560" i="2"/>
  <c r="BL1560" i="2"/>
  <c r="BJ1560" i="2"/>
  <c r="BI1560" i="2"/>
  <c r="BG1560" i="2"/>
  <c r="BF1560" i="2"/>
  <c r="BD1560" i="2"/>
  <c r="BC1560" i="2"/>
  <c r="BA1560" i="2"/>
  <c r="AZ1560" i="2"/>
  <c r="AU1560" i="2"/>
  <c r="AT1560" i="2"/>
  <c r="U1560" i="2"/>
  <c r="R1560" i="2"/>
  <c r="B1560" i="2"/>
  <c r="BV1559" i="2"/>
  <c r="BU1559" i="2"/>
  <c r="BS1559" i="2"/>
  <c r="BR1559" i="2"/>
  <c r="BP1559" i="2"/>
  <c r="BO1559" i="2"/>
  <c r="BM1559" i="2"/>
  <c r="BL1559" i="2"/>
  <c r="BJ1559" i="2"/>
  <c r="BI1559" i="2"/>
  <c r="BG1559" i="2"/>
  <c r="BF1559" i="2"/>
  <c r="BD1559" i="2"/>
  <c r="BC1559" i="2"/>
  <c r="BA1559" i="2"/>
  <c r="AZ1559" i="2"/>
  <c r="AW1559" i="2"/>
  <c r="AU1559" i="2"/>
  <c r="AT1559" i="2"/>
  <c r="U1559" i="2"/>
  <c r="R1559" i="2"/>
  <c r="L1559" i="2"/>
  <c r="B1559" i="2"/>
  <c r="BV1558" i="2"/>
  <c r="BU1558" i="2"/>
  <c r="BS1558" i="2"/>
  <c r="BR1558" i="2"/>
  <c r="BP1558" i="2"/>
  <c r="BO1558" i="2"/>
  <c r="BM1558" i="2"/>
  <c r="BL1558" i="2"/>
  <c r="BJ1558" i="2"/>
  <c r="BI1558" i="2"/>
  <c r="BG1558" i="2"/>
  <c r="BF1558" i="2"/>
  <c r="BD1558" i="2"/>
  <c r="BC1558" i="2"/>
  <c r="BA1558" i="2"/>
  <c r="AZ1558" i="2"/>
  <c r="AU1558" i="2"/>
  <c r="AT1558" i="2"/>
  <c r="U1558" i="2"/>
  <c r="L1558" i="2"/>
  <c r="B1558" i="2"/>
  <c r="BV1557" i="2"/>
  <c r="BU1557" i="2"/>
  <c r="BS1557" i="2"/>
  <c r="BR1557" i="2"/>
  <c r="BP1557" i="2"/>
  <c r="BO1557" i="2"/>
  <c r="BM1557" i="2"/>
  <c r="BM1581" i="2" s="1"/>
  <c r="BM1580" i="2" s="1"/>
  <c r="BL1557" i="2"/>
  <c r="BJ1557" i="2"/>
  <c r="BI1557" i="2"/>
  <c r="BG1557" i="2"/>
  <c r="BF1557" i="2"/>
  <c r="BD1557" i="2"/>
  <c r="BC1557" i="2"/>
  <c r="BA1557" i="2"/>
  <c r="AZ1557" i="2"/>
  <c r="AU1557" i="2"/>
  <c r="AT1557" i="2"/>
  <c r="U1557" i="2"/>
  <c r="R1557" i="2"/>
  <c r="AW1557" i="2" s="1"/>
  <c r="L1557" i="2"/>
  <c r="L1592" i="2" s="1"/>
  <c r="R1592" i="2" s="1"/>
  <c r="B1557" i="2"/>
  <c r="BV1556" i="2"/>
  <c r="BU1556" i="2"/>
  <c r="BS1556" i="2"/>
  <c r="BR1556" i="2"/>
  <c r="BP1556" i="2"/>
  <c r="BO1556" i="2"/>
  <c r="BM1556" i="2"/>
  <c r="BL1556" i="2"/>
  <c r="BJ1556" i="2"/>
  <c r="BI1556" i="2"/>
  <c r="BG1556" i="2"/>
  <c r="BF1556" i="2"/>
  <c r="BD1556" i="2"/>
  <c r="BC1556" i="2"/>
  <c r="BA1556" i="2"/>
  <c r="AZ1556" i="2"/>
  <c r="AU1556" i="2"/>
  <c r="AT1556" i="2"/>
  <c r="U1556" i="2"/>
  <c r="R1556" i="2"/>
  <c r="L1556" i="2"/>
  <c r="B1556" i="2"/>
  <c r="BV1555" i="2"/>
  <c r="BU1555" i="2"/>
  <c r="BS1555" i="2"/>
  <c r="BR1555" i="2"/>
  <c r="BP1555" i="2"/>
  <c r="BO1555" i="2"/>
  <c r="BM1555" i="2"/>
  <c r="BL1555" i="2"/>
  <c r="BJ1555" i="2"/>
  <c r="BI1555" i="2"/>
  <c r="BG1555" i="2"/>
  <c r="BF1555" i="2"/>
  <c r="BD1555" i="2"/>
  <c r="BC1555" i="2"/>
  <c r="BA1555" i="2"/>
  <c r="AZ1555" i="2"/>
  <c r="AU1555" i="2"/>
  <c r="AT1555" i="2"/>
  <c r="U1555" i="2"/>
  <c r="L1555" i="2"/>
  <c r="B1555" i="2"/>
  <c r="BV1554" i="2"/>
  <c r="BU1554" i="2"/>
  <c r="BS1554" i="2"/>
  <c r="BR1554" i="2"/>
  <c r="BP1554" i="2"/>
  <c r="BO1554" i="2"/>
  <c r="BO1581" i="2" s="1"/>
  <c r="BO1580" i="2" s="1"/>
  <c r="BM1554" i="2"/>
  <c r="BL1554" i="2"/>
  <c r="BJ1554" i="2"/>
  <c r="BI1554" i="2"/>
  <c r="BI1574" i="2" s="1"/>
  <c r="BG1554" i="2"/>
  <c r="BG1574" i="2" s="1"/>
  <c r="BF1554" i="2"/>
  <c r="BF1581" i="2" s="1"/>
  <c r="BF1580" i="2" s="1"/>
  <c r="BD1554" i="2"/>
  <c r="BD1581" i="2" s="1"/>
  <c r="BD1580" i="2" s="1"/>
  <c r="BC1554" i="2"/>
  <c r="BC1581" i="2" s="1"/>
  <c r="BC1580" i="2" s="1"/>
  <c r="BA1554" i="2"/>
  <c r="AZ1554" i="2"/>
  <c r="AU1554" i="2"/>
  <c r="AT1554" i="2"/>
  <c r="U1554" i="2"/>
  <c r="AR1554" i="2" s="1"/>
  <c r="R1554" i="2"/>
  <c r="AW1554" i="2" s="1"/>
  <c r="L1554" i="2"/>
  <c r="L1589" i="2" s="1"/>
  <c r="R1589" i="2" s="1"/>
  <c r="B1554" i="2"/>
  <c r="AQ1551" i="2"/>
  <c r="AU1543" i="2"/>
  <c r="AU1542" i="2" s="1"/>
  <c r="AU1536" i="2"/>
  <c r="BV1535" i="2"/>
  <c r="BU1535" i="2"/>
  <c r="BS1535" i="2"/>
  <c r="BR1535" i="2"/>
  <c r="BP1535" i="2"/>
  <c r="BO1535" i="2"/>
  <c r="BM1535" i="2"/>
  <c r="BL1535" i="2"/>
  <c r="BJ1535" i="2"/>
  <c r="BI1535" i="2"/>
  <c r="BG1535" i="2"/>
  <c r="BF1535" i="2"/>
  <c r="BD1535" i="2"/>
  <c r="BC1535" i="2"/>
  <c r="BA1535" i="2"/>
  <c r="AZ1535" i="2"/>
  <c r="AX1535" i="2"/>
  <c r="AW1535" i="2"/>
  <c r="AU1535" i="2"/>
  <c r="AT1535" i="2"/>
  <c r="U1535" i="2"/>
  <c r="S1535" i="2"/>
  <c r="R1535" i="2"/>
  <c r="M1535" i="2"/>
  <c r="B1535" i="2"/>
  <c r="BV1534" i="2"/>
  <c r="BU1534" i="2"/>
  <c r="BS1534" i="2"/>
  <c r="BR1534" i="2"/>
  <c r="BP1534" i="2"/>
  <c r="BO1534" i="2"/>
  <c r="BM1534" i="2"/>
  <c r="BL1534" i="2"/>
  <c r="BJ1534" i="2"/>
  <c r="BI1534" i="2"/>
  <c r="BG1534" i="2"/>
  <c r="BF1534" i="2"/>
  <c r="BD1534" i="2"/>
  <c r="BC1534" i="2"/>
  <c r="BA1534" i="2"/>
  <c r="AZ1534" i="2"/>
  <c r="AX1534" i="2"/>
  <c r="AW1534" i="2"/>
  <c r="AU1534" i="2"/>
  <c r="AT1534" i="2"/>
  <c r="U1534" i="2"/>
  <c r="R1534" i="2"/>
  <c r="S1534" i="2" s="1"/>
  <c r="M1534" i="2"/>
  <c r="B1534" i="2"/>
  <c r="BV1533" i="2"/>
  <c r="BU1533" i="2"/>
  <c r="BS1533" i="2"/>
  <c r="BR1533" i="2"/>
  <c r="BP1533" i="2"/>
  <c r="BP1543" i="2" s="1"/>
  <c r="BP1542" i="2" s="1"/>
  <c r="BO1533" i="2"/>
  <c r="BM1533" i="2"/>
  <c r="BL1533" i="2"/>
  <c r="BJ1533" i="2"/>
  <c r="BI1533" i="2"/>
  <c r="BG1533" i="2"/>
  <c r="BF1533" i="2"/>
  <c r="BD1533" i="2"/>
  <c r="BC1533" i="2"/>
  <c r="BA1533" i="2"/>
  <c r="AZ1533" i="2"/>
  <c r="AX1533" i="2"/>
  <c r="AW1533" i="2"/>
  <c r="AU1533" i="2"/>
  <c r="AT1533" i="2"/>
  <c r="S1533" i="2"/>
  <c r="R1533" i="2"/>
  <c r="M1533" i="2"/>
  <c r="U1533" i="2" s="1"/>
  <c r="B1533" i="2"/>
  <c r="BV1532" i="2"/>
  <c r="BU1532" i="2"/>
  <c r="BS1532" i="2"/>
  <c r="BR1532" i="2"/>
  <c r="BP1532" i="2"/>
  <c r="BO1532" i="2"/>
  <c r="BM1532" i="2"/>
  <c r="BL1532" i="2"/>
  <c r="BJ1532" i="2"/>
  <c r="BI1532" i="2"/>
  <c r="BG1532" i="2"/>
  <c r="BF1532" i="2"/>
  <c r="BD1532" i="2"/>
  <c r="BC1532" i="2"/>
  <c r="BA1532" i="2"/>
  <c r="AZ1532" i="2"/>
  <c r="AX1532" i="2"/>
  <c r="AW1532" i="2"/>
  <c r="AU1532" i="2"/>
  <c r="AT1532" i="2"/>
  <c r="U1532" i="2"/>
  <c r="R1532" i="2"/>
  <c r="M1532" i="2"/>
  <c r="B1532" i="2"/>
  <c r="BV1531" i="2"/>
  <c r="BU1531" i="2"/>
  <c r="BS1531" i="2"/>
  <c r="BR1531" i="2"/>
  <c r="BP1531" i="2"/>
  <c r="BO1531" i="2"/>
  <c r="BM1531" i="2"/>
  <c r="BL1531" i="2"/>
  <c r="BJ1531" i="2"/>
  <c r="BI1531" i="2"/>
  <c r="BG1531" i="2"/>
  <c r="BF1531" i="2"/>
  <c r="BD1531" i="2"/>
  <c r="BC1531" i="2"/>
  <c r="BA1531" i="2"/>
  <c r="AZ1531" i="2"/>
  <c r="AX1531" i="2"/>
  <c r="AW1531" i="2"/>
  <c r="AU1531" i="2"/>
  <c r="AT1531" i="2"/>
  <c r="U1531" i="2"/>
  <c r="R1531" i="2"/>
  <c r="S1531" i="2" s="1"/>
  <c r="M1531" i="2"/>
  <c r="B1531" i="2"/>
  <c r="BV1530" i="2"/>
  <c r="BU1530" i="2"/>
  <c r="BS1530" i="2"/>
  <c r="BR1530" i="2"/>
  <c r="BP1530" i="2"/>
  <c r="BO1530" i="2"/>
  <c r="BM1530" i="2"/>
  <c r="BL1530" i="2"/>
  <c r="BJ1530" i="2"/>
  <c r="BI1530" i="2"/>
  <c r="BG1530" i="2"/>
  <c r="BF1530" i="2"/>
  <c r="BD1530" i="2"/>
  <c r="BC1530" i="2"/>
  <c r="BA1530" i="2"/>
  <c r="AZ1530" i="2"/>
  <c r="AX1530" i="2"/>
  <c r="AW1530" i="2"/>
  <c r="AU1530" i="2"/>
  <c r="AT1530" i="2"/>
  <c r="S1530" i="2"/>
  <c r="R1530" i="2"/>
  <c r="M1530" i="2"/>
  <c r="U1530" i="2" s="1"/>
  <c r="B1530" i="2"/>
  <c r="BV1529" i="2"/>
  <c r="BU1529" i="2"/>
  <c r="BS1529" i="2"/>
  <c r="BR1529" i="2"/>
  <c r="BP1529" i="2"/>
  <c r="BO1529" i="2"/>
  <c r="BM1529" i="2"/>
  <c r="BL1529" i="2"/>
  <c r="BJ1529" i="2"/>
  <c r="BI1529" i="2"/>
  <c r="BG1529" i="2"/>
  <c r="BF1529" i="2"/>
  <c r="BD1529" i="2"/>
  <c r="BC1529" i="2"/>
  <c r="BA1529" i="2"/>
  <c r="AZ1529" i="2"/>
  <c r="AX1529" i="2"/>
  <c r="AW1529" i="2"/>
  <c r="AU1529" i="2"/>
  <c r="AT1529" i="2"/>
  <c r="R1529" i="2"/>
  <c r="M1529" i="2"/>
  <c r="U1529" i="2" s="1"/>
  <c r="B1529" i="2"/>
  <c r="BV1528" i="2"/>
  <c r="BU1528" i="2"/>
  <c r="BS1528" i="2"/>
  <c r="BR1528" i="2"/>
  <c r="BP1528" i="2"/>
  <c r="BO1528" i="2"/>
  <c r="BM1528" i="2"/>
  <c r="BL1528" i="2"/>
  <c r="BJ1528" i="2"/>
  <c r="BI1528" i="2"/>
  <c r="BG1528" i="2"/>
  <c r="BF1528" i="2"/>
  <c r="BD1528" i="2"/>
  <c r="BC1528" i="2"/>
  <c r="BA1528" i="2"/>
  <c r="AZ1528" i="2"/>
  <c r="AX1528" i="2"/>
  <c r="AW1528" i="2"/>
  <c r="AU1528" i="2"/>
  <c r="AT1528" i="2"/>
  <c r="R1528" i="2"/>
  <c r="S1528" i="2" s="1"/>
  <c r="M1528" i="2"/>
  <c r="U1528" i="2" s="1"/>
  <c r="B1528" i="2"/>
  <c r="BV1527" i="2"/>
  <c r="BU1527" i="2"/>
  <c r="BS1527" i="2"/>
  <c r="BR1527" i="2"/>
  <c r="BP1527" i="2"/>
  <c r="BO1527" i="2"/>
  <c r="BM1527" i="2"/>
  <c r="BL1527" i="2"/>
  <c r="BJ1527" i="2"/>
  <c r="BI1527" i="2"/>
  <c r="BG1527" i="2"/>
  <c r="BF1527" i="2"/>
  <c r="BD1527" i="2"/>
  <c r="BC1527" i="2"/>
  <c r="BA1527" i="2"/>
  <c r="AZ1527" i="2"/>
  <c r="AX1527" i="2"/>
  <c r="AW1527" i="2"/>
  <c r="AU1527" i="2"/>
  <c r="AT1527" i="2"/>
  <c r="U1527" i="2"/>
  <c r="S1527" i="2"/>
  <c r="R1527" i="2"/>
  <c r="M1527" i="2"/>
  <c r="B1527" i="2"/>
  <c r="BV1526" i="2"/>
  <c r="BU1526" i="2"/>
  <c r="BS1526" i="2"/>
  <c r="BR1526" i="2"/>
  <c r="BP1526" i="2"/>
  <c r="BO1526" i="2"/>
  <c r="BM1526" i="2"/>
  <c r="BL1526" i="2"/>
  <c r="BJ1526" i="2"/>
  <c r="BI1526" i="2"/>
  <c r="BG1526" i="2"/>
  <c r="BF1526" i="2"/>
  <c r="BD1526" i="2"/>
  <c r="BC1526" i="2"/>
  <c r="BA1526" i="2"/>
  <c r="AZ1526" i="2"/>
  <c r="AX1526" i="2"/>
  <c r="AW1526" i="2"/>
  <c r="AU1526" i="2"/>
  <c r="AT1526" i="2"/>
  <c r="U1526" i="2"/>
  <c r="S1526" i="2"/>
  <c r="R1526" i="2"/>
  <c r="M1526" i="2"/>
  <c r="B1526" i="2"/>
  <c r="BV1525" i="2"/>
  <c r="BU1525" i="2"/>
  <c r="BS1525" i="2"/>
  <c r="BR1525" i="2"/>
  <c r="BP1525" i="2"/>
  <c r="BO1525" i="2"/>
  <c r="BM1525" i="2"/>
  <c r="BL1525" i="2"/>
  <c r="BJ1525" i="2"/>
  <c r="BI1525" i="2"/>
  <c r="BG1525" i="2"/>
  <c r="BF1525" i="2"/>
  <c r="BD1525" i="2"/>
  <c r="BC1525" i="2"/>
  <c r="BA1525" i="2"/>
  <c r="AZ1525" i="2"/>
  <c r="AX1525" i="2"/>
  <c r="AW1525" i="2"/>
  <c r="AU1525" i="2"/>
  <c r="AT1525" i="2"/>
  <c r="R1525" i="2"/>
  <c r="M1525" i="2"/>
  <c r="U1525" i="2" s="1"/>
  <c r="B1525" i="2"/>
  <c r="BV1524" i="2"/>
  <c r="BU1524" i="2"/>
  <c r="BS1524" i="2"/>
  <c r="BR1524" i="2"/>
  <c r="BP1524" i="2"/>
  <c r="BO1524" i="2"/>
  <c r="BM1524" i="2"/>
  <c r="BL1524" i="2"/>
  <c r="BJ1524" i="2"/>
  <c r="BI1524" i="2"/>
  <c r="BG1524" i="2"/>
  <c r="BF1524" i="2"/>
  <c r="BD1524" i="2"/>
  <c r="BC1524" i="2"/>
  <c r="BA1524" i="2"/>
  <c r="AZ1524" i="2"/>
  <c r="AX1524" i="2"/>
  <c r="AW1524" i="2"/>
  <c r="AU1524" i="2"/>
  <c r="AT1524" i="2"/>
  <c r="U1524" i="2"/>
  <c r="S1524" i="2"/>
  <c r="R1524" i="2"/>
  <c r="M1524" i="2"/>
  <c r="B1524" i="2"/>
  <c r="BV1523" i="2"/>
  <c r="BU1523" i="2"/>
  <c r="BS1523" i="2"/>
  <c r="BR1523" i="2"/>
  <c r="BP1523" i="2"/>
  <c r="BO1523" i="2"/>
  <c r="BM1523" i="2"/>
  <c r="BL1523" i="2"/>
  <c r="BJ1523" i="2"/>
  <c r="BI1523" i="2"/>
  <c r="BG1523" i="2"/>
  <c r="BF1523" i="2"/>
  <c r="BD1523" i="2"/>
  <c r="BC1523" i="2"/>
  <c r="BA1523" i="2"/>
  <c r="AZ1523" i="2"/>
  <c r="AX1523" i="2"/>
  <c r="AW1523" i="2"/>
  <c r="AU1523" i="2"/>
  <c r="AT1523" i="2"/>
  <c r="R1523" i="2"/>
  <c r="M1523" i="2"/>
  <c r="U1523" i="2" s="1"/>
  <c r="B1523" i="2"/>
  <c r="BV1522" i="2"/>
  <c r="BU1522" i="2"/>
  <c r="BS1522" i="2"/>
  <c r="BR1522" i="2"/>
  <c r="BP1522" i="2"/>
  <c r="BO1522" i="2"/>
  <c r="BM1522" i="2"/>
  <c r="BL1522" i="2"/>
  <c r="BJ1522" i="2"/>
  <c r="BI1522" i="2"/>
  <c r="BG1522" i="2"/>
  <c r="BF1522" i="2"/>
  <c r="BD1522" i="2"/>
  <c r="BC1522" i="2"/>
  <c r="BA1522" i="2"/>
  <c r="AZ1522" i="2"/>
  <c r="AX1522" i="2"/>
  <c r="AW1522" i="2"/>
  <c r="AU1522" i="2"/>
  <c r="AT1522" i="2"/>
  <c r="R1522" i="2"/>
  <c r="S1522" i="2" s="1"/>
  <c r="M1522" i="2"/>
  <c r="U1522" i="2" s="1"/>
  <c r="B1522" i="2"/>
  <c r="BV1521" i="2"/>
  <c r="BU1521" i="2"/>
  <c r="BS1521" i="2"/>
  <c r="BR1521" i="2"/>
  <c r="BP1521" i="2"/>
  <c r="BO1521" i="2"/>
  <c r="BM1521" i="2"/>
  <c r="BL1521" i="2"/>
  <c r="BJ1521" i="2"/>
  <c r="BI1521" i="2"/>
  <c r="BG1521" i="2"/>
  <c r="BF1521" i="2"/>
  <c r="BD1521" i="2"/>
  <c r="BC1521" i="2"/>
  <c r="BA1521" i="2"/>
  <c r="AZ1521" i="2"/>
  <c r="AX1521" i="2"/>
  <c r="AW1521" i="2"/>
  <c r="AU1521" i="2"/>
  <c r="AT1521" i="2"/>
  <c r="U1521" i="2"/>
  <c r="S1521" i="2"/>
  <c r="R1521" i="2"/>
  <c r="M1521" i="2"/>
  <c r="B1521" i="2"/>
  <c r="BV1520" i="2"/>
  <c r="BU1520" i="2"/>
  <c r="BS1520" i="2"/>
  <c r="BR1520" i="2"/>
  <c r="BP1520" i="2"/>
  <c r="BO1520" i="2"/>
  <c r="BM1520" i="2"/>
  <c r="BL1520" i="2"/>
  <c r="BJ1520" i="2"/>
  <c r="BI1520" i="2"/>
  <c r="BG1520" i="2"/>
  <c r="BF1520" i="2"/>
  <c r="BD1520" i="2"/>
  <c r="BC1520" i="2"/>
  <c r="BA1520" i="2"/>
  <c r="AZ1520" i="2"/>
  <c r="AX1520" i="2"/>
  <c r="AW1520" i="2"/>
  <c r="AU1520" i="2"/>
  <c r="AT1520" i="2"/>
  <c r="U1520" i="2"/>
  <c r="S1520" i="2"/>
  <c r="R1520" i="2"/>
  <c r="M1520" i="2"/>
  <c r="B1520" i="2"/>
  <c r="BV1519" i="2"/>
  <c r="BU1519" i="2"/>
  <c r="BS1519" i="2"/>
  <c r="BR1519" i="2"/>
  <c r="BR1536" i="2" s="1"/>
  <c r="BP1519" i="2"/>
  <c r="BO1519" i="2"/>
  <c r="BM1519" i="2"/>
  <c r="BM1543" i="2" s="1"/>
  <c r="BM1542" i="2" s="1"/>
  <c r="BL1519" i="2"/>
  <c r="BJ1519" i="2"/>
  <c r="BI1519" i="2"/>
  <c r="BG1519" i="2"/>
  <c r="BF1519" i="2"/>
  <c r="BD1519" i="2"/>
  <c r="BC1519" i="2"/>
  <c r="BA1519" i="2"/>
  <c r="AZ1519" i="2"/>
  <c r="AX1519" i="2"/>
  <c r="AW1519" i="2"/>
  <c r="AU1519" i="2"/>
  <c r="AT1519" i="2"/>
  <c r="R1519" i="2"/>
  <c r="M1519" i="2"/>
  <c r="U1519" i="2" s="1"/>
  <c r="B1519" i="2"/>
  <c r="BV1518" i="2"/>
  <c r="BU1518" i="2"/>
  <c r="BS1518" i="2"/>
  <c r="BR1518" i="2"/>
  <c r="BP1518" i="2"/>
  <c r="BO1518" i="2"/>
  <c r="BM1518" i="2"/>
  <c r="BL1518" i="2"/>
  <c r="BJ1518" i="2"/>
  <c r="BI1518" i="2"/>
  <c r="BG1518" i="2"/>
  <c r="BF1518" i="2"/>
  <c r="BD1518" i="2"/>
  <c r="BC1518" i="2"/>
  <c r="BA1518" i="2"/>
  <c r="AZ1518" i="2"/>
  <c r="AX1518" i="2"/>
  <c r="AW1518" i="2"/>
  <c r="AU1518" i="2"/>
  <c r="AT1518" i="2"/>
  <c r="U1518" i="2"/>
  <c r="S1518" i="2"/>
  <c r="R1518" i="2"/>
  <c r="M1518" i="2"/>
  <c r="B1518" i="2"/>
  <c r="BV1517" i="2"/>
  <c r="BU1517" i="2"/>
  <c r="BS1517" i="2"/>
  <c r="BR1517" i="2"/>
  <c r="BP1517" i="2"/>
  <c r="BO1517" i="2"/>
  <c r="BM1517" i="2"/>
  <c r="BL1517" i="2"/>
  <c r="BJ1517" i="2"/>
  <c r="BJ1543" i="2" s="1"/>
  <c r="BJ1542" i="2" s="1"/>
  <c r="BJ1541" i="2" s="1"/>
  <c r="BI1517" i="2"/>
  <c r="BG1517" i="2"/>
  <c r="BF1517" i="2"/>
  <c r="BD1517" i="2"/>
  <c r="BC1517" i="2"/>
  <c r="BC1536" i="2" s="1"/>
  <c r="BA1517" i="2"/>
  <c r="BA1543" i="2" s="1"/>
  <c r="BA1542" i="2" s="1"/>
  <c r="AZ1517" i="2"/>
  <c r="AX1517" i="2"/>
  <c r="AW1517" i="2"/>
  <c r="AU1517" i="2"/>
  <c r="AT1517" i="2"/>
  <c r="R1517" i="2"/>
  <c r="M1517" i="2"/>
  <c r="U1517" i="2" s="1"/>
  <c r="B1517" i="2"/>
  <c r="BV1516" i="2"/>
  <c r="BV1543" i="2" s="1"/>
  <c r="BV1542" i="2" s="1"/>
  <c r="BU1516" i="2"/>
  <c r="BS1516" i="2"/>
  <c r="BS1536" i="2" s="1"/>
  <c r="BR1516" i="2"/>
  <c r="BR1543" i="2" s="1"/>
  <c r="BR1542" i="2" s="1"/>
  <c r="BP1516" i="2"/>
  <c r="BO1516" i="2"/>
  <c r="BM1516" i="2"/>
  <c r="BL1516" i="2"/>
  <c r="BJ1516" i="2"/>
  <c r="BJ1536" i="2" s="1"/>
  <c r="BI1516" i="2"/>
  <c r="BG1516" i="2"/>
  <c r="BG1543" i="2" s="1"/>
  <c r="BG1542" i="2" s="1"/>
  <c r="BF1516" i="2"/>
  <c r="BD1516" i="2"/>
  <c r="BD1543" i="2" s="1"/>
  <c r="BD1542" i="2" s="1"/>
  <c r="BC1516" i="2"/>
  <c r="BA1516" i="2"/>
  <c r="BA1536" i="2" s="1"/>
  <c r="AZ1516" i="2"/>
  <c r="AZ1543" i="2" s="1"/>
  <c r="AZ1542" i="2" s="1"/>
  <c r="AX1516" i="2"/>
  <c r="AW1516" i="2"/>
  <c r="AU1516" i="2"/>
  <c r="AT1516" i="2"/>
  <c r="U1516" i="2"/>
  <c r="AR1516" i="2" s="1"/>
  <c r="S1516" i="2"/>
  <c r="R1516" i="2"/>
  <c r="R1540" i="2" s="1"/>
  <c r="M1516" i="2"/>
  <c r="B1516" i="2"/>
  <c r="AQ1513" i="2"/>
  <c r="BV1499" i="2"/>
  <c r="BU1499" i="2"/>
  <c r="BS1499" i="2"/>
  <c r="BR1499" i="2"/>
  <c r="BP1499" i="2"/>
  <c r="BO1499" i="2"/>
  <c r="BM1499" i="2"/>
  <c r="BL1499" i="2"/>
  <c r="BJ1499" i="2"/>
  <c r="BI1499" i="2"/>
  <c r="BG1499" i="2"/>
  <c r="BF1499" i="2"/>
  <c r="BD1499" i="2"/>
  <c r="BC1499" i="2"/>
  <c r="BA1499" i="2"/>
  <c r="AZ1499" i="2"/>
  <c r="AX1499" i="2"/>
  <c r="AW1499" i="2"/>
  <c r="AU1499" i="2"/>
  <c r="AT1499" i="2"/>
  <c r="U1499" i="2"/>
  <c r="S1499" i="2"/>
  <c r="R1499" i="2"/>
  <c r="M1499" i="2"/>
  <c r="B1499" i="2"/>
  <c r="BV1498" i="2"/>
  <c r="BU1498" i="2"/>
  <c r="BS1498" i="2"/>
  <c r="BR1498" i="2"/>
  <c r="BP1498" i="2"/>
  <c r="BO1498" i="2"/>
  <c r="BM1498" i="2"/>
  <c r="BL1498" i="2"/>
  <c r="BJ1498" i="2"/>
  <c r="BI1498" i="2"/>
  <c r="BG1498" i="2"/>
  <c r="BF1498" i="2"/>
  <c r="BD1498" i="2"/>
  <c r="BC1498" i="2"/>
  <c r="BA1498" i="2"/>
  <c r="AZ1498" i="2"/>
  <c r="AX1498" i="2"/>
  <c r="AW1498" i="2"/>
  <c r="AU1498" i="2"/>
  <c r="AT1498" i="2"/>
  <c r="U1498" i="2"/>
  <c r="S1498" i="2"/>
  <c r="R1498" i="2"/>
  <c r="M1498" i="2"/>
  <c r="B1498" i="2"/>
  <c r="BV1497" i="2"/>
  <c r="BU1497" i="2"/>
  <c r="BS1497" i="2"/>
  <c r="BR1497" i="2"/>
  <c r="BP1497" i="2"/>
  <c r="BO1497" i="2"/>
  <c r="BM1497" i="2"/>
  <c r="BL1497" i="2"/>
  <c r="BJ1497" i="2"/>
  <c r="BI1497" i="2"/>
  <c r="BG1497" i="2"/>
  <c r="BF1497" i="2"/>
  <c r="BD1497" i="2"/>
  <c r="BC1497" i="2"/>
  <c r="BA1497" i="2"/>
  <c r="AZ1497" i="2"/>
  <c r="AX1497" i="2"/>
  <c r="AW1497" i="2"/>
  <c r="AU1497" i="2"/>
  <c r="AT1497" i="2"/>
  <c r="R1497" i="2"/>
  <c r="M1497" i="2"/>
  <c r="U1497" i="2" s="1"/>
  <c r="B1497" i="2"/>
  <c r="BV1496" i="2"/>
  <c r="BU1496" i="2"/>
  <c r="BS1496" i="2"/>
  <c r="BR1496" i="2"/>
  <c r="BP1496" i="2"/>
  <c r="BO1496" i="2"/>
  <c r="BM1496" i="2"/>
  <c r="BL1496" i="2"/>
  <c r="BJ1496" i="2"/>
  <c r="BI1496" i="2"/>
  <c r="BG1496" i="2"/>
  <c r="BF1496" i="2"/>
  <c r="BD1496" i="2"/>
  <c r="BC1496" i="2"/>
  <c r="BA1496" i="2"/>
  <c r="AZ1496" i="2"/>
  <c r="AX1496" i="2"/>
  <c r="AW1496" i="2"/>
  <c r="AU1496" i="2"/>
  <c r="AT1496" i="2"/>
  <c r="U1496" i="2"/>
  <c r="S1496" i="2"/>
  <c r="R1496" i="2"/>
  <c r="M1496" i="2"/>
  <c r="B1496" i="2"/>
  <c r="BV1495" i="2"/>
  <c r="BU1495" i="2"/>
  <c r="BS1495" i="2"/>
  <c r="BR1495" i="2"/>
  <c r="BP1495" i="2"/>
  <c r="BO1495" i="2"/>
  <c r="BM1495" i="2"/>
  <c r="BL1495" i="2"/>
  <c r="BJ1495" i="2"/>
  <c r="BI1495" i="2"/>
  <c r="BG1495" i="2"/>
  <c r="BF1495" i="2"/>
  <c r="BD1495" i="2"/>
  <c r="BC1495" i="2"/>
  <c r="BA1495" i="2"/>
  <c r="AZ1495" i="2"/>
  <c r="AX1495" i="2"/>
  <c r="AW1495" i="2"/>
  <c r="AU1495" i="2"/>
  <c r="AT1495" i="2"/>
  <c r="R1495" i="2"/>
  <c r="M1495" i="2"/>
  <c r="U1495" i="2" s="1"/>
  <c r="B1495" i="2"/>
  <c r="BV1494" i="2"/>
  <c r="BU1494" i="2"/>
  <c r="BS1494" i="2"/>
  <c r="BR1494" i="2"/>
  <c r="BP1494" i="2"/>
  <c r="BO1494" i="2"/>
  <c r="BM1494" i="2"/>
  <c r="BL1494" i="2"/>
  <c r="BJ1494" i="2"/>
  <c r="BI1494" i="2"/>
  <c r="BG1494" i="2"/>
  <c r="BF1494" i="2"/>
  <c r="BD1494" i="2"/>
  <c r="BC1494" i="2"/>
  <c r="BA1494" i="2"/>
  <c r="AZ1494" i="2"/>
  <c r="AX1494" i="2"/>
  <c r="AW1494" i="2"/>
  <c r="AU1494" i="2"/>
  <c r="AT1494" i="2"/>
  <c r="R1494" i="2"/>
  <c r="S1494" i="2" s="1"/>
  <c r="M1494" i="2"/>
  <c r="U1494" i="2" s="1"/>
  <c r="B1494" i="2"/>
  <c r="BV1493" i="2"/>
  <c r="BU1493" i="2"/>
  <c r="BS1493" i="2"/>
  <c r="BR1493" i="2"/>
  <c r="BP1493" i="2"/>
  <c r="BO1493" i="2"/>
  <c r="BM1493" i="2"/>
  <c r="BL1493" i="2"/>
  <c r="BJ1493" i="2"/>
  <c r="BI1493" i="2"/>
  <c r="BG1493" i="2"/>
  <c r="BF1493" i="2"/>
  <c r="BD1493" i="2"/>
  <c r="BC1493" i="2"/>
  <c r="BA1493" i="2"/>
  <c r="AZ1493" i="2"/>
  <c r="AX1493" i="2"/>
  <c r="AW1493" i="2"/>
  <c r="AU1493" i="2"/>
  <c r="AT1493" i="2"/>
  <c r="U1493" i="2"/>
  <c r="S1493" i="2"/>
  <c r="R1493" i="2"/>
  <c r="M1493" i="2"/>
  <c r="B1493" i="2"/>
  <c r="BV1492" i="2"/>
  <c r="BU1492" i="2"/>
  <c r="BS1492" i="2"/>
  <c r="BR1492" i="2"/>
  <c r="BP1492" i="2"/>
  <c r="BO1492" i="2"/>
  <c r="BM1492" i="2"/>
  <c r="BL1492" i="2"/>
  <c r="BJ1492" i="2"/>
  <c r="BI1492" i="2"/>
  <c r="BG1492" i="2"/>
  <c r="BF1492" i="2"/>
  <c r="BD1492" i="2"/>
  <c r="BC1492" i="2"/>
  <c r="BA1492" i="2"/>
  <c r="AZ1492" i="2"/>
  <c r="AX1492" i="2"/>
  <c r="AW1492" i="2"/>
  <c r="AU1492" i="2"/>
  <c r="AT1492" i="2"/>
  <c r="U1492" i="2"/>
  <c r="S1492" i="2"/>
  <c r="R1492" i="2"/>
  <c r="M1492" i="2"/>
  <c r="B1492" i="2"/>
  <c r="BV1491" i="2"/>
  <c r="BU1491" i="2"/>
  <c r="BS1491" i="2"/>
  <c r="BR1491" i="2"/>
  <c r="BP1491" i="2"/>
  <c r="BO1491" i="2"/>
  <c r="BM1491" i="2"/>
  <c r="BL1491" i="2"/>
  <c r="BJ1491" i="2"/>
  <c r="BI1491" i="2"/>
  <c r="BG1491" i="2"/>
  <c r="BF1491" i="2"/>
  <c r="BD1491" i="2"/>
  <c r="BC1491" i="2"/>
  <c r="BA1491" i="2"/>
  <c r="AZ1491" i="2"/>
  <c r="AX1491" i="2"/>
  <c r="AW1491" i="2"/>
  <c r="AU1491" i="2"/>
  <c r="AT1491" i="2"/>
  <c r="R1491" i="2"/>
  <c r="M1491" i="2"/>
  <c r="U1491" i="2" s="1"/>
  <c r="B1491" i="2"/>
  <c r="BV1490" i="2"/>
  <c r="BU1490" i="2"/>
  <c r="BS1490" i="2"/>
  <c r="BR1490" i="2"/>
  <c r="BP1490" i="2"/>
  <c r="BO1490" i="2"/>
  <c r="BM1490" i="2"/>
  <c r="BL1490" i="2"/>
  <c r="BJ1490" i="2"/>
  <c r="BI1490" i="2"/>
  <c r="BG1490" i="2"/>
  <c r="BF1490" i="2"/>
  <c r="BD1490" i="2"/>
  <c r="BC1490" i="2"/>
  <c r="BA1490" i="2"/>
  <c r="AZ1490" i="2"/>
  <c r="AX1490" i="2"/>
  <c r="AW1490" i="2"/>
  <c r="AU1490" i="2"/>
  <c r="AT1490" i="2"/>
  <c r="U1490" i="2"/>
  <c r="S1490" i="2"/>
  <c r="R1490" i="2"/>
  <c r="M1490" i="2"/>
  <c r="B1490" i="2"/>
  <c r="BV1489" i="2"/>
  <c r="BU1489" i="2"/>
  <c r="BS1489" i="2"/>
  <c r="BR1489" i="2"/>
  <c r="BP1489" i="2"/>
  <c r="BO1489" i="2"/>
  <c r="BM1489" i="2"/>
  <c r="BL1489" i="2"/>
  <c r="BJ1489" i="2"/>
  <c r="BI1489" i="2"/>
  <c r="BG1489" i="2"/>
  <c r="BF1489" i="2"/>
  <c r="BD1489" i="2"/>
  <c r="BC1489" i="2"/>
  <c r="BA1489" i="2"/>
  <c r="AZ1489" i="2"/>
  <c r="AX1489" i="2"/>
  <c r="AW1489" i="2"/>
  <c r="AU1489" i="2"/>
  <c r="AT1489" i="2"/>
  <c r="R1489" i="2"/>
  <c r="M1489" i="2"/>
  <c r="U1489" i="2" s="1"/>
  <c r="B1489" i="2"/>
  <c r="BV1488" i="2"/>
  <c r="BU1488" i="2"/>
  <c r="BS1488" i="2"/>
  <c r="BR1488" i="2"/>
  <c r="BP1488" i="2"/>
  <c r="BO1488" i="2"/>
  <c r="BM1488" i="2"/>
  <c r="BL1488" i="2"/>
  <c r="BJ1488" i="2"/>
  <c r="BI1488" i="2"/>
  <c r="BG1488" i="2"/>
  <c r="BF1488" i="2"/>
  <c r="BD1488" i="2"/>
  <c r="BC1488" i="2"/>
  <c r="BA1488" i="2"/>
  <c r="AZ1488" i="2"/>
  <c r="AX1488" i="2"/>
  <c r="AW1488" i="2"/>
  <c r="AU1488" i="2"/>
  <c r="AT1488" i="2"/>
  <c r="R1488" i="2"/>
  <c r="S1488" i="2" s="1"/>
  <c r="M1488" i="2"/>
  <c r="U1488" i="2" s="1"/>
  <c r="B1488" i="2"/>
  <c r="BV1487" i="2"/>
  <c r="BU1487" i="2"/>
  <c r="BS1487" i="2"/>
  <c r="BR1487" i="2"/>
  <c r="BP1487" i="2"/>
  <c r="BO1487" i="2"/>
  <c r="BM1487" i="2"/>
  <c r="BL1487" i="2"/>
  <c r="BJ1487" i="2"/>
  <c r="BI1487" i="2"/>
  <c r="BG1487" i="2"/>
  <c r="BF1487" i="2"/>
  <c r="BD1487" i="2"/>
  <c r="BC1487" i="2"/>
  <c r="BA1487" i="2"/>
  <c r="AZ1487" i="2"/>
  <c r="AX1487" i="2"/>
  <c r="AW1487" i="2"/>
  <c r="AU1487" i="2"/>
  <c r="AT1487" i="2"/>
  <c r="U1487" i="2"/>
  <c r="S1487" i="2"/>
  <c r="R1487" i="2"/>
  <c r="M1487" i="2"/>
  <c r="B1487" i="2"/>
  <c r="BV1486" i="2"/>
  <c r="BU1486" i="2"/>
  <c r="BS1486" i="2"/>
  <c r="BR1486" i="2"/>
  <c r="BP1486" i="2"/>
  <c r="BO1486" i="2"/>
  <c r="BM1486" i="2"/>
  <c r="BL1486" i="2"/>
  <c r="BJ1486" i="2"/>
  <c r="BI1486" i="2"/>
  <c r="BG1486" i="2"/>
  <c r="BF1486" i="2"/>
  <c r="BD1486" i="2"/>
  <c r="BC1486" i="2"/>
  <c r="BA1486" i="2"/>
  <c r="AZ1486" i="2"/>
  <c r="AX1486" i="2"/>
  <c r="AW1486" i="2"/>
  <c r="AU1486" i="2"/>
  <c r="AT1486" i="2"/>
  <c r="U1486" i="2"/>
  <c r="S1486" i="2"/>
  <c r="R1486" i="2"/>
  <c r="M1486" i="2"/>
  <c r="B1486" i="2"/>
  <c r="BV1485" i="2"/>
  <c r="BU1485" i="2"/>
  <c r="BS1485" i="2"/>
  <c r="BR1485" i="2"/>
  <c r="BP1485" i="2"/>
  <c r="BO1485" i="2"/>
  <c r="BM1485" i="2"/>
  <c r="BM1500" i="2" s="1"/>
  <c r="BL1485" i="2"/>
  <c r="BJ1485" i="2"/>
  <c r="BI1485" i="2"/>
  <c r="BG1485" i="2"/>
  <c r="BF1485" i="2"/>
  <c r="BD1485" i="2"/>
  <c r="BC1485" i="2"/>
  <c r="BA1485" i="2"/>
  <c r="AZ1485" i="2"/>
  <c r="AX1485" i="2"/>
  <c r="AW1485" i="2"/>
  <c r="AU1485" i="2"/>
  <c r="AT1485" i="2"/>
  <c r="R1485" i="2"/>
  <c r="M1485" i="2"/>
  <c r="U1485" i="2" s="1"/>
  <c r="B1485" i="2"/>
  <c r="BV1484" i="2"/>
  <c r="BU1484" i="2"/>
  <c r="BS1484" i="2"/>
  <c r="BR1484" i="2"/>
  <c r="BP1484" i="2"/>
  <c r="BO1484" i="2"/>
  <c r="BM1484" i="2"/>
  <c r="BL1484" i="2"/>
  <c r="BJ1484" i="2"/>
  <c r="BI1484" i="2"/>
  <c r="BG1484" i="2"/>
  <c r="BF1484" i="2"/>
  <c r="BD1484" i="2"/>
  <c r="BC1484" i="2"/>
  <c r="BA1484" i="2"/>
  <c r="AZ1484" i="2"/>
  <c r="AX1484" i="2"/>
  <c r="AW1484" i="2"/>
  <c r="AU1484" i="2"/>
  <c r="AT1484" i="2"/>
  <c r="U1484" i="2"/>
  <c r="S1484" i="2"/>
  <c r="R1484" i="2"/>
  <c r="M1484" i="2"/>
  <c r="B1484" i="2"/>
  <c r="BV1483" i="2"/>
  <c r="BU1483" i="2"/>
  <c r="BS1483" i="2"/>
  <c r="BR1483" i="2"/>
  <c r="BP1483" i="2"/>
  <c r="BO1483" i="2"/>
  <c r="BM1483" i="2"/>
  <c r="BL1483" i="2"/>
  <c r="BJ1483" i="2"/>
  <c r="BI1483" i="2"/>
  <c r="BG1483" i="2"/>
  <c r="BF1483" i="2"/>
  <c r="BD1483" i="2"/>
  <c r="BC1483" i="2"/>
  <c r="BA1483" i="2"/>
  <c r="AZ1483" i="2"/>
  <c r="AX1483" i="2"/>
  <c r="AW1483" i="2"/>
  <c r="AU1483" i="2"/>
  <c r="AT1483" i="2"/>
  <c r="R1483" i="2"/>
  <c r="M1483" i="2"/>
  <c r="U1483" i="2" s="1"/>
  <c r="B1483" i="2"/>
  <c r="BV1482" i="2"/>
  <c r="BU1482" i="2"/>
  <c r="BS1482" i="2"/>
  <c r="BR1482" i="2"/>
  <c r="BP1482" i="2"/>
  <c r="BP1507" i="2" s="1"/>
  <c r="BP1506" i="2" s="1"/>
  <c r="BO1482" i="2"/>
  <c r="BM1482" i="2"/>
  <c r="BL1482" i="2"/>
  <c r="BJ1482" i="2"/>
  <c r="BI1482" i="2"/>
  <c r="BG1482" i="2"/>
  <c r="BF1482" i="2"/>
  <c r="BD1482" i="2"/>
  <c r="BC1482" i="2"/>
  <c r="BA1482" i="2"/>
  <c r="AZ1482" i="2"/>
  <c r="AX1482" i="2"/>
  <c r="AX1507" i="2" s="1"/>
  <c r="AX1506" i="2" s="1"/>
  <c r="AW1482" i="2"/>
  <c r="AU1482" i="2"/>
  <c r="AT1482" i="2"/>
  <c r="R1482" i="2"/>
  <c r="M1482" i="2"/>
  <c r="U1482" i="2" s="1"/>
  <c r="B1482" i="2"/>
  <c r="BV1481" i="2"/>
  <c r="BU1481" i="2"/>
  <c r="BS1481" i="2"/>
  <c r="BS1507" i="2" s="1"/>
  <c r="BS1506" i="2" s="1"/>
  <c r="BR1481" i="2"/>
  <c r="BR1507" i="2" s="1"/>
  <c r="BR1506" i="2" s="1"/>
  <c r="BP1481" i="2"/>
  <c r="BO1481" i="2"/>
  <c r="BM1481" i="2"/>
  <c r="BL1481" i="2"/>
  <c r="BJ1481" i="2"/>
  <c r="BI1481" i="2"/>
  <c r="BI1500" i="2" s="1"/>
  <c r="BG1481" i="2"/>
  <c r="BF1481" i="2"/>
  <c r="BD1481" i="2"/>
  <c r="BC1481" i="2"/>
  <c r="BA1481" i="2"/>
  <c r="BA1507" i="2" s="1"/>
  <c r="BA1506" i="2" s="1"/>
  <c r="AZ1481" i="2"/>
  <c r="AZ1507" i="2" s="1"/>
  <c r="AZ1506" i="2" s="1"/>
  <c r="AX1481" i="2"/>
  <c r="AW1481" i="2"/>
  <c r="AU1481" i="2"/>
  <c r="AT1481" i="2"/>
  <c r="U1481" i="2"/>
  <c r="S1481" i="2"/>
  <c r="R1481" i="2"/>
  <c r="M1481" i="2"/>
  <c r="B1481" i="2"/>
  <c r="BV1480" i="2"/>
  <c r="BU1480" i="2"/>
  <c r="BS1480" i="2"/>
  <c r="BR1480" i="2"/>
  <c r="BP1480" i="2"/>
  <c r="BO1480" i="2"/>
  <c r="BM1480" i="2"/>
  <c r="BL1480" i="2"/>
  <c r="BJ1480" i="2"/>
  <c r="BJ1507" i="2" s="1"/>
  <c r="BJ1506" i="2" s="1"/>
  <c r="BI1480" i="2"/>
  <c r="BG1480" i="2"/>
  <c r="BF1480" i="2"/>
  <c r="BD1480" i="2"/>
  <c r="BC1480" i="2"/>
  <c r="BA1480" i="2"/>
  <c r="AZ1480" i="2"/>
  <c r="AX1480" i="2"/>
  <c r="AW1480" i="2"/>
  <c r="AU1480" i="2"/>
  <c r="AU1500" i="2" s="1"/>
  <c r="AT1480" i="2"/>
  <c r="AR1480" i="2"/>
  <c r="R1480" i="2"/>
  <c r="M1480" i="2"/>
  <c r="U1480" i="2" s="1"/>
  <c r="B1480" i="2"/>
  <c r="AQ1477" i="2"/>
  <c r="BV1459" i="2"/>
  <c r="BU1459" i="2"/>
  <c r="BS1459" i="2"/>
  <c r="BR1459" i="2"/>
  <c r="BP1459" i="2"/>
  <c r="BO1459" i="2"/>
  <c r="BM1459" i="2"/>
  <c r="BL1459" i="2"/>
  <c r="BJ1459" i="2"/>
  <c r="BI1459" i="2"/>
  <c r="BG1459" i="2"/>
  <c r="BF1459" i="2"/>
  <c r="BD1459" i="2"/>
  <c r="BC1459" i="2"/>
  <c r="BA1459" i="2"/>
  <c r="AZ1459" i="2"/>
  <c r="AX1459" i="2"/>
  <c r="AW1459" i="2"/>
  <c r="AU1459" i="2"/>
  <c r="AT1459" i="2"/>
  <c r="R1459" i="2"/>
  <c r="M1459" i="2"/>
  <c r="U1459" i="2" s="1"/>
  <c r="B1459" i="2"/>
  <c r="BV1458" i="2"/>
  <c r="BU1458" i="2"/>
  <c r="BS1458" i="2"/>
  <c r="BR1458" i="2"/>
  <c r="BP1458" i="2"/>
  <c r="BO1458" i="2"/>
  <c r="BM1458" i="2"/>
  <c r="BL1458" i="2"/>
  <c r="BJ1458" i="2"/>
  <c r="BI1458" i="2"/>
  <c r="BG1458" i="2"/>
  <c r="BF1458" i="2"/>
  <c r="BD1458" i="2"/>
  <c r="BC1458" i="2"/>
  <c r="BA1458" i="2"/>
  <c r="AZ1458" i="2"/>
  <c r="AX1458" i="2"/>
  <c r="AW1458" i="2"/>
  <c r="AU1458" i="2"/>
  <c r="AT1458" i="2"/>
  <c r="U1458" i="2"/>
  <c r="S1458" i="2"/>
  <c r="R1458" i="2"/>
  <c r="M1458" i="2"/>
  <c r="B1458" i="2"/>
  <c r="BV1457" i="2"/>
  <c r="BU1457" i="2"/>
  <c r="BS1457" i="2"/>
  <c r="BR1457" i="2"/>
  <c r="BP1457" i="2"/>
  <c r="BO1457" i="2"/>
  <c r="BM1457" i="2"/>
  <c r="BL1457" i="2"/>
  <c r="BJ1457" i="2"/>
  <c r="BI1457" i="2"/>
  <c r="BG1457" i="2"/>
  <c r="BF1457" i="2"/>
  <c r="BD1457" i="2"/>
  <c r="BC1457" i="2"/>
  <c r="BA1457" i="2"/>
  <c r="AZ1457" i="2"/>
  <c r="AX1457" i="2"/>
  <c r="AW1457" i="2"/>
  <c r="AU1457" i="2"/>
  <c r="AT1457" i="2"/>
  <c r="R1457" i="2"/>
  <c r="M1457" i="2"/>
  <c r="U1457" i="2" s="1"/>
  <c r="B1457" i="2"/>
  <c r="BV1456" i="2"/>
  <c r="BU1456" i="2"/>
  <c r="BS1456" i="2"/>
  <c r="BR1456" i="2"/>
  <c r="BP1456" i="2"/>
  <c r="BO1456" i="2"/>
  <c r="BM1456" i="2"/>
  <c r="BL1456" i="2"/>
  <c r="BJ1456" i="2"/>
  <c r="BI1456" i="2"/>
  <c r="BG1456" i="2"/>
  <c r="BF1456" i="2"/>
  <c r="BD1456" i="2"/>
  <c r="BC1456" i="2"/>
  <c r="BA1456" i="2"/>
  <c r="AZ1456" i="2"/>
  <c r="AX1456" i="2"/>
  <c r="AW1456" i="2"/>
  <c r="AU1456" i="2"/>
  <c r="AT1456" i="2"/>
  <c r="S1456" i="2"/>
  <c r="R1456" i="2"/>
  <c r="M1456" i="2"/>
  <c r="U1456" i="2" s="1"/>
  <c r="B1456" i="2"/>
  <c r="BV1455" i="2"/>
  <c r="BU1455" i="2"/>
  <c r="BS1455" i="2"/>
  <c r="BR1455" i="2"/>
  <c r="BP1455" i="2"/>
  <c r="BO1455" i="2"/>
  <c r="BM1455" i="2"/>
  <c r="BL1455" i="2"/>
  <c r="BJ1455" i="2"/>
  <c r="BI1455" i="2"/>
  <c r="BG1455" i="2"/>
  <c r="BF1455" i="2"/>
  <c r="BD1455" i="2"/>
  <c r="BC1455" i="2"/>
  <c r="BA1455" i="2"/>
  <c r="AZ1455" i="2"/>
  <c r="AX1455" i="2"/>
  <c r="AW1455" i="2"/>
  <c r="AU1455" i="2"/>
  <c r="AT1455" i="2"/>
  <c r="U1455" i="2"/>
  <c r="S1455" i="2"/>
  <c r="R1455" i="2"/>
  <c r="M1455" i="2"/>
  <c r="B1455" i="2"/>
  <c r="BV1454" i="2"/>
  <c r="BU1454" i="2"/>
  <c r="BS1454" i="2"/>
  <c r="BR1454" i="2"/>
  <c r="BP1454" i="2"/>
  <c r="BO1454" i="2"/>
  <c r="BM1454" i="2"/>
  <c r="BL1454" i="2"/>
  <c r="BJ1454" i="2"/>
  <c r="BI1454" i="2"/>
  <c r="BG1454" i="2"/>
  <c r="BF1454" i="2"/>
  <c r="BD1454" i="2"/>
  <c r="BC1454" i="2"/>
  <c r="BA1454" i="2"/>
  <c r="AZ1454" i="2"/>
  <c r="AX1454" i="2"/>
  <c r="AW1454" i="2"/>
  <c r="AU1454" i="2"/>
  <c r="AT1454" i="2"/>
  <c r="U1454" i="2"/>
  <c r="S1454" i="2"/>
  <c r="R1454" i="2"/>
  <c r="M1454" i="2"/>
  <c r="B1454" i="2"/>
  <c r="BV1453" i="2"/>
  <c r="BU1453" i="2"/>
  <c r="BS1453" i="2"/>
  <c r="BR1453" i="2"/>
  <c r="BP1453" i="2"/>
  <c r="BO1453" i="2"/>
  <c r="BM1453" i="2"/>
  <c r="BL1453" i="2"/>
  <c r="BJ1453" i="2"/>
  <c r="BI1453" i="2"/>
  <c r="BG1453" i="2"/>
  <c r="BF1453" i="2"/>
  <c r="BD1453" i="2"/>
  <c r="BC1453" i="2"/>
  <c r="BA1453" i="2"/>
  <c r="AZ1453" i="2"/>
  <c r="AX1453" i="2"/>
  <c r="AW1453" i="2"/>
  <c r="AU1453" i="2"/>
  <c r="AT1453" i="2"/>
  <c r="S1453" i="2"/>
  <c r="R1453" i="2"/>
  <c r="M1453" i="2"/>
  <c r="U1453" i="2" s="1"/>
  <c r="B1453" i="2"/>
  <c r="BV1452" i="2"/>
  <c r="BU1452" i="2"/>
  <c r="BS1452" i="2"/>
  <c r="BR1452" i="2"/>
  <c r="BP1452" i="2"/>
  <c r="BO1452" i="2"/>
  <c r="BM1452" i="2"/>
  <c r="BL1452" i="2"/>
  <c r="BJ1452" i="2"/>
  <c r="BI1452" i="2"/>
  <c r="BG1452" i="2"/>
  <c r="BF1452" i="2"/>
  <c r="BD1452" i="2"/>
  <c r="BC1452" i="2"/>
  <c r="BA1452" i="2"/>
  <c r="AZ1452" i="2"/>
  <c r="AX1452" i="2"/>
  <c r="AW1452" i="2"/>
  <c r="AU1452" i="2"/>
  <c r="AT1452" i="2"/>
  <c r="U1452" i="2"/>
  <c r="S1452" i="2"/>
  <c r="R1452" i="2"/>
  <c r="M1452" i="2"/>
  <c r="B1452" i="2"/>
  <c r="BV1451" i="2"/>
  <c r="BU1451" i="2"/>
  <c r="BS1451" i="2"/>
  <c r="BR1451" i="2"/>
  <c r="BP1451" i="2"/>
  <c r="BO1451" i="2"/>
  <c r="BM1451" i="2"/>
  <c r="BL1451" i="2"/>
  <c r="BJ1451" i="2"/>
  <c r="BI1451" i="2"/>
  <c r="BG1451" i="2"/>
  <c r="BF1451" i="2"/>
  <c r="BD1451" i="2"/>
  <c r="BC1451" i="2"/>
  <c r="BA1451" i="2"/>
  <c r="AZ1451" i="2"/>
  <c r="AX1451" i="2"/>
  <c r="AW1451" i="2"/>
  <c r="AU1451" i="2"/>
  <c r="AT1451" i="2"/>
  <c r="R1451" i="2"/>
  <c r="M1451" i="2"/>
  <c r="U1451" i="2" s="1"/>
  <c r="B1451" i="2"/>
  <c r="BV1450" i="2"/>
  <c r="BU1450" i="2"/>
  <c r="BS1450" i="2"/>
  <c r="BR1450" i="2"/>
  <c r="BP1450" i="2"/>
  <c r="BO1450" i="2"/>
  <c r="BM1450" i="2"/>
  <c r="BL1450" i="2"/>
  <c r="BJ1450" i="2"/>
  <c r="BI1450" i="2"/>
  <c r="BG1450" i="2"/>
  <c r="BF1450" i="2"/>
  <c r="BD1450" i="2"/>
  <c r="BC1450" i="2"/>
  <c r="BA1450" i="2"/>
  <c r="AZ1450" i="2"/>
  <c r="AX1450" i="2"/>
  <c r="AW1450" i="2"/>
  <c r="AU1450" i="2"/>
  <c r="AT1450" i="2"/>
  <c r="R1450" i="2"/>
  <c r="M1450" i="2"/>
  <c r="U1450" i="2" s="1"/>
  <c r="B1450" i="2"/>
  <c r="BV1449" i="2"/>
  <c r="BU1449" i="2"/>
  <c r="BS1449" i="2"/>
  <c r="BR1449" i="2"/>
  <c r="BP1449" i="2"/>
  <c r="BO1449" i="2"/>
  <c r="BM1449" i="2"/>
  <c r="BL1449" i="2"/>
  <c r="BJ1449" i="2"/>
  <c r="BI1449" i="2"/>
  <c r="BG1449" i="2"/>
  <c r="BF1449" i="2"/>
  <c r="BD1449" i="2"/>
  <c r="BC1449" i="2"/>
  <c r="BA1449" i="2"/>
  <c r="AZ1449" i="2"/>
  <c r="AX1449" i="2"/>
  <c r="AW1449" i="2"/>
  <c r="AU1449" i="2"/>
  <c r="AT1449" i="2"/>
  <c r="U1449" i="2"/>
  <c r="S1449" i="2"/>
  <c r="R1449" i="2"/>
  <c r="M1449" i="2"/>
  <c r="B1449" i="2"/>
  <c r="BV1448" i="2"/>
  <c r="BU1448" i="2"/>
  <c r="BS1448" i="2"/>
  <c r="BR1448" i="2"/>
  <c r="BP1448" i="2"/>
  <c r="BO1448" i="2"/>
  <c r="BM1448" i="2"/>
  <c r="BL1448" i="2"/>
  <c r="BJ1448" i="2"/>
  <c r="BI1448" i="2"/>
  <c r="BG1448" i="2"/>
  <c r="BF1448" i="2"/>
  <c r="BD1448" i="2"/>
  <c r="BC1448" i="2"/>
  <c r="BA1448" i="2"/>
  <c r="AZ1448" i="2"/>
  <c r="AX1448" i="2"/>
  <c r="AW1448" i="2"/>
  <c r="AU1448" i="2"/>
  <c r="AT1448" i="2"/>
  <c r="U1448" i="2"/>
  <c r="S1448" i="2"/>
  <c r="R1448" i="2"/>
  <c r="M1448" i="2"/>
  <c r="B1448" i="2"/>
  <c r="BV1447" i="2"/>
  <c r="BU1447" i="2"/>
  <c r="BS1447" i="2"/>
  <c r="BR1447" i="2"/>
  <c r="BP1447" i="2"/>
  <c r="BO1447" i="2"/>
  <c r="BM1447" i="2"/>
  <c r="BL1447" i="2"/>
  <c r="BJ1447" i="2"/>
  <c r="BI1447" i="2"/>
  <c r="BG1447" i="2"/>
  <c r="BF1447" i="2"/>
  <c r="BD1447" i="2"/>
  <c r="BC1447" i="2"/>
  <c r="BA1447" i="2"/>
  <c r="AZ1447" i="2"/>
  <c r="AX1447" i="2"/>
  <c r="AW1447" i="2"/>
  <c r="AU1447" i="2"/>
  <c r="AT1447" i="2"/>
  <c r="R1447" i="2"/>
  <c r="S1447" i="2" s="1"/>
  <c r="M1447" i="2"/>
  <c r="U1447" i="2" s="1"/>
  <c r="B1447" i="2"/>
  <c r="BV1446" i="2"/>
  <c r="BU1446" i="2"/>
  <c r="BS1446" i="2"/>
  <c r="BR1446" i="2"/>
  <c r="BP1446" i="2"/>
  <c r="BO1446" i="2"/>
  <c r="BM1446" i="2"/>
  <c r="BL1446" i="2"/>
  <c r="BJ1446" i="2"/>
  <c r="BI1446" i="2"/>
  <c r="BG1446" i="2"/>
  <c r="BF1446" i="2"/>
  <c r="BD1446" i="2"/>
  <c r="BC1446" i="2"/>
  <c r="BA1446" i="2"/>
  <c r="AZ1446" i="2"/>
  <c r="AX1446" i="2"/>
  <c r="AW1446" i="2"/>
  <c r="AU1446" i="2"/>
  <c r="AT1446" i="2"/>
  <c r="U1446" i="2"/>
  <c r="S1446" i="2"/>
  <c r="R1446" i="2"/>
  <c r="M1446" i="2"/>
  <c r="B1446" i="2"/>
  <c r="BV1445" i="2"/>
  <c r="BU1445" i="2"/>
  <c r="BS1445" i="2"/>
  <c r="BR1445" i="2"/>
  <c r="BP1445" i="2"/>
  <c r="BO1445" i="2"/>
  <c r="BM1445" i="2"/>
  <c r="BL1445" i="2"/>
  <c r="BJ1445" i="2"/>
  <c r="BI1445" i="2"/>
  <c r="BG1445" i="2"/>
  <c r="BF1445" i="2"/>
  <c r="BD1445" i="2"/>
  <c r="BC1445" i="2"/>
  <c r="BA1445" i="2"/>
  <c r="AZ1445" i="2"/>
  <c r="AX1445" i="2"/>
  <c r="AW1445" i="2"/>
  <c r="AU1445" i="2"/>
  <c r="AT1445" i="2"/>
  <c r="U1445" i="2"/>
  <c r="R1445" i="2"/>
  <c r="M1445" i="2"/>
  <c r="B1445" i="2"/>
  <c r="BV1444" i="2"/>
  <c r="BU1444" i="2"/>
  <c r="BS1444" i="2"/>
  <c r="BR1444" i="2"/>
  <c r="BP1444" i="2"/>
  <c r="BO1444" i="2"/>
  <c r="BM1444" i="2"/>
  <c r="BL1444" i="2"/>
  <c r="BJ1444" i="2"/>
  <c r="BI1444" i="2"/>
  <c r="BG1444" i="2"/>
  <c r="BF1444" i="2"/>
  <c r="BD1444" i="2"/>
  <c r="BC1444" i="2"/>
  <c r="BA1444" i="2"/>
  <c r="AZ1444" i="2"/>
  <c r="AX1444" i="2"/>
  <c r="AW1444" i="2"/>
  <c r="AU1444" i="2"/>
  <c r="AT1444" i="2"/>
  <c r="S1444" i="2"/>
  <c r="R1444" i="2"/>
  <c r="R1464" i="2" s="1"/>
  <c r="M1444" i="2"/>
  <c r="U1444" i="2" s="1"/>
  <c r="B1444" i="2"/>
  <c r="BV1443" i="2"/>
  <c r="BU1443" i="2"/>
  <c r="BS1443" i="2"/>
  <c r="BS1460" i="2" s="1"/>
  <c r="BR1443" i="2"/>
  <c r="BP1443" i="2"/>
  <c r="BO1443" i="2"/>
  <c r="BM1443" i="2"/>
  <c r="BL1443" i="2"/>
  <c r="BJ1443" i="2"/>
  <c r="BI1443" i="2"/>
  <c r="BG1443" i="2"/>
  <c r="BF1443" i="2"/>
  <c r="BD1443" i="2"/>
  <c r="BC1443" i="2"/>
  <c r="BA1443" i="2"/>
  <c r="BA1460" i="2" s="1"/>
  <c r="AZ1443" i="2"/>
  <c r="AX1443" i="2"/>
  <c r="AW1443" i="2"/>
  <c r="AU1443" i="2"/>
  <c r="AT1443" i="2"/>
  <c r="U1443" i="2"/>
  <c r="S1443" i="2"/>
  <c r="R1443" i="2"/>
  <c r="M1443" i="2"/>
  <c r="B1443" i="2"/>
  <c r="BV1442" i="2"/>
  <c r="BV1467" i="2" s="1"/>
  <c r="BV1466" i="2" s="1"/>
  <c r="BU1442" i="2"/>
  <c r="BS1442" i="2"/>
  <c r="BR1442" i="2"/>
  <c r="BP1442" i="2"/>
  <c r="BO1442" i="2"/>
  <c r="BM1442" i="2"/>
  <c r="BL1442" i="2"/>
  <c r="BJ1442" i="2"/>
  <c r="BI1442" i="2"/>
  <c r="BG1442" i="2"/>
  <c r="BF1442" i="2"/>
  <c r="BD1442" i="2"/>
  <c r="BC1442" i="2"/>
  <c r="BA1442" i="2"/>
  <c r="AZ1442" i="2"/>
  <c r="AX1442" i="2"/>
  <c r="AW1442" i="2"/>
  <c r="AU1442" i="2"/>
  <c r="AT1442" i="2"/>
  <c r="S1442" i="2"/>
  <c r="R1442" i="2"/>
  <c r="M1442" i="2"/>
  <c r="U1442" i="2" s="1"/>
  <c r="B1442" i="2"/>
  <c r="BV1441" i="2"/>
  <c r="BU1441" i="2"/>
  <c r="BS1441" i="2"/>
  <c r="BR1441" i="2"/>
  <c r="BP1441" i="2"/>
  <c r="BO1441" i="2"/>
  <c r="BM1441" i="2"/>
  <c r="BM1467" i="2" s="1"/>
  <c r="BM1466" i="2" s="1"/>
  <c r="BL1441" i="2"/>
  <c r="BJ1441" i="2"/>
  <c r="BI1441" i="2"/>
  <c r="BG1441" i="2"/>
  <c r="BF1441" i="2"/>
  <c r="BF1460" i="2" s="1"/>
  <c r="BD1441" i="2"/>
  <c r="BD1467" i="2" s="1"/>
  <c r="BD1466" i="2" s="1"/>
  <c r="BC1441" i="2"/>
  <c r="BA1441" i="2"/>
  <c r="AZ1441" i="2"/>
  <c r="AX1441" i="2"/>
  <c r="AW1441" i="2"/>
  <c r="AU1441" i="2"/>
  <c r="AU1467" i="2" s="1"/>
  <c r="AU1466" i="2" s="1"/>
  <c r="AT1441" i="2"/>
  <c r="R1441" i="2"/>
  <c r="R1465" i="2" s="1"/>
  <c r="M1441" i="2"/>
  <c r="U1441" i="2" s="1"/>
  <c r="B1441" i="2"/>
  <c r="BV1440" i="2"/>
  <c r="BU1440" i="2"/>
  <c r="BS1440" i="2"/>
  <c r="BR1440" i="2"/>
  <c r="BR1467" i="2" s="1"/>
  <c r="BR1466" i="2" s="1"/>
  <c r="BP1440" i="2"/>
  <c r="BP1467" i="2" s="1"/>
  <c r="BP1466" i="2" s="1"/>
  <c r="BO1440" i="2"/>
  <c r="BO1460" i="2" s="1"/>
  <c r="BM1440" i="2"/>
  <c r="BL1440" i="2"/>
  <c r="BJ1440" i="2"/>
  <c r="BI1440" i="2"/>
  <c r="BG1440" i="2"/>
  <c r="BG1460" i="2" s="1"/>
  <c r="BF1440" i="2"/>
  <c r="BD1440" i="2"/>
  <c r="BC1440" i="2"/>
  <c r="BA1440" i="2"/>
  <c r="AZ1440" i="2"/>
  <c r="AZ1467" i="2" s="1"/>
  <c r="AZ1466" i="2" s="1"/>
  <c r="AX1440" i="2"/>
  <c r="AX1467" i="2" s="1"/>
  <c r="AX1466" i="2" s="1"/>
  <c r="AW1440" i="2"/>
  <c r="AW1467" i="2" s="1"/>
  <c r="AW1466" i="2" s="1"/>
  <c r="AU1440" i="2"/>
  <c r="AT1440" i="2"/>
  <c r="U1440" i="2"/>
  <c r="AR1440" i="2" s="1"/>
  <c r="R1440" i="2"/>
  <c r="S1440" i="2" s="1"/>
  <c r="M1440" i="2"/>
  <c r="B1440" i="2"/>
  <c r="C1437" i="2"/>
  <c r="AQ1437" i="2" s="1"/>
  <c r="BV1424" i="2"/>
  <c r="BU1424" i="2"/>
  <c r="BS1424" i="2"/>
  <c r="BR1424" i="2"/>
  <c r="BP1424" i="2"/>
  <c r="BO1424" i="2"/>
  <c r="BM1424" i="2"/>
  <c r="BL1424" i="2"/>
  <c r="BJ1424" i="2"/>
  <c r="BI1424" i="2"/>
  <c r="BG1424" i="2"/>
  <c r="BF1424" i="2"/>
  <c r="BD1424" i="2"/>
  <c r="BC1424" i="2"/>
  <c r="BA1424" i="2"/>
  <c r="AZ1424" i="2"/>
  <c r="AX1424" i="2"/>
  <c r="AW1424" i="2"/>
  <c r="AU1424" i="2"/>
  <c r="AT1424" i="2"/>
  <c r="S1424" i="2"/>
  <c r="R1424" i="2"/>
  <c r="T1424" i="2" s="1"/>
  <c r="M1424" i="2"/>
  <c r="U1424" i="2" s="1"/>
  <c r="B1424" i="2"/>
  <c r="BV1423" i="2"/>
  <c r="BU1423" i="2"/>
  <c r="BS1423" i="2"/>
  <c r="BR1423" i="2"/>
  <c r="BP1423" i="2"/>
  <c r="BO1423" i="2"/>
  <c r="BM1423" i="2"/>
  <c r="BL1423" i="2"/>
  <c r="BJ1423" i="2"/>
  <c r="BI1423" i="2"/>
  <c r="BG1423" i="2"/>
  <c r="BF1423" i="2"/>
  <c r="BD1423" i="2"/>
  <c r="BC1423" i="2"/>
  <c r="BA1423" i="2"/>
  <c r="AZ1423" i="2"/>
  <c r="AX1423" i="2"/>
  <c r="AW1423" i="2"/>
  <c r="AU1423" i="2"/>
  <c r="AT1423" i="2"/>
  <c r="U1423" i="2"/>
  <c r="T1423" i="2"/>
  <c r="S1423" i="2"/>
  <c r="R1423" i="2"/>
  <c r="M1423" i="2"/>
  <c r="B1423" i="2"/>
  <c r="BV1422" i="2"/>
  <c r="BU1422" i="2"/>
  <c r="BS1422" i="2"/>
  <c r="BR1422" i="2"/>
  <c r="BP1422" i="2"/>
  <c r="BO1422" i="2"/>
  <c r="BM1422" i="2"/>
  <c r="BL1422" i="2"/>
  <c r="BJ1422" i="2"/>
  <c r="BI1422" i="2"/>
  <c r="BG1422" i="2"/>
  <c r="BF1422" i="2"/>
  <c r="BD1422" i="2"/>
  <c r="BC1422" i="2"/>
  <c r="BA1422" i="2"/>
  <c r="AZ1422" i="2"/>
  <c r="AX1422" i="2"/>
  <c r="AW1422" i="2"/>
  <c r="AU1422" i="2"/>
  <c r="AT1422" i="2"/>
  <c r="U1422" i="2"/>
  <c r="T1422" i="2"/>
  <c r="R1422" i="2"/>
  <c r="S1422" i="2" s="1"/>
  <c r="M1422" i="2"/>
  <c r="B1422" i="2"/>
  <c r="BV1421" i="2"/>
  <c r="BU1421" i="2"/>
  <c r="BS1421" i="2"/>
  <c r="BR1421" i="2"/>
  <c r="BP1421" i="2"/>
  <c r="BO1421" i="2"/>
  <c r="BM1421" i="2"/>
  <c r="BL1421" i="2"/>
  <c r="BJ1421" i="2"/>
  <c r="BI1421" i="2"/>
  <c r="BG1421" i="2"/>
  <c r="BF1421" i="2"/>
  <c r="BD1421" i="2"/>
  <c r="BC1421" i="2"/>
  <c r="BA1421" i="2"/>
  <c r="AZ1421" i="2"/>
  <c r="AX1421" i="2"/>
  <c r="AW1421" i="2"/>
  <c r="AU1421" i="2"/>
  <c r="AT1421" i="2"/>
  <c r="R1421" i="2"/>
  <c r="T1421" i="2" s="1"/>
  <c r="M1421" i="2"/>
  <c r="U1421" i="2" s="1"/>
  <c r="B1421" i="2"/>
  <c r="BV1420" i="2"/>
  <c r="BU1420" i="2"/>
  <c r="BS1420" i="2"/>
  <c r="BR1420" i="2"/>
  <c r="BP1420" i="2"/>
  <c r="BO1420" i="2"/>
  <c r="BM1420" i="2"/>
  <c r="BL1420" i="2"/>
  <c r="BJ1420" i="2"/>
  <c r="BI1420" i="2"/>
  <c r="BG1420" i="2"/>
  <c r="BF1420" i="2"/>
  <c r="BD1420" i="2"/>
  <c r="BC1420" i="2"/>
  <c r="BA1420" i="2"/>
  <c r="AZ1420" i="2"/>
  <c r="AX1420" i="2"/>
  <c r="AW1420" i="2"/>
  <c r="AU1420" i="2"/>
  <c r="AT1420" i="2"/>
  <c r="U1420" i="2"/>
  <c r="T1420" i="2"/>
  <c r="S1420" i="2"/>
  <c r="R1420" i="2"/>
  <c r="M1420" i="2"/>
  <c r="B1420" i="2"/>
  <c r="BV1419" i="2"/>
  <c r="BU1419" i="2"/>
  <c r="BS1419" i="2"/>
  <c r="BR1419" i="2"/>
  <c r="BP1419" i="2"/>
  <c r="BO1419" i="2"/>
  <c r="BM1419" i="2"/>
  <c r="BL1419" i="2"/>
  <c r="BJ1419" i="2"/>
  <c r="BI1419" i="2"/>
  <c r="BG1419" i="2"/>
  <c r="BF1419" i="2"/>
  <c r="BD1419" i="2"/>
  <c r="BC1419" i="2"/>
  <c r="BA1419" i="2"/>
  <c r="AZ1419" i="2"/>
  <c r="AX1419" i="2"/>
  <c r="AW1419" i="2"/>
  <c r="AU1419" i="2"/>
  <c r="AT1419" i="2"/>
  <c r="U1419" i="2"/>
  <c r="R1419" i="2"/>
  <c r="T1419" i="2" s="1"/>
  <c r="M1419" i="2"/>
  <c r="B1419" i="2"/>
  <c r="BV1418" i="2"/>
  <c r="BU1418" i="2"/>
  <c r="BS1418" i="2"/>
  <c r="BR1418" i="2"/>
  <c r="BP1418" i="2"/>
  <c r="BO1418" i="2"/>
  <c r="BM1418" i="2"/>
  <c r="BL1418" i="2"/>
  <c r="BJ1418" i="2"/>
  <c r="BI1418" i="2"/>
  <c r="BG1418" i="2"/>
  <c r="BF1418" i="2"/>
  <c r="BD1418" i="2"/>
  <c r="BC1418" i="2"/>
  <c r="BA1418" i="2"/>
  <c r="AZ1418" i="2"/>
  <c r="AX1418" i="2"/>
  <c r="AW1418" i="2"/>
  <c r="AU1418" i="2"/>
  <c r="AT1418" i="2"/>
  <c r="R1418" i="2"/>
  <c r="T1418" i="2" s="1"/>
  <c r="M1418" i="2"/>
  <c r="U1418" i="2" s="1"/>
  <c r="B1418" i="2"/>
  <c r="BV1417" i="2"/>
  <c r="BU1417" i="2"/>
  <c r="BS1417" i="2"/>
  <c r="BR1417" i="2"/>
  <c r="BP1417" i="2"/>
  <c r="BO1417" i="2"/>
  <c r="BM1417" i="2"/>
  <c r="BL1417" i="2"/>
  <c r="BJ1417" i="2"/>
  <c r="BI1417" i="2"/>
  <c r="BG1417" i="2"/>
  <c r="BF1417" i="2"/>
  <c r="BD1417" i="2"/>
  <c r="BC1417" i="2"/>
  <c r="BA1417" i="2"/>
  <c r="AZ1417" i="2"/>
  <c r="AX1417" i="2"/>
  <c r="AW1417" i="2"/>
  <c r="AU1417" i="2"/>
  <c r="AT1417" i="2"/>
  <c r="U1417" i="2"/>
  <c r="T1417" i="2"/>
  <c r="R1417" i="2"/>
  <c r="S1417" i="2" s="1"/>
  <c r="M1417" i="2"/>
  <c r="B1417" i="2"/>
  <c r="BV1416" i="2"/>
  <c r="BU1416" i="2"/>
  <c r="BS1416" i="2"/>
  <c r="BR1416" i="2"/>
  <c r="BP1416" i="2"/>
  <c r="BO1416" i="2"/>
  <c r="BM1416" i="2"/>
  <c r="BL1416" i="2"/>
  <c r="BJ1416" i="2"/>
  <c r="BI1416" i="2"/>
  <c r="BG1416" i="2"/>
  <c r="BF1416" i="2"/>
  <c r="BD1416" i="2"/>
  <c r="BC1416" i="2"/>
  <c r="BA1416" i="2"/>
  <c r="AZ1416" i="2"/>
  <c r="AX1416" i="2"/>
  <c r="AW1416" i="2"/>
  <c r="AU1416" i="2"/>
  <c r="AT1416" i="2"/>
  <c r="U1416" i="2"/>
  <c r="T1416" i="2"/>
  <c r="R1416" i="2"/>
  <c r="S1416" i="2" s="1"/>
  <c r="M1416" i="2"/>
  <c r="B1416" i="2"/>
  <c r="BV1415" i="2"/>
  <c r="BU1415" i="2"/>
  <c r="BS1415" i="2"/>
  <c r="BR1415" i="2"/>
  <c r="BP1415" i="2"/>
  <c r="BO1415" i="2"/>
  <c r="BM1415" i="2"/>
  <c r="BL1415" i="2"/>
  <c r="BJ1415" i="2"/>
  <c r="BI1415" i="2"/>
  <c r="BG1415" i="2"/>
  <c r="BF1415" i="2"/>
  <c r="BD1415" i="2"/>
  <c r="BC1415" i="2"/>
  <c r="BA1415" i="2"/>
  <c r="AZ1415" i="2"/>
  <c r="AU1415" i="2"/>
  <c r="AT1415" i="2"/>
  <c r="R1415" i="2"/>
  <c r="AW1415" i="2" s="1"/>
  <c r="M1415" i="2"/>
  <c r="U1415" i="2" s="1"/>
  <c r="L1415" i="2"/>
  <c r="J1415" i="2"/>
  <c r="B1415" i="2"/>
  <c r="BV1414" i="2"/>
  <c r="BU1414" i="2"/>
  <c r="BS1414" i="2"/>
  <c r="BR1414" i="2"/>
  <c r="BP1414" i="2"/>
  <c r="BO1414" i="2"/>
  <c r="BM1414" i="2"/>
  <c r="BL1414" i="2"/>
  <c r="BJ1414" i="2"/>
  <c r="BI1414" i="2"/>
  <c r="BG1414" i="2"/>
  <c r="BF1414" i="2"/>
  <c r="BD1414" i="2"/>
  <c r="BC1414" i="2"/>
  <c r="BA1414" i="2"/>
  <c r="AZ1414" i="2"/>
  <c r="AU1414" i="2"/>
  <c r="AT1414" i="2"/>
  <c r="U1414" i="2"/>
  <c r="M1414" i="2"/>
  <c r="L1414" i="2"/>
  <c r="R1414" i="2" s="1"/>
  <c r="J1414" i="2"/>
  <c r="B1414" i="2"/>
  <c r="BV1413" i="2"/>
  <c r="BU1413" i="2"/>
  <c r="BS1413" i="2"/>
  <c r="BR1413" i="2"/>
  <c r="BP1413" i="2"/>
  <c r="BO1413" i="2"/>
  <c r="BM1413" i="2"/>
  <c r="BL1413" i="2"/>
  <c r="BG1413" i="2"/>
  <c r="BF1413" i="2"/>
  <c r="BD1413" i="2"/>
  <c r="BC1413" i="2"/>
  <c r="BA1413" i="2"/>
  <c r="AZ1413" i="2"/>
  <c r="AX1413" i="2"/>
  <c r="AW1413" i="2"/>
  <c r="AU1413" i="2"/>
  <c r="AT1413" i="2"/>
  <c r="U1413" i="2"/>
  <c r="M1413" i="2"/>
  <c r="B1413" i="2"/>
  <c r="BV1412" i="2"/>
  <c r="BU1412" i="2"/>
  <c r="BS1412" i="2"/>
  <c r="BR1412" i="2"/>
  <c r="BP1412" i="2"/>
  <c r="BO1412" i="2"/>
  <c r="BM1412" i="2"/>
  <c r="BL1412" i="2"/>
  <c r="BG1412" i="2"/>
  <c r="BF1412" i="2"/>
  <c r="BD1412" i="2"/>
  <c r="BC1412" i="2"/>
  <c r="BA1412" i="2"/>
  <c r="AZ1412" i="2"/>
  <c r="AX1412" i="2"/>
  <c r="AW1412" i="2"/>
  <c r="AU1412" i="2"/>
  <c r="AT1412" i="2"/>
  <c r="M1412" i="2"/>
  <c r="U1412" i="2" s="1"/>
  <c r="B1412" i="2"/>
  <c r="BV1411" i="2"/>
  <c r="BU1411" i="2"/>
  <c r="BS1411" i="2"/>
  <c r="BR1411" i="2"/>
  <c r="BP1411" i="2"/>
  <c r="BO1411" i="2"/>
  <c r="BM1411" i="2"/>
  <c r="BL1411" i="2"/>
  <c r="BG1411" i="2"/>
  <c r="BF1411" i="2"/>
  <c r="BD1411" i="2"/>
  <c r="BC1411" i="2"/>
  <c r="BA1411" i="2"/>
  <c r="AZ1411" i="2"/>
  <c r="AX1411" i="2"/>
  <c r="AW1411" i="2"/>
  <c r="AU1411" i="2"/>
  <c r="AT1411" i="2"/>
  <c r="U1411" i="2"/>
  <c r="M1411" i="2"/>
  <c r="B1411" i="2"/>
  <c r="BV1410" i="2"/>
  <c r="BU1410" i="2"/>
  <c r="BS1410" i="2"/>
  <c r="BR1410" i="2"/>
  <c r="BP1410" i="2"/>
  <c r="BO1410" i="2"/>
  <c r="BM1410" i="2"/>
  <c r="BL1410" i="2"/>
  <c r="BG1410" i="2"/>
  <c r="BF1410" i="2"/>
  <c r="BD1410" i="2"/>
  <c r="BC1410" i="2"/>
  <c r="BA1410" i="2"/>
  <c r="AZ1410" i="2"/>
  <c r="AX1410" i="2"/>
  <c r="AW1410" i="2"/>
  <c r="AU1410" i="2"/>
  <c r="AT1410" i="2"/>
  <c r="M1410" i="2"/>
  <c r="U1410" i="2" s="1"/>
  <c r="B1410" i="2"/>
  <c r="BV1409" i="2"/>
  <c r="BU1409" i="2"/>
  <c r="BS1409" i="2"/>
  <c r="BR1409" i="2"/>
  <c r="BP1409" i="2"/>
  <c r="BO1409" i="2"/>
  <c r="BM1409" i="2"/>
  <c r="BL1409" i="2"/>
  <c r="BG1409" i="2"/>
  <c r="BF1409" i="2"/>
  <c r="BD1409" i="2"/>
  <c r="BC1409" i="2"/>
  <c r="BA1409" i="2"/>
  <c r="AZ1409" i="2"/>
  <c r="AX1409" i="2"/>
  <c r="AW1409" i="2"/>
  <c r="AU1409" i="2"/>
  <c r="AT1409" i="2"/>
  <c r="U1409" i="2"/>
  <c r="M1409" i="2"/>
  <c r="B1409" i="2"/>
  <c r="BV1408" i="2"/>
  <c r="BU1408" i="2"/>
  <c r="BS1408" i="2"/>
  <c r="BR1408" i="2"/>
  <c r="BP1408" i="2"/>
  <c r="BO1408" i="2"/>
  <c r="BM1408" i="2"/>
  <c r="BL1408" i="2"/>
  <c r="BG1408" i="2"/>
  <c r="BF1408" i="2"/>
  <c r="BD1408" i="2"/>
  <c r="BC1408" i="2"/>
  <c r="BA1408" i="2"/>
  <c r="AZ1408" i="2"/>
  <c r="AX1408" i="2"/>
  <c r="AW1408" i="2"/>
  <c r="AU1408" i="2"/>
  <c r="AT1408" i="2"/>
  <c r="M1408" i="2"/>
  <c r="U1408" i="2" s="1"/>
  <c r="B1408" i="2"/>
  <c r="BV1407" i="2"/>
  <c r="BU1407" i="2"/>
  <c r="BS1407" i="2"/>
  <c r="BR1407" i="2"/>
  <c r="BP1407" i="2"/>
  <c r="BO1407" i="2"/>
  <c r="BM1407" i="2"/>
  <c r="BL1407" i="2"/>
  <c r="BG1407" i="2"/>
  <c r="BF1407" i="2"/>
  <c r="BD1407" i="2"/>
  <c r="BC1407" i="2"/>
  <c r="BA1407" i="2"/>
  <c r="AZ1407" i="2"/>
  <c r="AX1407" i="2"/>
  <c r="AW1407" i="2"/>
  <c r="AU1407" i="2"/>
  <c r="AT1407" i="2"/>
  <c r="U1407" i="2"/>
  <c r="M1407" i="2"/>
  <c r="B1407" i="2"/>
  <c r="BV1406" i="2"/>
  <c r="BU1406" i="2"/>
  <c r="BS1406" i="2"/>
  <c r="BR1406" i="2"/>
  <c r="BP1406" i="2"/>
  <c r="BO1406" i="2"/>
  <c r="BM1406" i="2"/>
  <c r="BL1406" i="2"/>
  <c r="BG1406" i="2"/>
  <c r="BF1406" i="2"/>
  <c r="BD1406" i="2"/>
  <c r="BC1406" i="2"/>
  <c r="BA1406" i="2"/>
  <c r="AZ1406" i="2"/>
  <c r="AX1406" i="2"/>
  <c r="AW1406" i="2"/>
  <c r="AU1406" i="2"/>
  <c r="AT1406" i="2"/>
  <c r="M1406" i="2"/>
  <c r="U1406" i="2" s="1"/>
  <c r="B1406" i="2"/>
  <c r="BV1405" i="2"/>
  <c r="BU1405" i="2"/>
  <c r="BS1405" i="2"/>
  <c r="BR1405" i="2"/>
  <c r="BP1405" i="2"/>
  <c r="BO1405" i="2"/>
  <c r="BM1405" i="2"/>
  <c r="BL1405" i="2"/>
  <c r="BG1405" i="2"/>
  <c r="BF1405" i="2"/>
  <c r="BD1405" i="2"/>
  <c r="BC1405" i="2"/>
  <c r="BA1405" i="2"/>
  <c r="AZ1405" i="2"/>
  <c r="AX1405" i="2"/>
  <c r="AW1405" i="2"/>
  <c r="AU1405" i="2"/>
  <c r="AT1405" i="2"/>
  <c r="U1405" i="2"/>
  <c r="M1405" i="2"/>
  <c r="B1405" i="2"/>
  <c r="BV1404" i="2"/>
  <c r="BU1404" i="2"/>
  <c r="BS1404" i="2"/>
  <c r="BR1404" i="2"/>
  <c r="BP1404" i="2"/>
  <c r="BO1404" i="2"/>
  <c r="BM1404" i="2"/>
  <c r="BL1404" i="2"/>
  <c r="BG1404" i="2"/>
  <c r="BF1404" i="2"/>
  <c r="BD1404" i="2"/>
  <c r="BC1404" i="2"/>
  <c r="BA1404" i="2"/>
  <c r="AZ1404" i="2"/>
  <c r="AX1404" i="2"/>
  <c r="AW1404" i="2"/>
  <c r="AU1404" i="2"/>
  <c r="AT1404" i="2"/>
  <c r="M1404" i="2"/>
  <c r="U1404" i="2" s="1"/>
  <c r="B1404" i="2"/>
  <c r="BV1403" i="2"/>
  <c r="BU1403" i="2"/>
  <c r="BS1403" i="2"/>
  <c r="BR1403" i="2"/>
  <c r="BP1403" i="2"/>
  <c r="BO1403" i="2"/>
  <c r="BM1403" i="2"/>
  <c r="BL1403" i="2"/>
  <c r="BG1403" i="2"/>
  <c r="BF1403" i="2"/>
  <c r="BD1403" i="2"/>
  <c r="BC1403" i="2"/>
  <c r="BA1403" i="2"/>
  <c r="AZ1403" i="2"/>
  <c r="AX1403" i="2"/>
  <c r="AW1403" i="2"/>
  <c r="AU1403" i="2"/>
  <c r="AT1403" i="2"/>
  <c r="U1403" i="2"/>
  <c r="M1403" i="2"/>
  <c r="B1403" i="2"/>
  <c r="BV1402" i="2"/>
  <c r="BU1402" i="2"/>
  <c r="BS1402" i="2"/>
  <c r="BR1402" i="2"/>
  <c r="BP1402" i="2"/>
  <c r="BO1402" i="2"/>
  <c r="BM1402" i="2"/>
  <c r="BL1402" i="2"/>
  <c r="BG1402" i="2"/>
  <c r="BF1402" i="2"/>
  <c r="BD1402" i="2"/>
  <c r="BC1402" i="2"/>
  <c r="BA1402" i="2"/>
  <c r="AZ1402" i="2"/>
  <c r="AX1402" i="2"/>
  <c r="AW1402" i="2"/>
  <c r="AU1402" i="2"/>
  <c r="AT1402" i="2"/>
  <c r="M1402" i="2"/>
  <c r="U1402" i="2" s="1"/>
  <c r="B1402" i="2"/>
  <c r="BV1401" i="2"/>
  <c r="BU1401" i="2"/>
  <c r="BS1401" i="2"/>
  <c r="BR1401" i="2"/>
  <c r="BP1401" i="2"/>
  <c r="BO1401" i="2"/>
  <c r="BM1401" i="2"/>
  <c r="BL1401" i="2"/>
  <c r="BG1401" i="2"/>
  <c r="BF1401" i="2"/>
  <c r="BD1401" i="2"/>
  <c r="BC1401" i="2"/>
  <c r="BA1401" i="2"/>
  <c r="AZ1401" i="2"/>
  <c r="AX1401" i="2"/>
  <c r="AW1401" i="2"/>
  <c r="AU1401" i="2"/>
  <c r="AT1401" i="2"/>
  <c r="U1401" i="2"/>
  <c r="M1401" i="2"/>
  <c r="B1401" i="2"/>
  <c r="BV1400" i="2"/>
  <c r="BU1400" i="2"/>
  <c r="BS1400" i="2"/>
  <c r="BR1400" i="2"/>
  <c r="BP1400" i="2"/>
  <c r="BO1400" i="2"/>
  <c r="BM1400" i="2"/>
  <c r="BL1400" i="2"/>
  <c r="BG1400" i="2"/>
  <c r="BF1400" i="2"/>
  <c r="BD1400" i="2"/>
  <c r="BC1400" i="2"/>
  <c r="BA1400" i="2"/>
  <c r="AZ1400" i="2"/>
  <c r="AX1400" i="2"/>
  <c r="AW1400" i="2"/>
  <c r="AU1400" i="2"/>
  <c r="AT1400" i="2"/>
  <c r="M1400" i="2"/>
  <c r="U1400" i="2" s="1"/>
  <c r="B1400" i="2"/>
  <c r="BV1399" i="2"/>
  <c r="BU1399" i="2"/>
  <c r="BS1399" i="2"/>
  <c r="BR1399" i="2"/>
  <c r="BP1399" i="2"/>
  <c r="BO1399" i="2"/>
  <c r="BM1399" i="2"/>
  <c r="BL1399" i="2"/>
  <c r="BG1399" i="2"/>
  <c r="BF1399" i="2"/>
  <c r="BD1399" i="2"/>
  <c r="BC1399" i="2"/>
  <c r="BA1399" i="2"/>
  <c r="AZ1399" i="2"/>
  <c r="AX1399" i="2"/>
  <c r="AW1399" i="2"/>
  <c r="AU1399" i="2"/>
  <c r="AT1399" i="2"/>
  <c r="U1399" i="2"/>
  <c r="M1399" i="2"/>
  <c r="B1399" i="2"/>
  <c r="BV1398" i="2"/>
  <c r="BU1398" i="2"/>
  <c r="BS1398" i="2"/>
  <c r="BR1398" i="2"/>
  <c r="BP1398" i="2"/>
  <c r="BO1398" i="2"/>
  <c r="BM1398" i="2"/>
  <c r="BL1398" i="2"/>
  <c r="BG1398" i="2"/>
  <c r="BF1398" i="2"/>
  <c r="BD1398" i="2"/>
  <c r="BC1398" i="2"/>
  <c r="BA1398" i="2"/>
  <c r="AZ1398" i="2"/>
  <c r="AX1398" i="2"/>
  <c r="AW1398" i="2"/>
  <c r="AU1398" i="2"/>
  <c r="AT1398" i="2"/>
  <c r="M1398" i="2"/>
  <c r="U1398" i="2" s="1"/>
  <c r="B1398" i="2"/>
  <c r="BV1397" i="2"/>
  <c r="BU1397" i="2"/>
  <c r="BS1397" i="2"/>
  <c r="BR1397" i="2"/>
  <c r="BP1397" i="2"/>
  <c r="BO1397" i="2"/>
  <c r="BM1397" i="2"/>
  <c r="BL1397" i="2"/>
  <c r="BG1397" i="2"/>
  <c r="BF1397" i="2"/>
  <c r="BD1397" i="2"/>
  <c r="BC1397" i="2"/>
  <c r="BA1397" i="2"/>
  <c r="AZ1397" i="2"/>
  <c r="AX1397" i="2"/>
  <c r="AW1397" i="2"/>
  <c r="AU1397" i="2"/>
  <c r="AT1397" i="2"/>
  <c r="U1397" i="2"/>
  <c r="M1397" i="2"/>
  <c r="B1397" i="2"/>
  <c r="BV1396" i="2"/>
  <c r="BU1396" i="2"/>
  <c r="BS1396" i="2"/>
  <c r="BR1396" i="2"/>
  <c r="BP1396" i="2"/>
  <c r="BO1396" i="2"/>
  <c r="BM1396" i="2"/>
  <c r="BL1396" i="2"/>
  <c r="BG1396" i="2"/>
  <c r="BF1396" i="2"/>
  <c r="BD1396" i="2"/>
  <c r="BC1396" i="2"/>
  <c r="BA1396" i="2"/>
  <c r="AZ1396" i="2"/>
  <c r="AX1396" i="2"/>
  <c r="AW1396" i="2"/>
  <c r="AU1396" i="2"/>
  <c r="AT1396" i="2"/>
  <c r="M1396" i="2"/>
  <c r="U1396" i="2" s="1"/>
  <c r="B1396" i="2"/>
  <c r="BV1395" i="2"/>
  <c r="BU1395" i="2"/>
  <c r="BS1395" i="2"/>
  <c r="BR1395" i="2"/>
  <c r="BP1395" i="2"/>
  <c r="BO1395" i="2"/>
  <c r="BM1395" i="2"/>
  <c r="BL1395" i="2"/>
  <c r="BG1395" i="2"/>
  <c r="BF1395" i="2"/>
  <c r="BD1395" i="2"/>
  <c r="BC1395" i="2"/>
  <c r="BA1395" i="2"/>
  <c r="AZ1395" i="2"/>
  <c r="AX1395" i="2"/>
  <c r="AW1395" i="2"/>
  <c r="AU1395" i="2"/>
  <c r="AT1395" i="2"/>
  <c r="U1395" i="2"/>
  <c r="M1395" i="2"/>
  <c r="B1395" i="2"/>
  <c r="BV1394" i="2"/>
  <c r="BU1394" i="2"/>
  <c r="BS1394" i="2"/>
  <c r="BR1394" i="2"/>
  <c r="BP1394" i="2"/>
  <c r="BO1394" i="2"/>
  <c r="BM1394" i="2"/>
  <c r="BL1394" i="2"/>
  <c r="BG1394" i="2"/>
  <c r="BF1394" i="2"/>
  <c r="BD1394" i="2"/>
  <c r="BC1394" i="2"/>
  <c r="BA1394" i="2"/>
  <c r="AZ1394" i="2"/>
  <c r="AX1394" i="2"/>
  <c r="AW1394" i="2"/>
  <c r="AU1394" i="2"/>
  <c r="AT1394" i="2"/>
  <c r="M1394" i="2"/>
  <c r="U1394" i="2" s="1"/>
  <c r="B1394" i="2"/>
  <c r="BV1393" i="2"/>
  <c r="BU1393" i="2"/>
  <c r="BS1393" i="2"/>
  <c r="BR1393" i="2"/>
  <c r="BP1393" i="2"/>
  <c r="BO1393" i="2"/>
  <c r="BM1393" i="2"/>
  <c r="BL1393" i="2"/>
  <c r="BG1393" i="2"/>
  <c r="BF1393" i="2"/>
  <c r="BD1393" i="2"/>
  <c r="BC1393" i="2"/>
  <c r="BA1393" i="2"/>
  <c r="AZ1393" i="2"/>
  <c r="AX1393" i="2"/>
  <c r="AW1393" i="2"/>
  <c r="AU1393" i="2"/>
  <c r="AT1393" i="2"/>
  <c r="U1393" i="2"/>
  <c r="M1393" i="2"/>
  <c r="B1393" i="2"/>
  <c r="BV1392" i="2"/>
  <c r="BU1392" i="2"/>
  <c r="BS1392" i="2"/>
  <c r="BR1392" i="2"/>
  <c r="BP1392" i="2"/>
  <c r="BO1392" i="2"/>
  <c r="BM1392" i="2"/>
  <c r="BL1392" i="2"/>
  <c r="BG1392" i="2"/>
  <c r="BF1392" i="2"/>
  <c r="BD1392" i="2"/>
  <c r="BC1392" i="2"/>
  <c r="BA1392" i="2"/>
  <c r="AZ1392" i="2"/>
  <c r="AX1392" i="2"/>
  <c r="AW1392" i="2"/>
  <c r="AU1392" i="2"/>
  <c r="AT1392" i="2"/>
  <c r="M1392" i="2"/>
  <c r="U1392" i="2" s="1"/>
  <c r="B1392" i="2"/>
  <c r="BV1391" i="2"/>
  <c r="BU1391" i="2"/>
  <c r="BS1391" i="2"/>
  <c r="BR1391" i="2"/>
  <c r="BP1391" i="2"/>
  <c r="BO1391" i="2"/>
  <c r="BM1391" i="2"/>
  <c r="BL1391" i="2"/>
  <c r="BG1391" i="2"/>
  <c r="BF1391" i="2"/>
  <c r="BD1391" i="2"/>
  <c r="BC1391" i="2"/>
  <c r="BA1391" i="2"/>
  <c r="AZ1391" i="2"/>
  <c r="AX1391" i="2"/>
  <c r="AW1391" i="2"/>
  <c r="AU1391" i="2"/>
  <c r="AT1391" i="2"/>
  <c r="U1391" i="2"/>
  <c r="M1391" i="2"/>
  <c r="B1391" i="2"/>
  <c r="BV1390" i="2"/>
  <c r="BU1390" i="2"/>
  <c r="BS1390" i="2"/>
  <c r="BR1390" i="2"/>
  <c r="BP1390" i="2"/>
  <c r="BO1390" i="2"/>
  <c r="BM1390" i="2"/>
  <c r="BL1390" i="2"/>
  <c r="BG1390" i="2"/>
  <c r="BF1390" i="2"/>
  <c r="BD1390" i="2"/>
  <c r="BC1390" i="2"/>
  <c r="BA1390" i="2"/>
  <c r="AZ1390" i="2"/>
  <c r="AX1390" i="2"/>
  <c r="AW1390" i="2"/>
  <c r="AU1390" i="2"/>
  <c r="AT1390" i="2"/>
  <c r="M1390" i="2"/>
  <c r="U1390" i="2" s="1"/>
  <c r="B1390" i="2"/>
  <c r="BV1389" i="2"/>
  <c r="BU1389" i="2"/>
  <c r="BS1389" i="2"/>
  <c r="BR1389" i="2"/>
  <c r="BP1389" i="2"/>
  <c r="BO1389" i="2"/>
  <c r="BM1389" i="2"/>
  <c r="BL1389" i="2"/>
  <c r="BG1389" i="2"/>
  <c r="BF1389" i="2"/>
  <c r="BD1389" i="2"/>
  <c r="BC1389" i="2"/>
  <c r="BA1389" i="2"/>
  <c r="AZ1389" i="2"/>
  <c r="AX1389" i="2"/>
  <c r="AW1389" i="2"/>
  <c r="AU1389" i="2"/>
  <c r="AT1389" i="2"/>
  <c r="U1389" i="2"/>
  <c r="M1389" i="2"/>
  <c r="B1389" i="2"/>
  <c r="BV1388" i="2"/>
  <c r="BU1388" i="2"/>
  <c r="BS1388" i="2"/>
  <c r="BR1388" i="2"/>
  <c r="BP1388" i="2"/>
  <c r="BO1388" i="2"/>
  <c r="BM1388" i="2"/>
  <c r="BL1388" i="2"/>
  <c r="BG1388" i="2"/>
  <c r="BF1388" i="2"/>
  <c r="BD1388" i="2"/>
  <c r="BC1388" i="2"/>
  <c r="BA1388" i="2"/>
  <c r="AZ1388" i="2"/>
  <c r="AX1388" i="2"/>
  <c r="AW1388" i="2"/>
  <c r="AU1388" i="2"/>
  <c r="AT1388" i="2"/>
  <c r="M1388" i="2"/>
  <c r="U1388" i="2" s="1"/>
  <c r="B1388" i="2"/>
  <c r="BV1387" i="2"/>
  <c r="BU1387" i="2"/>
  <c r="BS1387" i="2"/>
  <c r="BR1387" i="2"/>
  <c r="BP1387" i="2"/>
  <c r="BO1387" i="2"/>
  <c r="BM1387" i="2"/>
  <c r="BL1387" i="2"/>
  <c r="BG1387" i="2"/>
  <c r="BF1387" i="2"/>
  <c r="BD1387" i="2"/>
  <c r="BC1387" i="2"/>
  <c r="BA1387" i="2"/>
  <c r="AZ1387" i="2"/>
  <c r="AX1387" i="2"/>
  <c r="AW1387" i="2"/>
  <c r="AU1387" i="2"/>
  <c r="AT1387" i="2"/>
  <c r="U1387" i="2"/>
  <c r="M1387" i="2"/>
  <c r="B1387" i="2"/>
  <c r="BV1386" i="2"/>
  <c r="BU1386" i="2"/>
  <c r="BS1386" i="2"/>
  <c r="BR1386" i="2"/>
  <c r="BP1386" i="2"/>
  <c r="BO1386" i="2"/>
  <c r="BM1386" i="2"/>
  <c r="BL1386" i="2"/>
  <c r="BG1386" i="2"/>
  <c r="BF1386" i="2"/>
  <c r="BD1386" i="2"/>
  <c r="BC1386" i="2"/>
  <c r="BA1386" i="2"/>
  <c r="AZ1386" i="2"/>
  <c r="AX1386" i="2"/>
  <c r="AW1386" i="2"/>
  <c r="AU1386" i="2"/>
  <c r="AT1386" i="2"/>
  <c r="M1386" i="2"/>
  <c r="U1386" i="2" s="1"/>
  <c r="B1386" i="2"/>
  <c r="BV1385" i="2"/>
  <c r="BU1385" i="2"/>
  <c r="BS1385" i="2"/>
  <c r="BR1385" i="2"/>
  <c r="BP1385" i="2"/>
  <c r="BO1385" i="2"/>
  <c r="BM1385" i="2"/>
  <c r="BL1385" i="2"/>
  <c r="BJ1385" i="2"/>
  <c r="BI1385" i="2"/>
  <c r="BD1385" i="2"/>
  <c r="BC1385" i="2"/>
  <c r="BA1385" i="2"/>
  <c r="AZ1385" i="2"/>
  <c r="AX1385" i="2"/>
  <c r="AW1385" i="2"/>
  <c r="AU1385" i="2"/>
  <c r="AT1385" i="2"/>
  <c r="U1385" i="2"/>
  <c r="M1385" i="2"/>
  <c r="B1385" i="2"/>
  <c r="BV1384" i="2"/>
  <c r="BU1384" i="2"/>
  <c r="BS1384" i="2"/>
  <c r="BR1384" i="2"/>
  <c r="BP1384" i="2"/>
  <c r="BO1384" i="2"/>
  <c r="BM1384" i="2"/>
  <c r="BL1384" i="2"/>
  <c r="BJ1384" i="2"/>
  <c r="BI1384" i="2"/>
  <c r="BD1384" i="2"/>
  <c r="BC1384" i="2"/>
  <c r="BA1384" i="2"/>
  <c r="AZ1384" i="2"/>
  <c r="AX1384" i="2"/>
  <c r="AW1384" i="2"/>
  <c r="AU1384" i="2"/>
  <c r="AT1384" i="2"/>
  <c r="M1384" i="2"/>
  <c r="U1384" i="2" s="1"/>
  <c r="B1384" i="2"/>
  <c r="BV1383" i="2"/>
  <c r="BU1383" i="2"/>
  <c r="BS1383" i="2"/>
  <c r="BR1383" i="2"/>
  <c r="BP1383" i="2"/>
  <c r="BO1383" i="2"/>
  <c r="BM1383" i="2"/>
  <c r="BL1383" i="2"/>
  <c r="BJ1383" i="2"/>
  <c r="BI1383" i="2"/>
  <c r="BD1383" i="2"/>
  <c r="BC1383" i="2"/>
  <c r="BA1383" i="2"/>
  <c r="AZ1383" i="2"/>
  <c r="AX1383" i="2"/>
  <c r="AW1383" i="2"/>
  <c r="AU1383" i="2"/>
  <c r="AT1383" i="2"/>
  <c r="U1383" i="2"/>
  <c r="M1383" i="2"/>
  <c r="B1383" i="2"/>
  <c r="BV1382" i="2"/>
  <c r="BU1382" i="2"/>
  <c r="BS1382" i="2"/>
  <c r="BR1382" i="2"/>
  <c r="BP1382" i="2"/>
  <c r="BO1382" i="2"/>
  <c r="BM1382" i="2"/>
  <c r="BL1382" i="2"/>
  <c r="BJ1382" i="2"/>
  <c r="BI1382" i="2"/>
  <c r="BD1382" i="2"/>
  <c r="BC1382" i="2"/>
  <c r="BA1382" i="2"/>
  <c r="AZ1382" i="2"/>
  <c r="AX1382" i="2"/>
  <c r="AW1382" i="2"/>
  <c r="AU1382" i="2"/>
  <c r="AT1382" i="2"/>
  <c r="M1382" i="2"/>
  <c r="U1382" i="2" s="1"/>
  <c r="B1382" i="2"/>
  <c r="BV1381" i="2"/>
  <c r="BU1381" i="2"/>
  <c r="BS1381" i="2"/>
  <c r="BR1381" i="2"/>
  <c r="BP1381" i="2"/>
  <c r="BO1381" i="2"/>
  <c r="BM1381" i="2"/>
  <c r="BL1381" i="2"/>
  <c r="BJ1381" i="2"/>
  <c r="BI1381" i="2"/>
  <c r="BD1381" i="2"/>
  <c r="BC1381" i="2"/>
  <c r="BA1381" i="2"/>
  <c r="AZ1381" i="2"/>
  <c r="AX1381" i="2"/>
  <c r="AW1381" i="2"/>
  <c r="AU1381" i="2"/>
  <c r="AT1381" i="2"/>
  <c r="U1381" i="2"/>
  <c r="M1381" i="2"/>
  <c r="B1381" i="2"/>
  <c r="BV1380" i="2"/>
  <c r="BU1380" i="2"/>
  <c r="BS1380" i="2"/>
  <c r="BR1380" i="2"/>
  <c r="BP1380" i="2"/>
  <c r="BO1380" i="2"/>
  <c r="BM1380" i="2"/>
  <c r="BL1380" i="2"/>
  <c r="BJ1380" i="2"/>
  <c r="BI1380" i="2"/>
  <c r="BD1380" i="2"/>
  <c r="BC1380" i="2"/>
  <c r="BA1380" i="2"/>
  <c r="AZ1380" i="2"/>
  <c r="AX1380" i="2"/>
  <c r="AW1380" i="2"/>
  <c r="AU1380" i="2"/>
  <c r="AT1380" i="2"/>
  <c r="M1380" i="2"/>
  <c r="U1380" i="2" s="1"/>
  <c r="B1380" i="2"/>
  <c r="BV1379" i="2"/>
  <c r="BU1379" i="2"/>
  <c r="BS1379" i="2"/>
  <c r="BR1379" i="2"/>
  <c r="BP1379" i="2"/>
  <c r="BO1379" i="2"/>
  <c r="BM1379" i="2"/>
  <c r="BL1379" i="2"/>
  <c r="BJ1379" i="2"/>
  <c r="BI1379" i="2"/>
  <c r="BD1379" i="2"/>
  <c r="BC1379" i="2"/>
  <c r="BA1379" i="2"/>
  <c r="AZ1379" i="2"/>
  <c r="AX1379" i="2"/>
  <c r="AW1379" i="2"/>
  <c r="AU1379" i="2"/>
  <c r="AT1379" i="2"/>
  <c r="U1379" i="2"/>
  <c r="M1379" i="2"/>
  <c r="B1379" i="2"/>
  <c r="BV1378" i="2"/>
  <c r="BU1378" i="2"/>
  <c r="BS1378" i="2"/>
  <c r="BR1378" i="2"/>
  <c r="BP1378" i="2"/>
  <c r="BO1378" i="2"/>
  <c r="BM1378" i="2"/>
  <c r="BL1378" i="2"/>
  <c r="BJ1378" i="2"/>
  <c r="BI1378" i="2"/>
  <c r="BD1378" i="2"/>
  <c r="BC1378" i="2"/>
  <c r="BA1378" i="2"/>
  <c r="AZ1378" i="2"/>
  <c r="AX1378" i="2"/>
  <c r="AW1378" i="2"/>
  <c r="AU1378" i="2"/>
  <c r="AT1378" i="2"/>
  <c r="M1378" i="2"/>
  <c r="U1378" i="2" s="1"/>
  <c r="B1378" i="2"/>
  <c r="BV1377" i="2"/>
  <c r="BU1377" i="2"/>
  <c r="BS1377" i="2"/>
  <c r="BR1377" i="2"/>
  <c r="BP1377" i="2"/>
  <c r="BO1377" i="2"/>
  <c r="BM1377" i="2"/>
  <c r="BL1377" i="2"/>
  <c r="BJ1377" i="2"/>
  <c r="BI1377" i="2"/>
  <c r="BD1377" i="2"/>
  <c r="BC1377" i="2"/>
  <c r="BA1377" i="2"/>
  <c r="AZ1377" i="2"/>
  <c r="AX1377" i="2"/>
  <c r="AW1377" i="2"/>
  <c r="AU1377" i="2"/>
  <c r="AT1377" i="2"/>
  <c r="U1377" i="2"/>
  <c r="M1377" i="2"/>
  <c r="B1377" i="2"/>
  <c r="BV1376" i="2"/>
  <c r="BU1376" i="2"/>
  <c r="BS1376" i="2"/>
  <c r="BR1376" i="2"/>
  <c r="BP1376" i="2"/>
  <c r="BO1376" i="2"/>
  <c r="BM1376" i="2"/>
  <c r="BL1376" i="2"/>
  <c r="BJ1376" i="2"/>
  <c r="BI1376" i="2"/>
  <c r="BD1376" i="2"/>
  <c r="BC1376" i="2"/>
  <c r="BA1376" i="2"/>
  <c r="AZ1376" i="2"/>
  <c r="AX1376" i="2"/>
  <c r="AW1376" i="2"/>
  <c r="AU1376" i="2"/>
  <c r="AT1376" i="2"/>
  <c r="M1376" i="2"/>
  <c r="U1376" i="2" s="1"/>
  <c r="B1376" i="2"/>
  <c r="BV1375" i="2"/>
  <c r="BU1375" i="2"/>
  <c r="BS1375" i="2"/>
  <c r="BR1375" i="2"/>
  <c r="BP1375" i="2"/>
  <c r="BO1375" i="2"/>
  <c r="BM1375" i="2"/>
  <c r="BL1375" i="2"/>
  <c r="BJ1375" i="2"/>
  <c r="BI1375" i="2"/>
  <c r="BD1375" i="2"/>
  <c r="BC1375" i="2"/>
  <c r="BA1375" i="2"/>
  <c r="AZ1375" i="2"/>
  <c r="AX1375" i="2"/>
  <c r="AW1375" i="2"/>
  <c r="AU1375" i="2"/>
  <c r="AT1375" i="2"/>
  <c r="U1375" i="2"/>
  <c r="M1375" i="2"/>
  <c r="B1375" i="2"/>
  <c r="BV1374" i="2"/>
  <c r="BU1374" i="2"/>
  <c r="BS1374" i="2"/>
  <c r="BR1374" i="2"/>
  <c r="BP1374" i="2"/>
  <c r="BO1374" i="2"/>
  <c r="BM1374" i="2"/>
  <c r="BL1374" i="2"/>
  <c r="BJ1374" i="2"/>
  <c r="BI1374" i="2"/>
  <c r="BD1374" i="2"/>
  <c r="BC1374" i="2"/>
  <c r="BA1374" i="2"/>
  <c r="AZ1374" i="2"/>
  <c r="AX1374" i="2"/>
  <c r="AW1374" i="2"/>
  <c r="AU1374" i="2"/>
  <c r="AT1374" i="2"/>
  <c r="M1374" i="2"/>
  <c r="U1374" i="2" s="1"/>
  <c r="B1374" i="2"/>
  <c r="BV1373" i="2"/>
  <c r="BU1373" i="2"/>
  <c r="BS1373" i="2"/>
  <c r="BR1373" i="2"/>
  <c r="BP1373" i="2"/>
  <c r="BO1373" i="2"/>
  <c r="BM1373" i="2"/>
  <c r="BL1373" i="2"/>
  <c r="BJ1373" i="2"/>
  <c r="BI1373" i="2"/>
  <c r="BD1373" i="2"/>
  <c r="BC1373" i="2"/>
  <c r="BA1373" i="2"/>
  <c r="AZ1373" i="2"/>
  <c r="AX1373" i="2"/>
  <c r="AW1373" i="2"/>
  <c r="AU1373" i="2"/>
  <c r="AT1373" i="2"/>
  <c r="U1373" i="2"/>
  <c r="M1373" i="2"/>
  <c r="B1373" i="2"/>
  <c r="BV1372" i="2"/>
  <c r="BU1372" i="2"/>
  <c r="BS1372" i="2"/>
  <c r="BR1372" i="2"/>
  <c r="BP1372" i="2"/>
  <c r="BO1372" i="2"/>
  <c r="BM1372" i="2"/>
  <c r="BL1372" i="2"/>
  <c r="BJ1372" i="2"/>
  <c r="BI1372" i="2"/>
  <c r="BD1372" i="2"/>
  <c r="BC1372" i="2"/>
  <c r="BA1372" i="2"/>
  <c r="AZ1372" i="2"/>
  <c r="AX1372" i="2"/>
  <c r="AW1372" i="2"/>
  <c r="AU1372" i="2"/>
  <c r="AT1372" i="2"/>
  <c r="M1372" i="2"/>
  <c r="U1372" i="2" s="1"/>
  <c r="B1372" i="2"/>
  <c r="BV1371" i="2"/>
  <c r="BU1371" i="2"/>
  <c r="BS1371" i="2"/>
  <c r="BR1371" i="2"/>
  <c r="BP1371" i="2"/>
  <c r="BO1371" i="2"/>
  <c r="BM1371" i="2"/>
  <c r="BL1371" i="2"/>
  <c r="BJ1371" i="2"/>
  <c r="BI1371" i="2"/>
  <c r="BD1371" i="2"/>
  <c r="BC1371" i="2"/>
  <c r="BA1371" i="2"/>
  <c r="AZ1371" i="2"/>
  <c r="AX1371" i="2"/>
  <c r="AW1371" i="2"/>
  <c r="AU1371" i="2"/>
  <c r="AT1371" i="2"/>
  <c r="U1371" i="2"/>
  <c r="M1371" i="2"/>
  <c r="B1371" i="2"/>
  <c r="BV1370" i="2"/>
  <c r="BU1370" i="2"/>
  <c r="BS1370" i="2"/>
  <c r="BR1370" i="2"/>
  <c r="BP1370" i="2"/>
  <c r="BO1370" i="2"/>
  <c r="BM1370" i="2"/>
  <c r="BL1370" i="2"/>
  <c r="BJ1370" i="2"/>
  <c r="BI1370" i="2"/>
  <c r="BD1370" i="2"/>
  <c r="BC1370" i="2"/>
  <c r="BA1370" i="2"/>
  <c r="AZ1370" i="2"/>
  <c r="AX1370" i="2"/>
  <c r="AW1370" i="2"/>
  <c r="AU1370" i="2"/>
  <c r="AT1370" i="2"/>
  <c r="M1370" i="2"/>
  <c r="U1370" i="2" s="1"/>
  <c r="B1370" i="2"/>
  <c r="BV1369" i="2"/>
  <c r="BU1369" i="2"/>
  <c r="BS1369" i="2"/>
  <c r="BR1369" i="2"/>
  <c r="BP1369" i="2"/>
  <c r="BO1369" i="2"/>
  <c r="BM1369" i="2"/>
  <c r="BL1369" i="2"/>
  <c r="BJ1369" i="2"/>
  <c r="BI1369" i="2"/>
  <c r="BD1369" i="2"/>
  <c r="BC1369" i="2"/>
  <c r="BA1369" i="2"/>
  <c r="AZ1369" i="2"/>
  <c r="AX1369" i="2"/>
  <c r="AW1369" i="2"/>
  <c r="AU1369" i="2"/>
  <c r="AT1369" i="2"/>
  <c r="U1369" i="2"/>
  <c r="M1369" i="2"/>
  <c r="B1369" i="2"/>
  <c r="BV1368" i="2"/>
  <c r="BU1368" i="2"/>
  <c r="BS1368" i="2"/>
  <c r="BR1368" i="2"/>
  <c r="BP1368" i="2"/>
  <c r="BO1368" i="2"/>
  <c r="BM1368" i="2"/>
  <c r="BL1368" i="2"/>
  <c r="BJ1368" i="2"/>
  <c r="BI1368" i="2"/>
  <c r="BD1368" i="2"/>
  <c r="BC1368" i="2"/>
  <c r="BA1368" i="2"/>
  <c r="AZ1368" i="2"/>
  <c r="AX1368" i="2"/>
  <c r="AW1368" i="2"/>
  <c r="AU1368" i="2"/>
  <c r="AT1368" i="2"/>
  <c r="M1368" i="2"/>
  <c r="U1368" i="2" s="1"/>
  <c r="B1368" i="2"/>
  <c r="BV1367" i="2"/>
  <c r="BU1367" i="2"/>
  <c r="BS1367" i="2"/>
  <c r="BR1367" i="2"/>
  <c r="BP1367" i="2"/>
  <c r="BO1367" i="2"/>
  <c r="BM1367" i="2"/>
  <c r="BL1367" i="2"/>
  <c r="BJ1367" i="2"/>
  <c r="BI1367" i="2"/>
  <c r="BD1367" i="2"/>
  <c r="BC1367" i="2"/>
  <c r="BA1367" i="2"/>
  <c r="AZ1367" i="2"/>
  <c r="AX1367" i="2"/>
  <c r="AW1367" i="2"/>
  <c r="AU1367" i="2"/>
  <c r="AT1367" i="2"/>
  <c r="U1367" i="2"/>
  <c r="M1367" i="2"/>
  <c r="B1367" i="2"/>
  <c r="BV1366" i="2"/>
  <c r="BU1366" i="2"/>
  <c r="BS1366" i="2"/>
  <c r="BR1366" i="2"/>
  <c r="BP1366" i="2"/>
  <c r="BO1366" i="2"/>
  <c r="BM1366" i="2"/>
  <c r="BL1366" i="2"/>
  <c r="BJ1366" i="2"/>
  <c r="BI1366" i="2"/>
  <c r="BD1366" i="2"/>
  <c r="BC1366" i="2"/>
  <c r="BA1366" i="2"/>
  <c r="AZ1366" i="2"/>
  <c r="AX1366" i="2"/>
  <c r="AW1366" i="2"/>
  <c r="AU1366" i="2"/>
  <c r="AT1366" i="2"/>
  <c r="M1366" i="2"/>
  <c r="U1366" i="2" s="1"/>
  <c r="B1366" i="2"/>
  <c r="BV1365" i="2"/>
  <c r="BU1365" i="2"/>
  <c r="BS1365" i="2"/>
  <c r="BR1365" i="2"/>
  <c r="BP1365" i="2"/>
  <c r="BO1365" i="2"/>
  <c r="BM1365" i="2"/>
  <c r="BL1365" i="2"/>
  <c r="BJ1365" i="2"/>
  <c r="BI1365" i="2"/>
  <c r="BD1365" i="2"/>
  <c r="BC1365" i="2"/>
  <c r="BA1365" i="2"/>
  <c r="AZ1365" i="2"/>
  <c r="AX1365" i="2"/>
  <c r="AW1365" i="2"/>
  <c r="AU1365" i="2"/>
  <c r="AT1365" i="2"/>
  <c r="U1365" i="2"/>
  <c r="M1365" i="2"/>
  <c r="B1365" i="2"/>
  <c r="BV1364" i="2"/>
  <c r="BU1364" i="2"/>
  <c r="BS1364" i="2"/>
  <c r="BR1364" i="2"/>
  <c r="BP1364" i="2"/>
  <c r="BO1364" i="2"/>
  <c r="BM1364" i="2"/>
  <c r="BL1364" i="2"/>
  <c r="BJ1364" i="2"/>
  <c r="BI1364" i="2"/>
  <c r="BD1364" i="2"/>
  <c r="BC1364" i="2"/>
  <c r="BA1364" i="2"/>
  <c r="AZ1364" i="2"/>
  <c r="AX1364" i="2"/>
  <c r="AW1364" i="2"/>
  <c r="AU1364" i="2"/>
  <c r="AT1364" i="2"/>
  <c r="M1364" i="2"/>
  <c r="U1364" i="2" s="1"/>
  <c r="B1364" i="2"/>
  <c r="BV1363" i="2"/>
  <c r="BU1363" i="2"/>
  <c r="BS1363" i="2"/>
  <c r="BR1363" i="2"/>
  <c r="BP1363" i="2"/>
  <c r="BO1363" i="2"/>
  <c r="BM1363" i="2"/>
  <c r="BL1363" i="2"/>
  <c r="BJ1363" i="2"/>
  <c r="BI1363" i="2"/>
  <c r="BD1363" i="2"/>
  <c r="BC1363" i="2"/>
  <c r="BA1363" i="2"/>
  <c r="AZ1363" i="2"/>
  <c r="AX1363" i="2"/>
  <c r="AW1363" i="2"/>
  <c r="AU1363" i="2"/>
  <c r="AT1363" i="2"/>
  <c r="U1363" i="2"/>
  <c r="M1363" i="2"/>
  <c r="B1363" i="2"/>
  <c r="BV1362" i="2"/>
  <c r="BU1362" i="2"/>
  <c r="BS1362" i="2"/>
  <c r="BR1362" i="2"/>
  <c r="BP1362" i="2"/>
  <c r="BO1362" i="2"/>
  <c r="BM1362" i="2"/>
  <c r="BL1362" i="2"/>
  <c r="BJ1362" i="2"/>
  <c r="BI1362" i="2"/>
  <c r="BD1362" i="2"/>
  <c r="BC1362" i="2"/>
  <c r="BA1362" i="2"/>
  <c r="AZ1362" i="2"/>
  <c r="AX1362" i="2"/>
  <c r="AW1362" i="2"/>
  <c r="AU1362" i="2"/>
  <c r="AT1362" i="2"/>
  <c r="M1362" i="2"/>
  <c r="U1362" i="2" s="1"/>
  <c r="B1362" i="2"/>
  <c r="BV1361" i="2"/>
  <c r="BU1361" i="2"/>
  <c r="BS1361" i="2"/>
  <c r="BR1361" i="2"/>
  <c r="BP1361" i="2"/>
  <c r="BO1361" i="2"/>
  <c r="BM1361" i="2"/>
  <c r="BL1361" i="2"/>
  <c r="BJ1361" i="2"/>
  <c r="BI1361" i="2"/>
  <c r="BD1361" i="2"/>
  <c r="BC1361" i="2"/>
  <c r="BA1361" i="2"/>
  <c r="AZ1361" i="2"/>
  <c r="AX1361" i="2"/>
  <c r="AW1361" i="2"/>
  <c r="AU1361" i="2"/>
  <c r="AT1361" i="2"/>
  <c r="U1361" i="2"/>
  <c r="M1361" i="2"/>
  <c r="B1361" i="2"/>
  <c r="BV1360" i="2"/>
  <c r="BU1360" i="2"/>
  <c r="BS1360" i="2"/>
  <c r="BR1360" i="2"/>
  <c r="BP1360" i="2"/>
  <c r="BO1360" i="2"/>
  <c r="BM1360" i="2"/>
  <c r="BL1360" i="2"/>
  <c r="BJ1360" i="2"/>
  <c r="BI1360" i="2"/>
  <c r="BD1360" i="2"/>
  <c r="BC1360" i="2"/>
  <c r="BA1360" i="2"/>
  <c r="AZ1360" i="2"/>
  <c r="AX1360" i="2"/>
  <c r="AW1360" i="2"/>
  <c r="AU1360" i="2"/>
  <c r="AT1360" i="2"/>
  <c r="M1360" i="2"/>
  <c r="U1360" i="2" s="1"/>
  <c r="B1360" i="2"/>
  <c r="BV1359" i="2"/>
  <c r="BU1359" i="2"/>
  <c r="BS1359" i="2"/>
  <c r="BR1359" i="2"/>
  <c r="BP1359" i="2"/>
  <c r="BO1359" i="2"/>
  <c r="BM1359" i="2"/>
  <c r="BL1359" i="2"/>
  <c r="BJ1359" i="2"/>
  <c r="BI1359" i="2"/>
  <c r="BD1359" i="2"/>
  <c r="BC1359" i="2"/>
  <c r="BA1359" i="2"/>
  <c r="AZ1359" i="2"/>
  <c r="AX1359" i="2"/>
  <c r="AW1359" i="2"/>
  <c r="AU1359" i="2"/>
  <c r="AT1359" i="2"/>
  <c r="U1359" i="2"/>
  <c r="M1359" i="2"/>
  <c r="B1359" i="2"/>
  <c r="BV1358" i="2"/>
  <c r="BU1358" i="2"/>
  <c r="BS1358" i="2"/>
  <c r="BR1358" i="2"/>
  <c r="BP1358" i="2"/>
  <c r="BO1358" i="2"/>
  <c r="BM1358" i="2"/>
  <c r="BL1358" i="2"/>
  <c r="BJ1358" i="2"/>
  <c r="BI1358" i="2"/>
  <c r="BD1358" i="2"/>
  <c r="BC1358" i="2"/>
  <c r="BA1358" i="2"/>
  <c r="AZ1358" i="2"/>
  <c r="AX1358" i="2"/>
  <c r="AW1358" i="2"/>
  <c r="AU1358" i="2"/>
  <c r="AT1358" i="2"/>
  <c r="M1358" i="2"/>
  <c r="U1358" i="2" s="1"/>
  <c r="B1358" i="2"/>
  <c r="BV1357" i="2"/>
  <c r="BU1357" i="2"/>
  <c r="BS1357" i="2"/>
  <c r="BR1357" i="2"/>
  <c r="BP1357" i="2"/>
  <c r="BO1357" i="2"/>
  <c r="BM1357" i="2"/>
  <c r="BL1357" i="2"/>
  <c r="BJ1357" i="2"/>
  <c r="BI1357" i="2"/>
  <c r="BD1357" i="2"/>
  <c r="BC1357" i="2"/>
  <c r="BA1357" i="2"/>
  <c r="AZ1357" i="2"/>
  <c r="AX1357" i="2"/>
  <c r="AW1357" i="2"/>
  <c r="AU1357" i="2"/>
  <c r="AT1357" i="2"/>
  <c r="U1357" i="2"/>
  <c r="M1357" i="2"/>
  <c r="B1357" i="2"/>
  <c r="BV1356" i="2"/>
  <c r="BU1356" i="2"/>
  <c r="BS1356" i="2"/>
  <c r="BR1356" i="2"/>
  <c r="BP1356" i="2"/>
  <c r="BO1356" i="2"/>
  <c r="BM1356" i="2"/>
  <c r="BL1356" i="2"/>
  <c r="BJ1356" i="2"/>
  <c r="BI1356" i="2"/>
  <c r="BD1356" i="2"/>
  <c r="BC1356" i="2"/>
  <c r="BA1356" i="2"/>
  <c r="AZ1356" i="2"/>
  <c r="AX1356" i="2"/>
  <c r="AW1356" i="2"/>
  <c r="AU1356" i="2"/>
  <c r="AT1356" i="2"/>
  <c r="M1356" i="2"/>
  <c r="U1356" i="2" s="1"/>
  <c r="B1356" i="2"/>
  <c r="BV1355" i="2"/>
  <c r="BU1355" i="2"/>
  <c r="BS1355" i="2"/>
  <c r="BR1355" i="2"/>
  <c r="BP1355" i="2"/>
  <c r="BO1355" i="2"/>
  <c r="BM1355" i="2"/>
  <c r="BL1355" i="2"/>
  <c r="BJ1355" i="2"/>
  <c r="BI1355" i="2"/>
  <c r="BD1355" i="2"/>
  <c r="BC1355" i="2"/>
  <c r="BA1355" i="2"/>
  <c r="AZ1355" i="2"/>
  <c r="AX1355" i="2"/>
  <c r="AW1355" i="2"/>
  <c r="AU1355" i="2"/>
  <c r="AT1355" i="2"/>
  <c r="U1355" i="2"/>
  <c r="M1355" i="2"/>
  <c r="B1355" i="2"/>
  <c r="BV1354" i="2"/>
  <c r="BU1354" i="2"/>
  <c r="BS1354" i="2"/>
  <c r="BR1354" i="2"/>
  <c r="BP1354" i="2"/>
  <c r="BO1354" i="2"/>
  <c r="BM1354" i="2"/>
  <c r="BL1354" i="2"/>
  <c r="BJ1354" i="2"/>
  <c r="BI1354" i="2"/>
  <c r="BD1354" i="2"/>
  <c r="BC1354" i="2"/>
  <c r="BA1354" i="2"/>
  <c r="AZ1354" i="2"/>
  <c r="AX1354" i="2"/>
  <c r="AW1354" i="2"/>
  <c r="AU1354" i="2"/>
  <c r="AT1354" i="2"/>
  <c r="M1354" i="2"/>
  <c r="U1354" i="2" s="1"/>
  <c r="B1354" i="2"/>
  <c r="BV1353" i="2"/>
  <c r="BU1353" i="2"/>
  <c r="BS1353" i="2"/>
  <c r="BR1353" i="2"/>
  <c r="BP1353" i="2"/>
  <c r="BO1353" i="2"/>
  <c r="BM1353" i="2"/>
  <c r="BL1353" i="2"/>
  <c r="BJ1353" i="2"/>
  <c r="BI1353" i="2"/>
  <c r="BD1353" i="2"/>
  <c r="BC1353" i="2"/>
  <c r="BA1353" i="2"/>
  <c r="AZ1353" i="2"/>
  <c r="AX1353" i="2"/>
  <c r="AW1353" i="2"/>
  <c r="AU1353" i="2"/>
  <c r="AT1353" i="2"/>
  <c r="U1353" i="2"/>
  <c r="M1353" i="2"/>
  <c r="B1353" i="2"/>
  <c r="BV1352" i="2"/>
  <c r="BU1352" i="2"/>
  <c r="BS1352" i="2"/>
  <c r="BR1352" i="2"/>
  <c r="BP1352" i="2"/>
  <c r="BO1352" i="2"/>
  <c r="BM1352" i="2"/>
  <c r="BL1352" i="2"/>
  <c r="BJ1352" i="2"/>
  <c r="BI1352" i="2"/>
  <c r="BD1352" i="2"/>
  <c r="BC1352" i="2"/>
  <c r="BA1352" i="2"/>
  <c r="AZ1352" i="2"/>
  <c r="AX1352" i="2"/>
  <c r="AW1352" i="2"/>
  <c r="AU1352" i="2"/>
  <c r="AT1352" i="2"/>
  <c r="M1352" i="2"/>
  <c r="U1352" i="2" s="1"/>
  <c r="B1352" i="2"/>
  <c r="BV1351" i="2"/>
  <c r="BU1351" i="2"/>
  <c r="BS1351" i="2"/>
  <c r="BR1351" i="2"/>
  <c r="BP1351" i="2"/>
  <c r="BO1351" i="2"/>
  <c r="BM1351" i="2"/>
  <c r="BL1351" i="2"/>
  <c r="BJ1351" i="2"/>
  <c r="BI1351" i="2"/>
  <c r="BD1351" i="2"/>
  <c r="BC1351" i="2"/>
  <c r="BA1351" i="2"/>
  <c r="AZ1351" i="2"/>
  <c r="AX1351" i="2"/>
  <c r="AW1351" i="2"/>
  <c r="AU1351" i="2"/>
  <c r="AT1351" i="2"/>
  <c r="U1351" i="2"/>
  <c r="M1351" i="2"/>
  <c r="B1351" i="2"/>
  <c r="BV1350" i="2"/>
  <c r="BU1350" i="2"/>
  <c r="BS1350" i="2"/>
  <c r="BR1350" i="2"/>
  <c r="BP1350" i="2"/>
  <c r="BO1350" i="2"/>
  <c r="BM1350" i="2"/>
  <c r="BL1350" i="2"/>
  <c r="BJ1350" i="2"/>
  <c r="BI1350" i="2"/>
  <c r="BD1350" i="2"/>
  <c r="BC1350" i="2"/>
  <c r="BA1350" i="2"/>
  <c r="AZ1350" i="2"/>
  <c r="AX1350" i="2"/>
  <c r="AW1350" i="2"/>
  <c r="AU1350" i="2"/>
  <c r="AT1350" i="2"/>
  <c r="M1350" i="2"/>
  <c r="U1350" i="2" s="1"/>
  <c r="B1350" i="2"/>
  <c r="BV1349" i="2"/>
  <c r="BU1349" i="2"/>
  <c r="BS1349" i="2"/>
  <c r="BR1349" i="2"/>
  <c r="BP1349" i="2"/>
  <c r="BO1349" i="2"/>
  <c r="BM1349" i="2"/>
  <c r="BL1349" i="2"/>
  <c r="BJ1349" i="2"/>
  <c r="BI1349" i="2"/>
  <c r="BD1349" i="2"/>
  <c r="BC1349" i="2"/>
  <c r="BA1349" i="2"/>
  <c r="AZ1349" i="2"/>
  <c r="AX1349" i="2"/>
  <c r="AW1349" i="2"/>
  <c r="AU1349" i="2"/>
  <c r="AT1349" i="2"/>
  <c r="U1349" i="2"/>
  <c r="M1349" i="2"/>
  <c r="B1349" i="2"/>
  <c r="BV1348" i="2"/>
  <c r="BU1348" i="2"/>
  <c r="BS1348" i="2"/>
  <c r="BR1348" i="2"/>
  <c r="BP1348" i="2"/>
  <c r="BO1348" i="2"/>
  <c r="BM1348" i="2"/>
  <c r="BL1348" i="2"/>
  <c r="BJ1348" i="2"/>
  <c r="BI1348" i="2"/>
  <c r="BD1348" i="2"/>
  <c r="BC1348" i="2"/>
  <c r="BA1348" i="2"/>
  <c r="AZ1348" i="2"/>
  <c r="AX1348" i="2"/>
  <c r="AW1348" i="2"/>
  <c r="AU1348" i="2"/>
  <c r="AT1348" i="2"/>
  <c r="M1348" i="2"/>
  <c r="U1348" i="2" s="1"/>
  <c r="B1348" i="2"/>
  <c r="BV1347" i="2"/>
  <c r="BU1347" i="2"/>
  <c r="BS1347" i="2"/>
  <c r="BR1347" i="2"/>
  <c r="BP1347" i="2"/>
  <c r="BO1347" i="2"/>
  <c r="BM1347" i="2"/>
  <c r="BL1347" i="2"/>
  <c r="BJ1347" i="2"/>
  <c r="BI1347" i="2"/>
  <c r="BD1347" i="2"/>
  <c r="BC1347" i="2"/>
  <c r="BA1347" i="2"/>
  <c r="AZ1347" i="2"/>
  <c r="AX1347" i="2"/>
  <c r="AW1347" i="2"/>
  <c r="AU1347" i="2"/>
  <c r="AT1347" i="2"/>
  <c r="U1347" i="2"/>
  <c r="M1347" i="2"/>
  <c r="B1347" i="2"/>
  <c r="BV1346" i="2"/>
  <c r="BU1346" i="2"/>
  <c r="BS1346" i="2"/>
  <c r="BR1346" i="2"/>
  <c r="BP1346" i="2"/>
  <c r="BO1346" i="2"/>
  <c r="BM1346" i="2"/>
  <c r="BL1346" i="2"/>
  <c r="BJ1346" i="2"/>
  <c r="BI1346" i="2"/>
  <c r="BD1346" i="2"/>
  <c r="BC1346" i="2"/>
  <c r="BA1346" i="2"/>
  <c r="AZ1346" i="2"/>
  <c r="AX1346" i="2"/>
  <c r="AW1346" i="2"/>
  <c r="AU1346" i="2"/>
  <c r="AT1346" i="2"/>
  <c r="M1346" i="2"/>
  <c r="U1346" i="2" s="1"/>
  <c r="B1346" i="2"/>
  <c r="BV1345" i="2"/>
  <c r="BU1345" i="2"/>
  <c r="BS1345" i="2"/>
  <c r="BR1345" i="2"/>
  <c r="BP1345" i="2"/>
  <c r="BO1345" i="2"/>
  <c r="BM1345" i="2"/>
  <c r="BL1345" i="2"/>
  <c r="BJ1345" i="2"/>
  <c r="BI1345" i="2"/>
  <c r="BD1345" i="2"/>
  <c r="BC1345" i="2"/>
  <c r="BA1345" i="2"/>
  <c r="AZ1345" i="2"/>
  <c r="AX1345" i="2"/>
  <c r="AW1345" i="2"/>
  <c r="AU1345" i="2"/>
  <c r="AT1345" i="2"/>
  <c r="U1345" i="2"/>
  <c r="M1345" i="2"/>
  <c r="B1345" i="2"/>
  <c r="BV1344" i="2"/>
  <c r="BU1344" i="2"/>
  <c r="BS1344" i="2"/>
  <c r="BR1344" i="2"/>
  <c r="BP1344" i="2"/>
  <c r="BO1344" i="2"/>
  <c r="BM1344" i="2"/>
  <c r="BL1344" i="2"/>
  <c r="BJ1344" i="2"/>
  <c r="BI1344" i="2"/>
  <c r="BD1344" i="2"/>
  <c r="BC1344" i="2"/>
  <c r="BA1344" i="2"/>
  <c r="AZ1344" i="2"/>
  <c r="AX1344" i="2"/>
  <c r="AW1344" i="2"/>
  <c r="AU1344" i="2"/>
  <c r="AT1344" i="2"/>
  <c r="M1344" i="2"/>
  <c r="U1344" i="2" s="1"/>
  <c r="B1344" i="2"/>
  <c r="BV1343" i="2"/>
  <c r="BU1343" i="2"/>
  <c r="BS1343" i="2"/>
  <c r="BR1343" i="2"/>
  <c r="BP1343" i="2"/>
  <c r="BO1343" i="2"/>
  <c r="BM1343" i="2"/>
  <c r="BL1343" i="2"/>
  <c r="BJ1343" i="2"/>
  <c r="BI1343" i="2"/>
  <c r="BD1343" i="2"/>
  <c r="BC1343" i="2"/>
  <c r="BA1343" i="2"/>
  <c r="AZ1343" i="2"/>
  <c r="AX1343" i="2"/>
  <c r="AW1343" i="2"/>
  <c r="AU1343" i="2"/>
  <c r="AT1343" i="2"/>
  <c r="U1343" i="2"/>
  <c r="M1343" i="2"/>
  <c r="B1343" i="2"/>
  <c r="BV1342" i="2"/>
  <c r="BU1342" i="2"/>
  <c r="BS1342" i="2"/>
  <c r="BR1342" i="2"/>
  <c r="BP1342" i="2"/>
  <c r="BO1342" i="2"/>
  <c r="BM1342" i="2"/>
  <c r="BL1342" i="2"/>
  <c r="BJ1342" i="2"/>
  <c r="BI1342" i="2"/>
  <c r="BD1342" i="2"/>
  <c r="BC1342" i="2"/>
  <c r="BA1342" i="2"/>
  <c r="AZ1342" i="2"/>
  <c r="AX1342" i="2"/>
  <c r="AW1342" i="2"/>
  <c r="AU1342" i="2"/>
  <c r="AT1342" i="2"/>
  <c r="M1342" i="2"/>
  <c r="U1342" i="2" s="1"/>
  <c r="B1342" i="2"/>
  <c r="BV1341" i="2"/>
  <c r="BU1341" i="2"/>
  <c r="BS1341" i="2"/>
  <c r="BR1341" i="2"/>
  <c r="BP1341" i="2"/>
  <c r="BO1341" i="2"/>
  <c r="BM1341" i="2"/>
  <c r="BL1341" i="2"/>
  <c r="BJ1341" i="2"/>
  <c r="BI1341" i="2"/>
  <c r="BD1341" i="2"/>
  <c r="BC1341" i="2"/>
  <c r="BA1341" i="2"/>
  <c r="AZ1341" i="2"/>
  <c r="AX1341" i="2"/>
  <c r="AW1341" i="2"/>
  <c r="AU1341" i="2"/>
  <c r="AT1341" i="2"/>
  <c r="U1341" i="2"/>
  <c r="M1341" i="2"/>
  <c r="B1341" i="2"/>
  <c r="BV1340" i="2"/>
  <c r="BU1340" i="2"/>
  <c r="BS1340" i="2"/>
  <c r="BR1340" i="2"/>
  <c r="BP1340" i="2"/>
  <c r="BO1340" i="2"/>
  <c r="BM1340" i="2"/>
  <c r="BL1340" i="2"/>
  <c r="BJ1340" i="2"/>
  <c r="BI1340" i="2"/>
  <c r="BD1340" i="2"/>
  <c r="BC1340" i="2"/>
  <c r="BA1340" i="2"/>
  <c r="AZ1340" i="2"/>
  <c r="AX1340" i="2"/>
  <c r="AW1340" i="2"/>
  <c r="AU1340" i="2"/>
  <c r="AT1340" i="2"/>
  <c r="M1340" i="2"/>
  <c r="U1340" i="2" s="1"/>
  <c r="B1340" i="2"/>
  <c r="BV1339" i="2"/>
  <c r="BU1339" i="2"/>
  <c r="BS1339" i="2"/>
  <c r="BR1339" i="2"/>
  <c r="BP1339" i="2"/>
  <c r="BO1339" i="2"/>
  <c r="BM1339" i="2"/>
  <c r="BL1339" i="2"/>
  <c r="BJ1339" i="2"/>
  <c r="BI1339" i="2"/>
  <c r="BD1339" i="2"/>
  <c r="BC1339" i="2"/>
  <c r="BA1339" i="2"/>
  <c r="AZ1339" i="2"/>
  <c r="AX1339" i="2"/>
  <c r="AW1339" i="2"/>
  <c r="AU1339" i="2"/>
  <c r="AT1339" i="2"/>
  <c r="U1339" i="2"/>
  <c r="M1339" i="2"/>
  <c r="B1339" i="2"/>
  <c r="BV1338" i="2"/>
  <c r="BU1338" i="2"/>
  <c r="BS1338" i="2"/>
  <c r="BR1338" i="2"/>
  <c r="BP1338" i="2"/>
  <c r="BO1338" i="2"/>
  <c r="BM1338" i="2"/>
  <c r="BL1338" i="2"/>
  <c r="BJ1338" i="2"/>
  <c r="BI1338" i="2"/>
  <c r="BD1338" i="2"/>
  <c r="BC1338" i="2"/>
  <c r="BA1338" i="2"/>
  <c r="AZ1338" i="2"/>
  <c r="AX1338" i="2"/>
  <c r="AW1338" i="2"/>
  <c r="AU1338" i="2"/>
  <c r="AT1338" i="2"/>
  <c r="M1338" i="2"/>
  <c r="U1338" i="2" s="1"/>
  <c r="B1338" i="2"/>
  <c r="BV1337" i="2"/>
  <c r="BU1337" i="2"/>
  <c r="BS1337" i="2"/>
  <c r="BR1337" i="2"/>
  <c r="BP1337" i="2"/>
  <c r="BO1337" i="2"/>
  <c r="BM1337" i="2"/>
  <c r="BL1337" i="2"/>
  <c r="BJ1337" i="2"/>
  <c r="BI1337" i="2"/>
  <c r="BD1337" i="2"/>
  <c r="BC1337" i="2"/>
  <c r="BA1337" i="2"/>
  <c r="AZ1337" i="2"/>
  <c r="AX1337" i="2"/>
  <c r="AW1337" i="2"/>
  <c r="AU1337" i="2"/>
  <c r="AT1337" i="2"/>
  <c r="U1337" i="2"/>
  <c r="M1337" i="2"/>
  <c r="B1337" i="2"/>
  <c r="BV1336" i="2"/>
  <c r="BU1336" i="2"/>
  <c r="BS1336" i="2"/>
  <c r="BR1336" i="2"/>
  <c r="BP1336" i="2"/>
  <c r="BO1336" i="2"/>
  <c r="BM1336" i="2"/>
  <c r="BL1336" i="2"/>
  <c r="BJ1336" i="2"/>
  <c r="BI1336" i="2"/>
  <c r="BG1336" i="2"/>
  <c r="BF1336" i="2"/>
  <c r="BA1336" i="2"/>
  <c r="AZ1336" i="2"/>
  <c r="AX1336" i="2"/>
  <c r="AW1336" i="2"/>
  <c r="AU1336" i="2"/>
  <c r="AT1336" i="2"/>
  <c r="M1336" i="2"/>
  <c r="U1336" i="2" s="1"/>
  <c r="B1336" i="2"/>
  <c r="BV1335" i="2"/>
  <c r="BU1335" i="2"/>
  <c r="BS1335" i="2"/>
  <c r="BR1335" i="2"/>
  <c r="BP1335" i="2"/>
  <c r="BO1335" i="2"/>
  <c r="BM1335" i="2"/>
  <c r="BL1335" i="2"/>
  <c r="BJ1335" i="2"/>
  <c r="BI1335" i="2"/>
  <c r="BG1335" i="2"/>
  <c r="BF1335" i="2"/>
  <c r="BA1335" i="2"/>
  <c r="AZ1335" i="2"/>
  <c r="AX1335" i="2"/>
  <c r="AW1335" i="2"/>
  <c r="AU1335" i="2"/>
  <c r="AT1335" i="2"/>
  <c r="U1335" i="2"/>
  <c r="M1335" i="2"/>
  <c r="B1335" i="2"/>
  <c r="BV1334" i="2"/>
  <c r="BU1334" i="2"/>
  <c r="BS1334" i="2"/>
  <c r="BR1334" i="2"/>
  <c r="BP1334" i="2"/>
  <c r="BO1334" i="2"/>
  <c r="BM1334" i="2"/>
  <c r="BL1334" i="2"/>
  <c r="BJ1334" i="2"/>
  <c r="BI1334" i="2"/>
  <c r="BG1334" i="2"/>
  <c r="BF1334" i="2"/>
  <c r="BA1334" i="2"/>
  <c r="AZ1334" i="2"/>
  <c r="AX1334" i="2"/>
  <c r="AW1334" i="2"/>
  <c r="AU1334" i="2"/>
  <c r="AT1334" i="2"/>
  <c r="M1334" i="2"/>
  <c r="U1334" i="2" s="1"/>
  <c r="B1334" i="2"/>
  <c r="BV1333" i="2"/>
  <c r="BU1333" i="2"/>
  <c r="BS1333" i="2"/>
  <c r="BR1333" i="2"/>
  <c r="BP1333" i="2"/>
  <c r="BO1333" i="2"/>
  <c r="BM1333" i="2"/>
  <c r="BL1333" i="2"/>
  <c r="BJ1333" i="2"/>
  <c r="BI1333" i="2"/>
  <c r="BG1333" i="2"/>
  <c r="BF1333" i="2"/>
  <c r="BA1333" i="2"/>
  <c r="AZ1333" i="2"/>
  <c r="AX1333" i="2"/>
  <c r="AW1333" i="2"/>
  <c r="AU1333" i="2"/>
  <c r="AT1333" i="2"/>
  <c r="U1333" i="2"/>
  <c r="M1333" i="2"/>
  <c r="B1333" i="2"/>
  <c r="BV1332" i="2"/>
  <c r="BU1332" i="2"/>
  <c r="BS1332" i="2"/>
  <c r="BR1332" i="2"/>
  <c r="BP1332" i="2"/>
  <c r="BO1332" i="2"/>
  <c r="BM1332" i="2"/>
  <c r="BL1332" i="2"/>
  <c r="BJ1332" i="2"/>
  <c r="BI1332" i="2"/>
  <c r="BG1332" i="2"/>
  <c r="BF1332" i="2"/>
  <c r="BA1332" i="2"/>
  <c r="AZ1332" i="2"/>
  <c r="AX1332" i="2"/>
  <c r="AW1332" i="2"/>
  <c r="AU1332" i="2"/>
  <c r="AT1332" i="2"/>
  <c r="U1332" i="2"/>
  <c r="M1332" i="2"/>
  <c r="B1332" i="2"/>
  <c r="BV1331" i="2"/>
  <c r="BU1331" i="2"/>
  <c r="BS1331" i="2"/>
  <c r="BR1331" i="2"/>
  <c r="BP1331" i="2"/>
  <c r="BO1331" i="2"/>
  <c r="BM1331" i="2"/>
  <c r="BL1331" i="2"/>
  <c r="BJ1331" i="2"/>
  <c r="BI1331" i="2"/>
  <c r="BG1331" i="2"/>
  <c r="BF1331" i="2"/>
  <c r="BA1331" i="2"/>
  <c r="AZ1331" i="2"/>
  <c r="AX1331" i="2"/>
  <c r="AW1331" i="2"/>
  <c r="AU1331" i="2"/>
  <c r="AT1331" i="2"/>
  <c r="U1331" i="2"/>
  <c r="M1331" i="2"/>
  <c r="B1331" i="2"/>
  <c r="BV1330" i="2"/>
  <c r="BU1330" i="2"/>
  <c r="BS1330" i="2"/>
  <c r="BR1330" i="2"/>
  <c r="BP1330" i="2"/>
  <c r="BO1330" i="2"/>
  <c r="BM1330" i="2"/>
  <c r="BL1330" i="2"/>
  <c r="BJ1330" i="2"/>
  <c r="BI1330" i="2"/>
  <c r="BG1330" i="2"/>
  <c r="BF1330" i="2"/>
  <c r="BA1330" i="2"/>
  <c r="AZ1330" i="2"/>
  <c r="AX1330" i="2"/>
  <c r="AW1330" i="2"/>
  <c r="AU1330" i="2"/>
  <c r="AT1330" i="2"/>
  <c r="AR1330" i="2"/>
  <c r="M1330" i="2"/>
  <c r="U1330" i="2" s="1"/>
  <c r="B1330" i="2"/>
  <c r="C1327" i="2"/>
  <c r="AQ1327" i="2" s="1"/>
  <c r="BV1314" i="2"/>
  <c r="BU1314" i="2"/>
  <c r="BS1314" i="2"/>
  <c r="BR1314" i="2"/>
  <c r="BP1314" i="2"/>
  <c r="BO1314" i="2"/>
  <c r="BM1314" i="2"/>
  <c r="BL1314" i="2"/>
  <c r="BJ1314" i="2"/>
  <c r="BI1314" i="2"/>
  <c r="BG1314" i="2"/>
  <c r="BF1314" i="2"/>
  <c r="BD1314" i="2"/>
  <c r="BC1314" i="2"/>
  <c r="BA1314" i="2"/>
  <c r="AZ1314" i="2"/>
  <c r="AX1314" i="2"/>
  <c r="AW1314" i="2"/>
  <c r="AU1314" i="2"/>
  <c r="AT1314" i="2"/>
  <c r="U1314" i="2"/>
  <c r="S1314" i="2"/>
  <c r="R1314" i="2"/>
  <c r="M1314" i="2"/>
  <c r="B1314" i="2"/>
  <c r="BV1313" i="2"/>
  <c r="BU1313" i="2"/>
  <c r="BS1313" i="2"/>
  <c r="BR1313" i="2"/>
  <c r="BP1313" i="2"/>
  <c r="BO1313" i="2"/>
  <c r="BM1313" i="2"/>
  <c r="BL1313" i="2"/>
  <c r="BJ1313" i="2"/>
  <c r="BI1313" i="2"/>
  <c r="BG1313" i="2"/>
  <c r="BF1313" i="2"/>
  <c r="BD1313" i="2"/>
  <c r="BC1313" i="2"/>
  <c r="BA1313" i="2"/>
  <c r="AZ1313" i="2"/>
  <c r="AX1313" i="2"/>
  <c r="AW1313" i="2"/>
  <c r="AU1313" i="2"/>
  <c r="AT1313" i="2"/>
  <c r="R1313" i="2"/>
  <c r="S1313" i="2" s="1"/>
  <c r="M1313" i="2"/>
  <c r="U1313" i="2" s="1"/>
  <c r="B1313" i="2"/>
  <c r="BV1312" i="2"/>
  <c r="BU1312" i="2"/>
  <c r="BS1312" i="2"/>
  <c r="BR1312" i="2"/>
  <c r="BP1312" i="2"/>
  <c r="BO1312" i="2"/>
  <c r="BM1312" i="2"/>
  <c r="BL1312" i="2"/>
  <c r="BJ1312" i="2"/>
  <c r="BI1312" i="2"/>
  <c r="BG1312" i="2"/>
  <c r="BF1312" i="2"/>
  <c r="BD1312" i="2"/>
  <c r="BC1312" i="2"/>
  <c r="BA1312" i="2"/>
  <c r="AZ1312" i="2"/>
  <c r="AX1312" i="2"/>
  <c r="AW1312" i="2"/>
  <c r="AU1312" i="2"/>
  <c r="AT1312" i="2"/>
  <c r="S1312" i="2"/>
  <c r="R1312" i="2"/>
  <c r="M1312" i="2"/>
  <c r="U1312" i="2" s="1"/>
  <c r="B1312" i="2"/>
  <c r="BV1311" i="2"/>
  <c r="BU1311" i="2"/>
  <c r="BS1311" i="2"/>
  <c r="BR1311" i="2"/>
  <c r="BP1311" i="2"/>
  <c r="BO1311" i="2"/>
  <c r="BM1311" i="2"/>
  <c r="BL1311" i="2"/>
  <c r="BJ1311" i="2"/>
  <c r="BI1311" i="2"/>
  <c r="BG1311" i="2"/>
  <c r="BF1311" i="2"/>
  <c r="BD1311" i="2"/>
  <c r="BC1311" i="2"/>
  <c r="BA1311" i="2"/>
  <c r="AZ1311" i="2"/>
  <c r="AX1311" i="2"/>
  <c r="AW1311" i="2"/>
  <c r="AU1311" i="2"/>
  <c r="AT1311" i="2"/>
  <c r="U1311" i="2"/>
  <c r="S1311" i="2"/>
  <c r="R1311" i="2"/>
  <c r="M1311" i="2"/>
  <c r="B1311" i="2"/>
  <c r="BV1310" i="2"/>
  <c r="BU1310" i="2"/>
  <c r="BS1310" i="2"/>
  <c r="BR1310" i="2"/>
  <c r="BP1310" i="2"/>
  <c r="BO1310" i="2"/>
  <c r="BM1310" i="2"/>
  <c r="BL1310" i="2"/>
  <c r="BJ1310" i="2"/>
  <c r="BI1310" i="2"/>
  <c r="BG1310" i="2"/>
  <c r="BF1310" i="2"/>
  <c r="BD1310" i="2"/>
  <c r="BC1310" i="2"/>
  <c r="BA1310" i="2"/>
  <c r="AZ1310" i="2"/>
  <c r="AX1310" i="2"/>
  <c r="AW1310" i="2"/>
  <c r="AU1310" i="2"/>
  <c r="AT1310" i="2"/>
  <c r="R1310" i="2"/>
  <c r="S1310" i="2" s="1"/>
  <c r="M1310" i="2"/>
  <c r="U1310" i="2" s="1"/>
  <c r="B1310" i="2"/>
  <c r="BV1309" i="2"/>
  <c r="BU1309" i="2"/>
  <c r="BS1309" i="2"/>
  <c r="BR1309" i="2"/>
  <c r="BP1309" i="2"/>
  <c r="BO1309" i="2"/>
  <c r="BM1309" i="2"/>
  <c r="BL1309" i="2"/>
  <c r="BG1309" i="2"/>
  <c r="BF1309" i="2"/>
  <c r="BD1309" i="2"/>
  <c r="BC1309" i="2"/>
  <c r="BA1309" i="2"/>
  <c r="AZ1309" i="2"/>
  <c r="AX1309" i="2"/>
  <c r="AW1309" i="2"/>
  <c r="AU1309" i="2"/>
  <c r="AT1309" i="2"/>
  <c r="M1309" i="2"/>
  <c r="U1309" i="2" s="1"/>
  <c r="L1309" i="2"/>
  <c r="R1309" i="2" s="1"/>
  <c r="B1309" i="2"/>
  <c r="BV1308" i="2"/>
  <c r="BU1308" i="2"/>
  <c r="BS1308" i="2"/>
  <c r="BR1308" i="2"/>
  <c r="BP1308" i="2"/>
  <c r="BO1308" i="2"/>
  <c r="BM1308" i="2"/>
  <c r="BL1308" i="2"/>
  <c r="BI1308" i="2"/>
  <c r="BG1308" i="2"/>
  <c r="BF1308" i="2"/>
  <c r="BD1308" i="2"/>
  <c r="BC1308" i="2"/>
  <c r="BA1308" i="2"/>
  <c r="AZ1308" i="2"/>
  <c r="AX1308" i="2"/>
  <c r="AW1308" i="2"/>
  <c r="AU1308" i="2"/>
  <c r="AT1308" i="2"/>
  <c r="U1308" i="2"/>
  <c r="M1308" i="2"/>
  <c r="L1308" i="2"/>
  <c r="R1308" i="2" s="1"/>
  <c r="B1308" i="2"/>
  <c r="BV1307" i="2"/>
  <c r="BU1307" i="2"/>
  <c r="BS1307" i="2"/>
  <c r="BR1307" i="2"/>
  <c r="BP1307" i="2"/>
  <c r="BO1307" i="2"/>
  <c r="BM1307" i="2"/>
  <c r="BL1307" i="2"/>
  <c r="BI1307" i="2"/>
  <c r="BG1307" i="2"/>
  <c r="BF1307" i="2"/>
  <c r="BD1307" i="2"/>
  <c r="BC1307" i="2"/>
  <c r="BA1307" i="2"/>
  <c r="AZ1307" i="2"/>
  <c r="AX1307" i="2"/>
  <c r="AW1307" i="2"/>
  <c r="AU1307" i="2"/>
  <c r="AT1307" i="2"/>
  <c r="R1307" i="2"/>
  <c r="M1307" i="2"/>
  <c r="U1307" i="2" s="1"/>
  <c r="L1307" i="2"/>
  <c r="B1307" i="2"/>
  <c r="BV1306" i="2"/>
  <c r="BU1306" i="2"/>
  <c r="BS1306" i="2"/>
  <c r="BR1306" i="2"/>
  <c r="BP1306" i="2"/>
  <c r="BO1306" i="2"/>
  <c r="BM1306" i="2"/>
  <c r="BL1306" i="2"/>
  <c r="BG1306" i="2"/>
  <c r="BF1306" i="2"/>
  <c r="BD1306" i="2"/>
  <c r="BC1306" i="2"/>
  <c r="BA1306" i="2"/>
  <c r="AZ1306" i="2"/>
  <c r="AX1306" i="2"/>
  <c r="AW1306" i="2"/>
  <c r="AU1306" i="2"/>
  <c r="AT1306" i="2"/>
  <c r="M1306" i="2"/>
  <c r="U1306" i="2" s="1"/>
  <c r="L1306" i="2"/>
  <c r="R1306" i="2" s="1"/>
  <c r="B1306" i="2"/>
  <c r="BV1305" i="2"/>
  <c r="BU1305" i="2"/>
  <c r="BS1305" i="2"/>
  <c r="BR1305" i="2"/>
  <c r="BP1305" i="2"/>
  <c r="BO1305" i="2"/>
  <c r="BM1305" i="2"/>
  <c r="BL1305" i="2"/>
  <c r="BG1305" i="2"/>
  <c r="BF1305" i="2"/>
  <c r="BD1305" i="2"/>
  <c r="BC1305" i="2"/>
  <c r="BA1305" i="2"/>
  <c r="AZ1305" i="2"/>
  <c r="AX1305" i="2"/>
  <c r="AW1305" i="2"/>
  <c r="AU1305" i="2"/>
  <c r="AT1305" i="2"/>
  <c r="U1305" i="2"/>
  <c r="M1305" i="2"/>
  <c r="L1305" i="2"/>
  <c r="R1305" i="2" s="1"/>
  <c r="B1305" i="2"/>
  <c r="BV1304" i="2"/>
  <c r="BU1304" i="2"/>
  <c r="BS1304" i="2"/>
  <c r="BR1304" i="2"/>
  <c r="BP1304" i="2"/>
  <c r="BO1304" i="2"/>
  <c r="BM1304" i="2"/>
  <c r="BL1304" i="2"/>
  <c r="BG1304" i="2"/>
  <c r="BF1304" i="2"/>
  <c r="BD1304" i="2"/>
  <c r="BC1304" i="2"/>
  <c r="BA1304" i="2"/>
  <c r="AZ1304" i="2"/>
  <c r="AX1304" i="2"/>
  <c r="AW1304" i="2"/>
  <c r="AU1304" i="2"/>
  <c r="AT1304" i="2"/>
  <c r="M1304" i="2"/>
  <c r="U1304" i="2" s="1"/>
  <c r="L1304" i="2"/>
  <c r="R1304" i="2" s="1"/>
  <c r="B1304" i="2"/>
  <c r="BV1303" i="2"/>
  <c r="BU1303" i="2"/>
  <c r="BS1303" i="2"/>
  <c r="BR1303" i="2"/>
  <c r="BP1303" i="2"/>
  <c r="BO1303" i="2"/>
  <c r="BM1303" i="2"/>
  <c r="BL1303" i="2"/>
  <c r="BG1303" i="2"/>
  <c r="BF1303" i="2"/>
  <c r="BD1303" i="2"/>
  <c r="BC1303" i="2"/>
  <c r="BA1303" i="2"/>
  <c r="AZ1303" i="2"/>
  <c r="AX1303" i="2"/>
  <c r="AW1303" i="2"/>
  <c r="AU1303" i="2"/>
  <c r="AT1303" i="2"/>
  <c r="R1303" i="2"/>
  <c r="BI1303" i="2" s="1"/>
  <c r="M1303" i="2"/>
  <c r="U1303" i="2" s="1"/>
  <c r="L1303" i="2"/>
  <c r="B1303" i="2"/>
  <c r="R1302" i="2"/>
  <c r="M1302" i="2"/>
  <c r="U1302" i="2" s="1"/>
  <c r="L1302" i="2"/>
  <c r="B1302" i="2"/>
  <c r="R1301" i="2"/>
  <c r="M1301" i="2"/>
  <c r="U1301" i="2" s="1"/>
  <c r="L1301" i="2"/>
  <c r="B1301" i="2"/>
  <c r="M1300" i="2"/>
  <c r="U1300" i="2" s="1"/>
  <c r="L1300" i="2"/>
  <c r="R1300" i="2" s="1"/>
  <c r="B1300" i="2"/>
  <c r="U1299" i="2"/>
  <c r="R1299" i="2"/>
  <c r="M1299" i="2"/>
  <c r="L1299" i="2"/>
  <c r="B1299" i="2"/>
  <c r="U1298" i="2"/>
  <c r="M1298" i="2"/>
  <c r="L1298" i="2"/>
  <c r="R1298" i="2" s="1"/>
  <c r="B1298" i="2"/>
  <c r="U1297" i="2"/>
  <c r="R1297" i="2"/>
  <c r="M1297" i="2"/>
  <c r="L1297" i="2"/>
  <c r="B1297" i="2"/>
  <c r="M1296" i="2"/>
  <c r="U1296" i="2" s="1"/>
  <c r="L1296" i="2"/>
  <c r="R1296" i="2" s="1"/>
  <c r="B1296" i="2"/>
  <c r="U1295" i="2"/>
  <c r="M1295" i="2"/>
  <c r="L1295" i="2"/>
  <c r="R1295" i="2" s="1"/>
  <c r="B1295" i="2"/>
  <c r="M1294" i="2"/>
  <c r="U1294" i="2" s="1"/>
  <c r="L1294" i="2"/>
  <c r="R1294" i="2" s="1"/>
  <c r="B1294" i="2"/>
  <c r="BV1293" i="2"/>
  <c r="BU1293" i="2"/>
  <c r="BS1293" i="2"/>
  <c r="BR1293" i="2"/>
  <c r="BP1293" i="2"/>
  <c r="BO1293" i="2"/>
  <c r="BM1293" i="2"/>
  <c r="BL1293" i="2"/>
  <c r="BI1293" i="2"/>
  <c r="BG1293" i="2"/>
  <c r="BF1293" i="2"/>
  <c r="BD1293" i="2"/>
  <c r="BC1293" i="2"/>
  <c r="BA1293" i="2"/>
  <c r="AZ1293" i="2"/>
  <c r="AX1293" i="2"/>
  <c r="AW1293" i="2"/>
  <c r="AU1293" i="2"/>
  <c r="AT1293" i="2"/>
  <c r="U1293" i="2"/>
  <c r="R1293" i="2"/>
  <c r="M1293" i="2"/>
  <c r="L1293" i="2"/>
  <c r="B1293" i="2"/>
  <c r="BV1292" i="2"/>
  <c r="BU1292" i="2"/>
  <c r="BS1292" i="2"/>
  <c r="BR1292" i="2"/>
  <c r="BP1292" i="2"/>
  <c r="BO1292" i="2"/>
  <c r="BM1292" i="2"/>
  <c r="BL1292" i="2"/>
  <c r="BG1292" i="2"/>
  <c r="BF1292" i="2"/>
  <c r="BD1292" i="2"/>
  <c r="BC1292" i="2"/>
  <c r="BA1292" i="2"/>
  <c r="AZ1292" i="2"/>
  <c r="AX1292" i="2"/>
  <c r="AW1292" i="2"/>
  <c r="AU1292" i="2"/>
  <c r="AT1292" i="2"/>
  <c r="M1292" i="2"/>
  <c r="U1292" i="2" s="1"/>
  <c r="L1292" i="2"/>
  <c r="R1292" i="2" s="1"/>
  <c r="BI1292" i="2" s="1"/>
  <c r="B1292" i="2"/>
  <c r="BV1291" i="2"/>
  <c r="BU1291" i="2"/>
  <c r="BS1291" i="2"/>
  <c r="BR1291" i="2"/>
  <c r="BP1291" i="2"/>
  <c r="BO1291" i="2"/>
  <c r="BM1291" i="2"/>
  <c r="BL1291" i="2"/>
  <c r="BG1291" i="2"/>
  <c r="BF1291" i="2"/>
  <c r="BD1291" i="2"/>
  <c r="BC1291" i="2"/>
  <c r="BA1291" i="2"/>
  <c r="AZ1291" i="2"/>
  <c r="AX1291" i="2"/>
  <c r="AW1291" i="2"/>
  <c r="AU1291" i="2"/>
  <c r="AT1291" i="2"/>
  <c r="R1291" i="2"/>
  <c r="M1291" i="2"/>
  <c r="U1291" i="2" s="1"/>
  <c r="L1291" i="2"/>
  <c r="B1291" i="2"/>
  <c r="BV1290" i="2"/>
  <c r="BU1290" i="2"/>
  <c r="BS1290" i="2"/>
  <c r="BR1290" i="2"/>
  <c r="BP1290" i="2"/>
  <c r="BO1290" i="2"/>
  <c r="BM1290" i="2"/>
  <c r="BL1290" i="2"/>
  <c r="BG1290" i="2"/>
  <c r="BF1290" i="2"/>
  <c r="BD1290" i="2"/>
  <c r="BC1290" i="2"/>
  <c r="BA1290" i="2"/>
  <c r="AZ1290" i="2"/>
  <c r="AX1290" i="2"/>
  <c r="AW1290" i="2"/>
  <c r="AU1290" i="2"/>
  <c r="AT1290" i="2"/>
  <c r="U1290" i="2"/>
  <c r="M1290" i="2"/>
  <c r="L1290" i="2"/>
  <c r="R1290" i="2" s="1"/>
  <c r="B1290" i="2"/>
  <c r="BV1289" i="2"/>
  <c r="BU1289" i="2"/>
  <c r="BS1289" i="2"/>
  <c r="BR1289" i="2"/>
  <c r="BP1289" i="2"/>
  <c r="BO1289" i="2"/>
  <c r="BM1289" i="2"/>
  <c r="BL1289" i="2"/>
  <c r="BG1289" i="2"/>
  <c r="BF1289" i="2"/>
  <c r="BD1289" i="2"/>
  <c r="BC1289" i="2"/>
  <c r="BA1289" i="2"/>
  <c r="AZ1289" i="2"/>
  <c r="AX1289" i="2"/>
  <c r="AW1289" i="2"/>
  <c r="AU1289" i="2"/>
  <c r="AT1289" i="2"/>
  <c r="M1289" i="2"/>
  <c r="U1289" i="2" s="1"/>
  <c r="L1289" i="2"/>
  <c r="R1289" i="2" s="1"/>
  <c r="B1289" i="2"/>
  <c r="U1288" i="2"/>
  <c r="R1288" i="2"/>
  <c r="M1288" i="2"/>
  <c r="L1288" i="2"/>
  <c r="B1288" i="2"/>
  <c r="U1287" i="2"/>
  <c r="R1287" i="2"/>
  <c r="M1287" i="2"/>
  <c r="L1287" i="2"/>
  <c r="B1287" i="2"/>
  <c r="U1286" i="2"/>
  <c r="M1286" i="2"/>
  <c r="L1286" i="2"/>
  <c r="R1286" i="2" s="1"/>
  <c r="B1286" i="2"/>
  <c r="U1285" i="2"/>
  <c r="M1285" i="2"/>
  <c r="L1285" i="2"/>
  <c r="R1285" i="2" s="1"/>
  <c r="B1285" i="2"/>
  <c r="R1284" i="2"/>
  <c r="M1284" i="2"/>
  <c r="U1284" i="2" s="1"/>
  <c r="L1284" i="2"/>
  <c r="B1284" i="2"/>
  <c r="R1283" i="2"/>
  <c r="M1283" i="2"/>
  <c r="U1283" i="2" s="1"/>
  <c r="L1283" i="2"/>
  <c r="B1283" i="2"/>
  <c r="R1282" i="2"/>
  <c r="M1282" i="2"/>
  <c r="U1282" i="2" s="1"/>
  <c r="L1282" i="2"/>
  <c r="B1282" i="2"/>
  <c r="U1281" i="2"/>
  <c r="M1281" i="2"/>
  <c r="L1281" i="2"/>
  <c r="R1281" i="2" s="1"/>
  <c r="B1281" i="2"/>
  <c r="U1280" i="2"/>
  <c r="R1280" i="2"/>
  <c r="M1280" i="2"/>
  <c r="L1280" i="2"/>
  <c r="B1280" i="2"/>
  <c r="M1279" i="2"/>
  <c r="U1279" i="2" s="1"/>
  <c r="L1279" i="2"/>
  <c r="R1279" i="2" s="1"/>
  <c r="B1279" i="2"/>
  <c r="M1278" i="2"/>
  <c r="U1278" i="2" s="1"/>
  <c r="L1278" i="2"/>
  <c r="R1278" i="2" s="1"/>
  <c r="B1278" i="2"/>
  <c r="M1277" i="2"/>
  <c r="U1277" i="2" s="1"/>
  <c r="L1277" i="2"/>
  <c r="R1277" i="2" s="1"/>
  <c r="B1277" i="2"/>
  <c r="U1276" i="2"/>
  <c r="R1276" i="2"/>
  <c r="M1276" i="2"/>
  <c r="L1276" i="2"/>
  <c r="B1276" i="2"/>
  <c r="U1275" i="2"/>
  <c r="R1275" i="2"/>
  <c r="M1275" i="2"/>
  <c r="L1275" i="2"/>
  <c r="B1275" i="2"/>
  <c r="U1274" i="2"/>
  <c r="M1274" i="2"/>
  <c r="L1274" i="2"/>
  <c r="R1274" i="2" s="1"/>
  <c r="B1274" i="2"/>
  <c r="U1273" i="2"/>
  <c r="M1273" i="2"/>
  <c r="L1273" i="2"/>
  <c r="R1273" i="2" s="1"/>
  <c r="B1273" i="2"/>
  <c r="R1272" i="2"/>
  <c r="M1272" i="2"/>
  <c r="U1272" i="2" s="1"/>
  <c r="L1272" i="2"/>
  <c r="B1272" i="2"/>
  <c r="R1271" i="2"/>
  <c r="M1271" i="2"/>
  <c r="U1271" i="2" s="1"/>
  <c r="L1271" i="2"/>
  <c r="B1271" i="2"/>
  <c r="R1270" i="2"/>
  <c r="M1270" i="2"/>
  <c r="U1270" i="2" s="1"/>
  <c r="L1270" i="2"/>
  <c r="B1270" i="2"/>
  <c r="U1269" i="2"/>
  <c r="M1269" i="2"/>
  <c r="L1269" i="2"/>
  <c r="R1269" i="2" s="1"/>
  <c r="B1269" i="2"/>
  <c r="U1268" i="2"/>
  <c r="R1268" i="2"/>
  <c r="M1268" i="2"/>
  <c r="L1268" i="2"/>
  <c r="B1268" i="2"/>
  <c r="M1267" i="2"/>
  <c r="U1267" i="2" s="1"/>
  <c r="L1267" i="2"/>
  <c r="R1267" i="2" s="1"/>
  <c r="B1267" i="2"/>
  <c r="M1266" i="2"/>
  <c r="U1266" i="2" s="1"/>
  <c r="L1266" i="2"/>
  <c r="R1266" i="2" s="1"/>
  <c r="B1266" i="2"/>
  <c r="M1265" i="2"/>
  <c r="U1265" i="2" s="1"/>
  <c r="L1265" i="2"/>
  <c r="R1265" i="2" s="1"/>
  <c r="B1265" i="2"/>
  <c r="U1264" i="2"/>
  <c r="R1264" i="2"/>
  <c r="M1264" i="2"/>
  <c r="L1264" i="2"/>
  <c r="B1264" i="2"/>
  <c r="U1263" i="2"/>
  <c r="R1263" i="2"/>
  <c r="M1263" i="2"/>
  <c r="L1263" i="2"/>
  <c r="B1263" i="2"/>
  <c r="U1262" i="2"/>
  <c r="M1262" i="2"/>
  <c r="L1262" i="2"/>
  <c r="R1262" i="2" s="1"/>
  <c r="B1262" i="2"/>
  <c r="U1261" i="2"/>
  <c r="M1261" i="2"/>
  <c r="L1261" i="2"/>
  <c r="R1261" i="2" s="1"/>
  <c r="B1261" i="2"/>
  <c r="R1260" i="2"/>
  <c r="M1260" i="2"/>
  <c r="U1260" i="2" s="1"/>
  <c r="L1260" i="2"/>
  <c r="B1260" i="2"/>
  <c r="R1259" i="2"/>
  <c r="M1259" i="2"/>
  <c r="U1259" i="2" s="1"/>
  <c r="L1259" i="2"/>
  <c r="B1259" i="2"/>
  <c r="R1258" i="2"/>
  <c r="M1258" i="2"/>
  <c r="U1258" i="2" s="1"/>
  <c r="L1258" i="2"/>
  <c r="B1258" i="2"/>
  <c r="U1257" i="2"/>
  <c r="M1257" i="2"/>
  <c r="L1257" i="2"/>
  <c r="R1257" i="2" s="1"/>
  <c r="B1257" i="2"/>
  <c r="U1256" i="2"/>
  <c r="R1256" i="2"/>
  <c r="M1256" i="2"/>
  <c r="L1256" i="2"/>
  <c r="B1256" i="2"/>
  <c r="M1255" i="2"/>
  <c r="U1255" i="2" s="1"/>
  <c r="L1255" i="2"/>
  <c r="R1255" i="2" s="1"/>
  <c r="B1255" i="2"/>
  <c r="M1254" i="2"/>
  <c r="U1254" i="2" s="1"/>
  <c r="L1254" i="2"/>
  <c r="R1254" i="2" s="1"/>
  <c r="B1254" i="2"/>
  <c r="M1253" i="2"/>
  <c r="U1253" i="2" s="1"/>
  <c r="L1253" i="2"/>
  <c r="R1253" i="2" s="1"/>
  <c r="B1253" i="2"/>
  <c r="U1252" i="2"/>
  <c r="R1252" i="2"/>
  <c r="M1252" i="2"/>
  <c r="L1252" i="2"/>
  <c r="B1252" i="2"/>
  <c r="U1251" i="2"/>
  <c r="R1251" i="2"/>
  <c r="M1251" i="2"/>
  <c r="L1251" i="2"/>
  <c r="B1251" i="2"/>
  <c r="U1250" i="2"/>
  <c r="M1250" i="2"/>
  <c r="L1250" i="2"/>
  <c r="R1250" i="2" s="1"/>
  <c r="B1250" i="2"/>
  <c r="U1249" i="2"/>
  <c r="M1249" i="2"/>
  <c r="L1249" i="2"/>
  <c r="R1249" i="2" s="1"/>
  <c r="B1249" i="2"/>
  <c r="R1248" i="2"/>
  <c r="M1248" i="2"/>
  <c r="U1248" i="2" s="1"/>
  <c r="L1248" i="2"/>
  <c r="B1248" i="2"/>
  <c r="R1247" i="2"/>
  <c r="M1247" i="2"/>
  <c r="U1247" i="2" s="1"/>
  <c r="L1247" i="2"/>
  <c r="B1247" i="2"/>
  <c r="R1246" i="2"/>
  <c r="M1246" i="2"/>
  <c r="U1246" i="2" s="1"/>
  <c r="L1246" i="2"/>
  <c r="B1246" i="2"/>
  <c r="U1245" i="2"/>
  <c r="R1245" i="2"/>
  <c r="M1245" i="2"/>
  <c r="L1245" i="2"/>
  <c r="B1245" i="2"/>
  <c r="U1244" i="2"/>
  <c r="R1244" i="2"/>
  <c r="M1244" i="2"/>
  <c r="L1244" i="2"/>
  <c r="B1244" i="2"/>
  <c r="M1243" i="2"/>
  <c r="U1243" i="2" s="1"/>
  <c r="L1243" i="2"/>
  <c r="R1243" i="2" s="1"/>
  <c r="B1243" i="2"/>
  <c r="M1242" i="2"/>
  <c r="U1242" i="2" s="1"/>
  <c r="L1242" i="2"/>
  <c r="R1242" i="2" s="1"/>
  <c r="B1242" i="2"/>
  <c r="M1241" i="2"/>
  <c r="U1241" i="2" s="1"/>
  <c r="L1241" i="2"/>
  <c r="R1241" i="2" s="1"/>
  <c r="B1241" i="2"/>
  <c r="U1240" i="2"/>
  <c r="R1240" i="2"/>
  <c r="M1240" i="2"/>
  <c r="L1240" i="2"/>
  <c r="B1240" i="2"/>
  <c r="U1239" i="2"/>
  <c r="R1239" i="2"/>
  <c r="M1239" i="2"/>
  <c r="L1239" i="2"/>
  <c r="B1239" i="2"/>
  <c r="U1238" i="2"/>
  <c r="M1238" i="2"/>
  <c r="L1238" i="2"/>
  <c r="R1238" i="2" s="1"/>
  <c r="B1238" i="2"/>
  <c r="U1237" i="2"/>
  <c r="M1237" i="2"/>
  <c r="L1237" i="2"/>
  <c r="R1237" i="2" s="1"/>
  <c r="B1237" i="2"/>
  <c r="R1236" i="2"/>
  <c r="M1236" i="2"/>
  <c r="U1236" i="2" s="1"/>
  <c r="L1236" i="2"/>
  <c r="B1236" i="2"/>
  <c r="R1235" i="2"/>
  <c r="M1235" i="2"/>
  <c r="U1235" i="2" s="1"/>
  <c r="L1235" i="2"/>
  <c r="B1235" i="2"/>
  <c r="R1234" i="2"/>
  <c r="M1234" i="2"/>
  <c r="U1234" i="2" s="1"/>
  <c r="L1234" i="2"/>
  <c r="B1234" i="2"/>
  <c r="U1233" i="2"/>
  <c r="R1233" i="2"/>
  <c r="M1233" i="2"/>
  <c r="L1233" i="2"/>
  <c r="B1233" i="2"/>
  <c r="U1232" i="2"/>
  <c r="R1232" i="2"/>
  <c r="M1232" i="2"/>
  <c r="L1232" i="2"/>
  <c r="B1232" i="2"/>
  <c r="M1231" i="2"/>
  <c r="U1231" i="2" s="1"/>
  <c r="L1231" i="2"/>
  <c r="R1231" i="2" s="1"/>
  <c r="B1231" i="2"/>
  <c r="M1230" i="2"/>
  <c r="U1230" i="2" s="1"/>
  <c r="L1230" i="2"/>
  <c r="R1230" i="2" s="1"/>
  <c r="B1230" i="2"/>
  <c r="M1229" i="2"/>
  <c r="U1229" i="2" s="1"/>
  <c r="L1229" i="2"/>
  <c r="R1229" i="2" s="1"/>
  <c r="T1229" i="2" s="1"/>
  <c r="B1229" i="2"/>
  <c r="BV1228" i="2"/>
  <c r="BU1228" i="2"/>
  <c r="BS1228" i="2"/>
  <c r="BR1228" i="2"/>
  <c r="BP1228" i="2"/>
  <c r="BO1228" i="2"/>
  <c r="BM1228" i="2"/>
  <c r="BL1228" i="2"/>
  <c r="BJ1228" i="2"/>
  <c r="BI1228" i="2"/>
  <c r="BG1228" i="2"/>
  <c r="BF1228" i="2"/>
  <c r="BA1228" i="2"/>
  <c r="BA1315" i="2" s="1"/>
  <c r="AZ1228" i="2"/>
  <c r="AX1228" i="2"/>
  <c r="AW1228" i="2"/>
  <c r="AU1228" i="2"/>
  <c r="AT1228" i="2"/>
  <c r="AT1322" i="2" s="1"/>
  <c r="AT1321" i="2" s="1"/>
  <c r="U1228" i="2"/>
  <c r="T1228" i="2"/>
  <c r="R1228" i="2"/>
  <c r="BC1228" i="2" s="1"/>
  <c r="M1228" i="2"/>
  <c r="L1228" i="2"/>
  <c r="B1228" i="2"/>
  <c r="BV1227" i="2"/>
  <c r="BU1227" i="2"/>
  <c r="BS1227" i="2"/>
  <c r="BR1227" i="2"/>
  <c r="BP1227" i="2"/>
  <c r="BP1322" i="2" s="1"/>
  <c r="BP1321" i="2" s="1"/>
  <c r="BO1227" i="2"/>
  <c r="BM1227" i="2"/>
  <c r="BL1227" i="2"/>
  <c r="BL1322" i="2" s="1"/>
  <c r="BL1321" i="2" s="1"/>
  <c r="BJ1227" i="2"/>
  <c r="BI1227" i="2"/>
  <c r="BG1227" i="2"/>
  <c r="BF1227" i="2"/>
  <c r="BA1227" i="2"/>
  <c r="AZ1227" i="2"/>
  <c r="AX1227" i="2"/>
  <c r="AW1227" i="2"/>
  <c r="AU1227" i="2"/>
  <c r="AT1227" i="2"/>
  <c r="AT1315" i="2" s="1"/>
  <c r="R1227" i="2"/>
  <c r="T1227" i="2" s="1"/>
  <c r="M1227" i="2"/>
  <c r="U1227" i="2" s="1"/>
  <c r="L1227" i="2"/>
  <c r="B1227" i="2"/>
  <c r="BV1226" i="2"/>
  <c r="BV1315" i="2" s="1"/>
  <c r="BU1226" i="2"/>
  <c r="BS1226" i="2"/>
  <c r="BR1226" i="2"/>
  <c r="BR1322" i="2" s="1"/>
  <c r="BR1321" i="2" s="1"/>
  <c r="BP1226" i="2"/>
  <c r="BO1226" i="2"/>
  <c r="BM1226" i="2"/>
  <c r="BM1322" i="2" s="1"/>
  <c r="BM1321" i="2" s="1"/>
  <c r="BL1226" i="2"/>
  <c r="BL1315" i="2" s="1"/>
  <c r="BJ1226" i="2"/>
  <c r="BI1226" i="2"/>
  <c r="BG1226" i="2"/>
  <c r="BG1322" i="2" s="1"/>
  <c r="BG1321" i="2" s="1"/>
  <c r="BF1226" i="2"/>
  <c r="BC1226" i="2"/>
  <c r="BA1226" i="2"/>
  <c r="AZ1226" i="2"/>
  <c r="AX1226" i="2"/>
  <c r="AW1226" i="2"/>
  <c r="AW1322" i="2" s="1"/>
  <c r="AW1321" i="2" s="1"/>
  <c r="AU1226" i="2"/>
  <c r="AU1322" i="2" s="1"/>
  <c r="AU1321" i="2" s="1"/>
  <c r="AT1226" i="2"/>
  <c r="M1226" i="2"/>
  <c r="U1226" i="2" s="1"/>
  <c r="AR1226" i="2" s="1"/>
  <c r="L1226" i="2"/>
  <c r="R1226" i="2" s="1"/>
  <c r="B1226" i="2"/>
  <c r="AQ1223" i="2"/>
  <c r="BV1209" i="2"/>
  <c r="BU1209" i="2"/>
  <c r="BS1209" i="2"/>
  <c r="BR1209" i="2"/>
  <c r="BP1209" i="2"/>
  <c r="BO1209" i="2"/>
  <c r="BM1209" i="2"/>
  <c r="BL1209" i="2"/>
  <c r="BJ1209" i="2"/>
  <c r="BI1209" i="2"/>
  <c r="BG1209" i="2"/>
  <c r="BF1209" i="2"/>
  <c r="BD1209" i="2"/>
  <c r="BC1209" i="2"/>
  <c r="BA1209" i="2"/>
  <c r="AZ1209" i="2"/>
  <c r="AX1209" i="2"/>
  <c r="AW1209" i="2"/>
  <c r="AU1209" i="2"/>
  <c r="AT1209" i="2"/>
  <c r="S1209" i="2"/>
  <c r="R1209" i="2"/>
  <c r="M1209" i="2"/>
  <c r="U1209" i="2" s="1"/>
  <c r="AR1209" i="2" s="1"/>
  <c r="B1209" i="2"/>
  <c r="BV1208" i="2"/>
  <c r="BU1208" i="2"/>
  <c r="BS1208" i="2"/>
  <c r="BR1208" i="2"/>
  <c r="BP1208" i="2"/>
  <c r="BO1208" i="2"/>
  <c r="BM1208" i="2"/>
  <c r="BL1208" i="2"/>
  <c r="BJ1208" i="2"/>
  <c r="BI1208" i="2"/>
  <c r="BG1208" i="2"/>
  <c r="BF1208" i="2"/>
  <c r="BD1208" i="2"/>
  <c r="BC1208" i="2"/>
  <c r="BA1208" i="2"/>
  <c r="AZ1208" i="2"/>
  <c r="AX1208" i="2"/>
  <c r="AW1208" i="2"/>
  <c r="AU1208" i="2"/>
  <c r="AT1208" i="2"/>
  <c r="AR1208" i="2"/>
  <c r="U1208" i="2"/>
  <c r="S1208" i="2"/>
  <c r="R1208" i="2"/>
  <c r="M1208" i="2"/>
  <c r="B1208" i="2"/>
  <c r="BV1207" i="2"/>
  <c r="BU1207" i="2"/>
  <c r="BS1207" i="2"/>
  <c r="BR1207" i="2"/>
  <c r="BP1207" i="2"/>
  <c r="BO1207" i="2"/>
  <c r="BM1207" i="2"/>
  <c r="BL1207" i="2"/>
  <c r="BJ1207" i="2"/>
  <c r="BI1207" i="2"/>
  <c r="BG1207" i="2"/>
  <c r="BF1207" i="2"/>
  <c r="BD1207" i="2"/>
  <c r="BC1207" i="2"/>
  <c r="BA1207" i="2"/>
  <c r="AZ1207" i="2"/>
  <c r="AX1207" i="2"/>
  <c r="AW1207" i="2"/>
  <c r="AU1207" i="2"/>
  <c r="AT1207" i="2"/>
  <c r="R1207" i="2"/>
  <c r="M1207" i="2"/>
  <c r="U1207" i="2" s="1"/>
  <c r="AR1207" i="2" s="1"/>
  <c r="B1207" i="2"/>
  <c r="BV1206" i="2"/>
  <c r="BU1206" i="2"/>
  <c r="BS1206" i="2"/>
  <c r="BR1206" i="2"/>
  <c r="BP1206" i="2"/>
  <c r="BO1206" i="2"/>
  <c r="BM1206" i="2"/>
  <c r="BL1206" i="2"/>
  <c r="BJ1206" i="2"/>
  <c r="BI1206" i="2"/>
  <c r="BG1206" i="2"/>
  <c r="BF1206" i="2"/>
  <c r="BD1206" i="2"/>
  <c r="BC1206" i="2"/>
  <c r="BA1206" i="2"/>
  <c r="AZ1206" i="2"/>
  <c r="AX1206" i="2"/>
  <c r="AW1206" i="2"/>
  <c r="AU1206" i="2"/>
  <c r="AT1206" i="2"/>
  <c r="U1206" i="2"/>
  <c r="AR1206" i="2" s="1"/>
  <c r="S1206" i="2"/>
  <c r="R1206" i="2"/>
  <c r="M1206" i="2"/>
  <c r="B1206" i="2"/>
  <c r="BV1205" i="2"/>
  <c r="BU1205" i="2"/>
  <c r="BS1205" i="2"/>
  <c r="BR1205" i="2"/>
  <c r="BP1205" i="2"/>
  <c r="BO1205" i="2"/>
  <c r="BM1205" i="2"/>
  <c r="BL1205" i="2"/>
  <c r="BJ1205" i="2"/>
  <c r="BI1205" i="2"/>
  <c r="BG1205" i="2"/>
  <c r="BF1205" i="2"/>
  <c r="BD1205" i="2"/>
  <c r="BC1205" i="2"/>
  <c r="BA1205" i="2"/>
  <c r="AZ1205" i="2"/>
  <c r="AX1205" i="2"/>
  <c r="AW1205" i="2"/>
  <c r="AU1205" i="2"/>
  <c r="AT1205" i="2"/>
  <c r="S1205" i="2"/>
  <c r="R1205" i="2"/>
  <c r="T1205" i="2" s="1"/>
  <c r="M1205" i="2"/>
  <c r="U1205" i="2" s="1"/>
  <c r="AR1205" i="2" s="1"/>
  <c r="B1205" i="2"/>
  <c r="BV1204" i="2"/>
  <c r="BU1204" i="2"/>
  <c r="BS1204" i="2"/>
  <c r="BR1204" i="2"/>
  <c r="BP1204" i="2"/>
  <c r="BO1204" i="2"/>
  <c r="BM1204" i="2"/>
  <c r="BL1204" i="2"/>
  <c r="BJ1204" i="2"/>
  <c r="BI1204" i="2"/>
  <c r="BG1204" i="2"/>
  <c r="BF1204" i="2"/>
  <c r="BD1204" i="2"/>
  <c r="BC1204" i="2"/>
  <c r="BA1204" i="2"/>
  <c r="AZ1204" i="2"/>
  <c r="AX1204" i="2"/>
  <c r="AW1204" i="2"/>
  <c r="AU1204" i="2"/>
  <c r="AT1204" i="2"/>
  <c r="AR1204" i="2"/>
  <c r="U1204" i="2"/>
  <c r="T1204" i="2"/>
  <c r="S1204" i="2"/>
  <c r="R1204" i="2"/>
  <c r="M1204" i="2"/>
  <c r="B1204" i="2"/>
  <c r="BV1203" i="2"/>
  <c r="BU1203" i="2"/>
  <c r="BS1203" i="2"/>
  <c r="BR1203" i="2"/>
  <c r="BP1203" i="2"/>
  <c r="BO1203" i="2"/>
  <c r="BM1203" i="2"/>
  <c r="BL1203" i="2"/>
  <c r="BJ1203" i="2"/>
  <c r="BI1203" i="2"/>
  <c r="BG1203" i="2"/>
  <c r="BF1203" i="2"/>
  <c r="BD1203" i="2"/>
  <c r="BC1203" i="2"/>
  <c r="BA1203" i="2"/>
  <c r="AZ1203" i="2"/>
  <c r="AX1203" i="2"/>
  <c r="AW1203" i="2"/>
  <c r="AU1203" i="2"/>
  <c r="AT1203" i="2"/>
  <c r="R1203" i="2"/>
  <c r="M1203" i="2"/>
  <c r="U1203" i="2" s="1"/>
  <c r="AR1203" i="2" s="1"/>
  <c r="B1203" i="2"/>
  <c r="BV1202" i="2"/>
  <c r="BU1202" i="2"/>
  <c r="BS1202" i="2"/>
  <c r="BR1202" i="2"/>
  <c r="BP1202" i="2"/>
  <c r="BO1202" i="2"/>
  <c r="BM1202" i="2"/>
  <c r="BL1202" i="2"/>
  <c r="BJ1202" i="2"/>
  <c r="BI1202" i="2"/>
  <c r="BG1202" i="2"/>
  <c r="BF1202" i="2"/>
  <c r="BD1202" i="2"/>
  <c r="BC1202" i="2"/>
  <c r="BA1202" i="2"/>
  <c r="AZ1202" i="2"/>
  <c r="AX1202" i="2"/>
  <c r="AW1202" i="2"/>
  <c r="AU1202" i="2"/>
  <c r="AT1202" i="2"/>
  <c r="U1202" i="2"/>
  <c r="AR1202" i="2" s="1"/>
  <c r="T1202" i="2"/>
  <c r="S1202" i="2"/>
  <c r="R1202" i="2"/>
  <c r="M1202" i="2"/>
  <c r="B1202" i="2"/>
  <c r="BV1201" i="2"/>
  <c r="BU1201" i="2"/>
  <c r="BS1201" i="2"/>
  <c r="BR1201" i="2"/>
  <c r="BP1201" i="2"/>
  <c r="BO1201" i="2"/>
  <c r="BM1201" i="2"/>
  <c r="BL1201" i="2"/>
  <c r="BJ1201" i="2"/>
  <c r="BI1201" i="2"/>
  <c r="BG1201" i="2"/>
  <c r="BF1201" i="2"/>
  <c r="BD1201" i="2"/>
  <c r="BC1201" i="2"/>
  <c r="BA1201" i="2"/>
  <c r="AZ1201" i="2"/>
  <c r="AX1201" i="2"/>
  <c r="AW1201" i="2"/>
  <c r="AU1201" i="2"/>
  <c r="AT1201" i="2"/>
  <c r="S1201" i="2"/>
  <c r="R1201" i="2"/>
  <c r="T1201" i="2" s="1"/>
  <c r="M1201" i="2"/>
  <c r="U1201" i="2" s="1"/>
  <c r="AR1201" i="2" s="1"/>
  <c r="B1201" i="2"/>
  <c r="BV1200" i="2"/>
  <c r="BU1200" i="2"/>
  <c r="BS1200" i="2"/>
  <c r="BR1200" i="2"/>
  <c r="BP1200" i="2"/>
  <c r="BO1200" i="2"/>
  <c r="BM1200" i="2"/>
  <c r="BL1200" i="2"/>
  <c r="BJ1200" i="2"/>
  <c r="BI1200" i="2"/>
  <c r="BG1200" i="2"/>
  <c r="BF1200" i="2"/>
  <c r="BD1200" i="2"/>
  <c r="BC1200" i="2"/>
  <c r="BA1200" i="2"/>
  <c r="AZ1200" i="2"/>
  <c r="AX1200" i="2"/>
  <c r="AW1200" i="2"/>
  <c r="AU1200" i="2"/>
  <c r="AT1200" i="2"/>
  <c r="AR1200" i="2"/>
  <c r="U1200" i="2"/>
  <c r="T1200" i="2"/>
  <c r="S1200" i="2"/>
  <c r="R1200" i="2"/>
  <c r="M1200" i="2"/>
  <c r="B1200" i="2"/>
  <c r="BV1199" i="2"/>
  <c r="BU1199" i="2"/>
  <c r="BS1199" i="2"/>
  <c r="BR1199" i="2"/>
  <c r="BP1199" i="2"/>
  <c r="BO1199" i="2"/>
  <c r="BM1199" i="2"/>
  <c r="BL1199" i="2"/>
  <c r="BJ1199" i="2"/>
  <c r="BI1199" i="2"/>
  <c r="BG1199" i="2"/>
  <c r="BF1199" i="2"/>
  <c r="BD1199" i="2"/>
  <c r="BC1199" i="2"/>
  <c r="BA1199" i="2"/>
  <c r="AZ1199" i="2"/>
  <c r="AX1199" i="2"/>
  <c r="AW1199" i="2"/>
  <c r="AU1199" i="2"/>
  <c r="AT1199" i="2"/>
  <c r="R1199" i="2"/>
  <c r="M1199" i="2"/>
  <c r="U1199" i="2" s="1"/>
  <c r="AR1199" i="2" s="1"/>
  <c r="B1199" i="2"/>
  <c r="BV1198" i="2"/>
  <c r="BU1198" i="2"/>
  <c r="BS1198" i="2"/>
  <c r="BR1198" i="2"/>
  <c r="BP1198" i="2"/>
  <c r="BO1198" i="2"/>
  <c r="BM1198" i="2"/>
  <c r="BL1198" i="2"/>
  <c r="BJ1198" i="2"/>
  <c r="BI1198" i="2"/>
  <c r="BG1198" i="2"/>
  <c r="BF1198" i="2"/>
  <c r="BD1198" i="2"/>
  <c r="BC1198" i="2"/>
  <c r="BA1198" i="2"/>
  <c r="AZ1198" i="2"/>
  <c r="AX1198" i="2"/>
  <c r="AW1198" i="2"/>
  <c r="AU1198" i="2"/>
  <c r="AT1198" i="2"/>
  <c r="U1198" i="2"/>
  <c r="AR1198" i="2" s="1"/>
  <c r="S1198" i="2"/>
  <c r="R1198" i="2"/>
  <c r="M1198" i="2"/>
  <c r="B1198" i="2"/>
  <c r="BV1197" i="2"/>
  <c r="BU1197" i="2"/>
  <c r="BS1197" i="2"/>
  <c r="BR1197" i="2"/>
  <c r="BP1197" i="2"/>
  <c r="BO1197" i="2"/>
  <c r="BM1197" i="2"/>
  <c r="BL1197" i="2"/>
  <c r="BJ1197" i="2"/>
  <c r="BI1197" i="2"/>
  <c r="BG1197" i="2"/>
  <c r="BF1197" i="2"/>
  <c r="BD1197" i="2"/>
  <c r="BC1197" i="2"/>
  <c r="BA1197" i="2"/>
  <c r="AZ1197" i="2"/>
  <c r="AX1197" i="2"/>
  <c r="AW1197" i="2"/>
  <c r="AU1197" i="2"/>
  <c r="AT1197" i="2"/>
  <c r="S1197" i="2"/>
  <c r="R1197" i="2"/>
  <c r="M1197" i="2"/>
  <c r="U1197" i="2" s="1"/>
  <c r="AR1197" i="2" s="1"/>
  <c r="B1197" i="2"/>
  <c r="BV1196" i="2"/>
  <c r="BU1196" i="2"/>
  <c r="BS1196" i="2"/>
  <c r="BR1196" i="2"/>
  <c r="BP1196" i="2"/>
  <c r="BO1196" i="2"/>
  <c r="BM1196" i="2"/>
  <c r="BL1196" i="2"/>
  <c r="BJ1196" i="2"/>
  <c r="BI1196" i="2"/>
  <c r="BG1196" i="2"/>
  <c r="BF1196" i="2"/>
  <c r="BD1196" i="2"/>
  <c r="BC1196" i="2"/>
  <c r="BA1196" i="2"/>
  <c r="AZ1196" i="2"/>
  <c r="AX1196" i="2"/>
  <c r="AW1196" i="2"/>
  <c r="AU1196" i="2"/>
  <c r="AT1196" i="2"/>
  <c r="AR1196" i="2"/>
  <c r="U1196" i="2"/>
  <c r="S1196" i="2"/>
  <c r="R1196" i="2"/>
  <c r="M1196" i="2"/>
  <c r="B1196" i="2"/>
  <c r="BV1195" i="2"/>
  <c r="BU1195" i="2"/>
  <c r="BS1195" i="2"/>
  <c r="BR1195" i="2"/>
  <c r="BP1195" i="2"/>
  <c r="BO1195" i="2"/>
  <c r="BM1195" i="2"/>
  <c r="BL1195" i="2"/>
  <c r="BJ1195" i="2"/>
  <c r="BI1195" i="2"/>
  <c r="BG1195" i="2"/>
  <c r="BF1195" i="2"/>
  <c r="BD1195" i="2"/>
  <c r="BC1195" i="2"/>
  <c r="BA1195" i="2"/>
  <c r="AZ1195" i="2"/>
  <c r="AX1195" i="2"/>
  <c r="AW1195" i="2"/>
  <c r="AU1195" i="2"/>
  <c r="AT1195" i="2"/>
  <c r="R1195" i="2"/>
  <c r="M1195" i="2"/>
  <c r="U1195" i="2" s="1"/>
  <c r="AR1195" i="2" s="1"/>
  <c r="B1195" i="2"/>
  <c r="BV1194" i="2"/>
  <c r="BU1194" i="2"/>
  <c r="BS1194" i="2"/>
  <c r="BR1194" i="2"/>
  <c r="BP1194" i="2"/>
  <c r="BO1194" i="2"/>
  <c r="BM1194" i="2"/>
  <c r="BL1194" i="2"/>
  <c r="BJ1194" i="2"/>
  <c r="BI1194" i="2"/>
  <c r="BG1194" i="2"/>
  <c r="BF1194" i="2"/>
  <c r="BD1194" i="2"/>
  <c r="BC1194" i="2"/>
  <c r="BA1194" i="2"/>
  <c r="AZ1194" i="2"/>
  <c r="AX1194" i="2"/>
  <c r="AW1194" i="2"/>
  <c r="AU1194" i="2"/>
  <c r="AT1194" i="2"/>
  <c r="U1194" i="2"/>
  <c r="AR1194" i="2" s="1"/>
  <c r="S1194" i="2"/>
  <c r="R1194" i="2"/>
  <c r="M1194" i="2"/>
  <c r="B1194" i="2"/>
  <c r="BV1193" i="2"/>
  <c r="BU1193" i="2"/>
  <c r="BS1193" i="2"/>
  <c r="BR1193" i="2"/>
  <c r="BP1193" i="2"/>
  <c r="BO1193" i="2"/>
  <c r="BM1193" i="2"/>
  <c r="BL1193" i="2"/>
  <c r="BJ1193" i="2"/>
  <c r="BI1193" i="2"/>
  <c r="BG1193" i="2"/>
  <c r="BF1193" i="2"/>
  <c r="BD1193" i="2"/>
  <c r="BC1193" i="2"/>
  <c r="BA1193" i="2"/>
  <c r="AZ1193" i="2"/>
  <c r="AX1193" i="2"/>
  <c r="AW1193" i="2"/>
  <c r="AU1193" i="2"/>
  <c r="AT1193" i="2"/>
  <c r="S1193" i="2"/>
  <c r="R1193" i="2"/>
  <c r="M1193" i="2"/>
  <c r="U1193" i="2" s="1"/>
  <c r="AR1193" i="2" s="1"/>
  <c r="B1193" i="2"/>
  <c r="BV1192" i="2"/>
  <c r="BU1192" i="2"/>
  <c r="BS1192" i="2"/>
  <c r="BR1192" i="2"/>
  <c r="BP1192" i="2"/>
  <c r="BO1192" i="2"/>
  <c r="BM1192" i="2"/>
  <c r="BL1192" i="2"/>
  <c r="BJ1192" i="2"/>
  <c r="BI1192" i="2"/>
  <c r="BG1192" i="2"/>
  <c r="BF1192" i="2"/>
  <c r="BD1192" i="2"/>
  <c r="BC1192" i="2"/>
  <c r="BA1192" i="2"/>
  <c r="AZ1192" i="2"/>
  <c r="AX1192" i="2"/>
  <c r="AW1192" i="2"/>
  <c r="AU1192" i="2"/>
  <c r="AT1192" i="2"/>
  <c r="AR1192" i="2"/>
  <c r="U1192" i="2"/>
  <c r="S1192" i="2"/>
  <c r="R1192" i="2"/>
  <c r="M1192" i="2"/>
  <c r="B1192" i="2"/>
  <c r="BV1191" i="2"/>
  <c r="BU1191" i="2"/>
  <c r="BS1191" i="2"/>
  <c r="BR1191" i="2"/>
  <c r="BP1191" i="2"/>
  <c r="BO1191" i="2"/>
  <c r="BM1191" i="2"/>
  <c r="BL1191" i="2"/>
  <c r="BJ1191" i="2"/>
  <c r="BI1191" i="2"/>
  <c r="BG1191" i="2"/>
  <c r="BF1191" i="2"/>
  <c r="BD1191" i="2"/>
  <c r="BC1191" i="2"/>
  <c r="BA1191" i="2"/>
  <c r="AZ1191" i="2"/>
  <c r="AX1191" i="2"/>
  <c r="AW1191" i="2"/>
  <c r="AU1191" i="2"/>
  <c r="AT1191" i="2"/>
  <c r="R1191" i="2"/>
  <c r="M1191" i="2"/>
  <c r="U1191" i="2" s="1"/>
  <c r="AR1191" i="2" s="1"/>
  <c r="B1191" i="2"/>
  <c r="BV1190" i="2"/>
  <c r="BU1190" i="2"/>
  <c r="BS1190" i="2"/>
  <c r="BR1190" i="2"/>
  <c r="BP1190" i="2"/>
  <c r="BO1190" i="2"/>
  <c r="BM1190" i="2"/>
  <c r="BL1190" i="2"/>
  <c r="BJ1190" i="2"/>
  <c r="BI1190" i="2"/>
  <c r="BG1190" i="2"/>
  <c r="BF1190" i="2"/>
  <c r="BD1190" i="2"/>
  <c r="BC1190" i="2"/>
  <c r="BA1190" i="2"/>
  <c r="AZ1190" i="2"/>
  <c r="AX1190" i="2"/>
  <c r="AW1190" i="2"/>
  <c r="AU1190" i="2"/>
  <c r="AT1190" i="2"/>
  <c r="U1190" i="2"/>
  <c r="AR1190" i="2" s="1"/>
  <c r="S1190" i="2"/>
  <c r="R1190" i="2"/>
  <c r="M1190" i="2"/>
  <c r="B1190" i="2"/>
  <c r="BV1189" i="2"/>
  <c r="BU1189" i="2"/>
  <c r="BS1189" i="2"/>
  <c r="BR1189" i="2"/>
  <c r="BP1189" i="2"/>
  <c r="BO1189" i="2"/>
  <c r="BM1189" i="2"/>
  <c r="BL1189" i="2"/>
  <c r="BJ1189" i="2"/>
  <c r="BI1189" i="2"/>
  <c r="BG1189" i="2"/>
  <c r="BF1189" i="2"/>
  <c r="BD1189" i="2"/>
  <c r="BC1189" i="2"/>
  <c r="BA1189" i="2"/>
  <c r="AZ1189" i="2"/>
  <c r="AX1189" i="2"/>
  <c r="AW1189" i="2"/>
  <c r="AU1189" i="2"/>
  <c r="AT1189" i="2"/>
  <c r="S1189" i="2"/>
  <c r="R1189" i="2"/>
  <c r="M1189" i="2"/>
  <c r="U1189" i="2" s="1"/>
  <c r="AR1189" i="2" s="1"/>
  <c r="B1189" i="2"/>
  <c r="BV1188" i="2"/>
  <c r="BU1188" i="2"/>
  <c r="BS1188" i="2"/>
  <c r="BR1188" i="2"/>
  <c r="BP1188" i="2"/>
  <c r="BO1188" i="2"/>
  <c r="BM1188" i="2"/>
  <c r="BL1188" i="2"/>
  <c r="BJ1188" i="2"/>
  <c r="BI1188" i="2"/>
  <c r="BG1188" i="2"/>
  <c r="BF1188" i="2"/>
  <c r="BD1188" i="2"/>
  <c r="BC1188" i="2"/>
  <c r="BA1188" i="2"/>
  <c r="AZ1188" i="2"/>
  <c r="AX1188" i="2"/>
  <c r="AW1188" i="2"/>
  <c r="AU1188" i="2"/>
  <c r="AT1188" i="2"/>
  <c r="AR1188" i="2"/>
  <c r="U1188" i="2"/>
  <c r="S1188" i="2"/>
  <c r="R1188" i="2"/>
  <c r="M1188" i="2"/>
  <c r="B1188" i="2"/>
  <c r="BV1187" i="2"/>
  <c r="BU1187" i="2"/>
  <c r="BS1187" i="2"/>
  <c r="BR1187" i="2"/>
  <c r="BP1187" i="2"/>
  <c r="BO1187" i="2"/>
  <c r="BM1187" i="2"/>
  <c r="BL1187" i="2"/>
  <c r="BJ1187" i="2"/>
  <c r="BI1187" i="2"/>
  <c r="BG1187" i="2"/>
  <c r="BF1187" i="2"/>
  <c r="BD1187" i="2"/>
  <c r="BC1187" i="2"/>
  <c r="BA1187" i="2"/>
  <c r="AZ1187" i="2"/>
  <c r="AX1187" i="2"/>
  <c r="AW1187" i="2"/>
  <c r="AU1187" i="2"/>
  <c r="AT1187" i="2"/>
  <c r="R1187" i="2"/>
  <c r="M1187" i="2"/>
  <c r="U1187" i="2" s="1"/>
  <c r="AR1187" i="2" s="1"/>
  <c r="B1187" i="2"/>
  <c r="BV1186" i="2"/>
  <c r="BU1186" i="2"/>
  <c r="BS1186" i="2"/>
  <c r="BR1186" i="2"/>
  <c r="BP1186" i="2"/>
  <c r="BO1186" i="2"/>
  <c r="BM1186" i="2"/>
  <c r="BL1186" i="2"/>
  <c r="BJ1186" i="2"/>
  <c r="BI1186" i="2"/>
  <c r="BG1186" i="2"/>
  <c r="BF1186" i="2"/>
  <c r="BD1186" i="2"/>
  <c r="BC1186" i="2"/>
  <c r="BA1186" i="2"/>
  <c r="AZ1186" i="2"/>
  <c r="AX1186" i="2"/>
  <c r="AW1186" i="2"/>
  <c r="AU1186" i="2"/>
  <c r="AT1186" i="2"/>
  <c r="U1186" i="2"/>
  <c r="AR1186" i="2" s="1"/>
  <c r="S1186" i="2"/>
  <c r="R1186" i="2"/>
  <c r="M1186" i="2"/>
  <c r="B1186" i="2"/>
  <c r="BV1185" i="2"/>
  <c r="BU1185" i="2"/>
  <c r="BS1185" i="2"/>
  <c r="BR1185" i="2"/>
  <c r="BP1185" i="2"/>
  <c r="BO1185" i="2"/>
  <c r="BM1185" i="2"/>
  <c r="BL1185" i="2"/>
  <c r="BJ1185" i="2"/>
  <c r="BI1185" i="2"/>
  <c r="BG1185" i="2"/>
  <c r="BF1185" i="2"/>
  <c r="BD1185" i="2"/>
  <c r="BC1185" i="2"/>
  <c r="BA1185" i="2"/>
  <c r="AZ1185" i="2"/>
  <c r="AX1185" i="2"/>
  <c r="AW1185" i="2"/>
  <c r="AU1185" i="2"/>
  <c r="AT1185" i="2"/>
  <c r="S1185" i="2"/>
  <c r="R1185" i="2"/>
  <c r="M1185" i="2"/>
  <c r="U1185" i="2" s="1"/>
  <c r="AR1185" i="2" s="1"/>
  <c r="B1185" i="2"/>
  <c r="BV1184" i="2"/>
  <c r="BU1184" i="2"/>
  <c r="BS1184" i="2"/>
  <c r="BR1184" i="2"/>
  <c r="BP1184" i="2"/>
  <c r="BO1184" i="2"/>
  <c r="BM1184" i="2"/>
  <c r="BL1184" i="2"/>
  <c r="BJ1184" i="2"/>
  <c r="BI1184" i="2"/>
  <c r="BG1184" i="2"/>
  <c r="BF1184" i="2"/>
  <c r="BD1184" i="2"/>
  <c r="BC1184" i="2"/>
  <c r="BA1184" i="2"/>
  <c r="AZ1184" i="2"/>
  <c r="AW1184" i="2"/>
  <c r="AU1184" i="2"/>
  <c r="AT1184" i="2"/>
  <c r="AR1184" i="2"/>
  <c r="U1184" i="2"/>
  <c r="R1184" i="2"/>
  <c r="M1184" i="2"/>
  <c r="L1184" i="2"/>
  <c r="B1184" i="2"/>
  <c r="BV1183" i="2"/>
  <c r="BU1183" i="2"/>
  <c r="BS1183" i="2"/>
  <c r="BR1183" i="2"/>
  <c r="BP1183" i="2"/>
  <c r="BO1183" i="2"/>
  <c r="BM1183" i="2"/>
  <c r="BL1183" i="2"/>
  <c r="BJ1183" i="2"/>
  <c r="BI1183" i="2"/>
  <c r="BF1183" i="2"/>
  <c r="BD1183" i="2"/>
  <c r="BC1183" i="2"/>
  <c r="BA1183" i="2"/>
  <c r="AZ1183" i="2"/>
  <c r="AX1183" i="2"/>
  <c r="AW1183" i="2"/>
  <c r="AU1183" i="2"/>
  <c r="AT1183" i="2"/>
  <c r="R1183" i="2"/>
  <c r="M1183" i="2"/>
  <c r="U1183" i="2" s="1"/>
  <c r="AR1183" i="2" s="1"/>
  <c r="L1183" i="2"/>
  <c r="B1183" i="2"/>
  <c r="BV1182" i="2"/>
  <c r="BU1182" i="2"/>
  <c r="BS1182" i="2"/>
  <c r="BR1182" i="2"/>
  <c r="BP1182" i="2"/>
  <c r="BO1182" i="2"/>
  <c r="BM1182" i="2"/>
  <c r="BL1182" i="2"/>
  <c r="BJ1182" i="2"/>
  <c r="BI1182" i="2"/>
  <c r="BG1182" i="2"/>
  <c r="BF1182" i="2"/>
  <c r="BA1182" i="2"/>
  <c r="AZ1182" i="2"/>
  <c r="AX1182" i="2"/>
  <c r="AW1182" i="2"/>
  <c r="AU1182" i="2"/>
  <c r="AT1182" i="2"/>
  <c r="M1182" i="2"/>
  <c r="U1182" i="2" s="1"/>
  <c r="AR1182" i="2" s="1"/>
  <c r="L1182" i="2"/>
  <c r="R1182" i="2" s="1"/>
  <c r="B1182" i="2"/>
  <c r="BV1181" i="2"/>
  <c r="BU1181" i="2"/>
  <c r="BS1181" i="2"/>
  <c r="BR1181" i="2"/>
  <c r="BP1181" i="2"/>
  <c r="BO1181" i="2"/>
  <c r="BM1181" i="2"/>
  <c r="BL1181" i="2"/>
  <c r="BJ1181" i="2"/>
  <c r="BI1181" i="2"/>
  <c r="BG1181" i="2"/>
  <c r="BF1181" i="2"/>
  <c r="BD1181" i="2"/>
  <c r="BC1181" i="2"/>
  <c r="AZ1181" i="2"/>
  <c r="AX1181" i="2"/>
  <c r="AW1181" i="2"/>
  <c r="AU1181" i="2"/>
  <c r="AT1181" i="2"/>
  <c r="AR1181" i="2"/>
  <c r="U1181" i="2"/>
  <c r="R1181" i="2"/>
  <c r="M1181" i="2"/>
  <c r="L1181" i="2"/>
  <c r="B1181" i="2"/>
  <c r="BV1180" i="2"/>
  <c r="BU1180" i="2"/>
  <c r="BS1180" i="2"/>
  <c r="BR1180" i="2"/>
  <c r="BP1180" i="2"/>
  <c r="BO1180" i="2"/>
  <c r="BM1180" i="2"/>
  <c r="BL1180" i="2"/>
  <c r="BJ1180" i="2"/>
  <c r="BI1180" i="2"/>
  <c r="BG1180" i="2"/>
  <c r="BF1180" i="2"/>
  <c r="BD1180" i="2"/>
  <c r="BC1180" i="2"/>
  <c r="BA1180" i="2"/>
  <c r="AZ1180" i="2"/>
  <c r="AU1180" i="2"/>
  <c r="AT1180" i="2"/>
  <c r="R1180" i="2"/>
  <c r="AW1180" i="2" s="1"/>
  <c r="M1180" i="2"/>
  <c r="U1180" i="2" s="1"/>
  <c r="AR1180" i="2" s="1"/>
  <c r="L1180" i="2"/>
  <c r="B1180" i="2"/>
  <c r="BV1179" i="2"/>
  <c r="BU1179" i="2"/>
  <c r="BS1179" i="2"/>
  <c r="BR1179" i="2"/>
  <c r="BP1179" i="2"/>
  <c r="BO1179" i="2"/>
  <c r="BM1179" i="2"/>
  <c r="BL1179" i="2"/>
  <c r="BJ1179" i="2"/>
  <c r="BI1179" i="2"/>
  <c r="BG1179" i="2"/>
  <c r="BF1179" i="2"/>
  <c r="BD1179" i="2"/>
  <c r="BC1179" i="2"/>
  <c r="BA1179" i="2"/>
  <c r="AZ1179" i="2"/>
  <c r="AU1179" i="2"/>
  <c r="AT1179" i="2"/>
  <c r="M1179" i="2"/>
  <c r="U1179" i="2" s="1"/>
  <c r="AR1179" i="2" s="1"/>
  <c r="L1179" i="2"/>
  <c r="R1179" i="2" s="1"/>
  <c r="B1179" i="2"/>
  <c r="BV1178" i="2"/>
  <c r="BU1178" i="2"/>
  <c r="BS1178" i="2"/>
  <c r="BR1178" i="2"/>
  <c r="BP1178" i="2"/>
  <c r="BO1178" i="2"/>
  <c r="BM1178" i="2"/>
  <c r="BL1178" i="2"/>
  <c r="BJ1178" i="2"/>
  <c r="BI1178" i="2"/>
  <c r="BF1178" i="2"/>
  <c r="BD1178" i="2"/>
  <c r="BC1178" i="2"/>
  <c r="BA1178" i="2"/>
  <c r="AZ1178" i="2"/>
  <c r="AX1178" i="2"/>
  <c r="AW1178" i="2"/>
  <c r="AU1178" i="2"/>
  <c r="AT1178" i="2"/>
  <c r="U1178" i="2"/>
  <c r="AR1178" i="2" s="1"/>
  <c r="R1178" i="2"/>
  <c r="M1178" i="2"/>
  <c r="L1178" i="2"/>
  <c r="B1178" i="2"/>
  <c r="BV1177" i="2"/>
  <c r="BU1177" i="2"/>
  <c r="BS1177" i="2"/>
  <c r="BR1177" i="2"/>
  <c r="BP1177" i="2"/>
  <c r="BO1177" i="2"/>
  <c r="BM1177" i="2"/>
  <c r="BL1177" i="2"/>
  <c r="BG1177" i="2"/>
  <c r="BF1177" i="2"/>
  <c r="BD1177" i="2"/>
  <c r="BC1177" i="2"/>
  <c r="BA1177" i="2"/>
  <c r="AZ1177" i="2"/>
  <c r="AX1177" i="2"/>
  <c r="AW1177" i="2"/>
  <c r="AU1177" i="2"/>
  <c r="AT1177" i="2"/>
  <c r="R1177" i="2"/>
  <c r="M1177" i="2"/>
  <c r="U1177" i="2" s="1"/>
  <c r="AR1177" i="2" s="1"/>
  <c r="L1177" i="2"/>
  <c r="B1177" i="2"/>
  <c r="BV1176" i="2"/>
  <c r="BU1176" i="2"/>
  <c r="BS1176" i="2"/>
  <c r="BR1176" i="2"/>
  <c r="BP1176" i="2"/>
  <c r="BO1176" i="2"/>
  <c r="BM1176" i="2"/>
  <c r="BL1176" i="2"/>
  <c r="BJ1176" i="2"/>
  <c r="BI1176" i="2"/>
  <c r="BG1176" i="2"/>
  <c r="BF1176" i="2"/>
  <c r="BD1176" i="2"/>
  <c r="BC1176" i="2"/>
  <c r="AX1176" i="2"/>
  <c r="AW1176" i="2"/>
  <c r="AU1176" i="2"/>
  <c r="AT1176" i="2"/>
  <c r="AR1176" i="2"/>
  <c r="M1176" i="2"/>
  <c r="U1176" i="2" s="1"/>
  <c r="L1176" i="2"/>
  <c r="R1176" i="2" s="1"/>
  <c r="B1176" i="2"/>
  <c r="BV1175" i="2"/>
  <c r="BU1175" i="2"/>
  <c r="BS1175" i="2"/>
  <c r="BR1175" i="2"/>
  <c r="BP1175" i="2"/>
  <c r="BO1175" i="2"/>
  <c r="BM1175" i="2"/>
  <c r="BL1175" i="2"/>
  <c r="BJ1175" i="2"/>
  <c r="BI1175" i="2"/>
  <c r="BG1175" i="2"/>
  <c r="BF1175" i="2"/>
  <c r="BA1175" i="2"/>
  <c r="AZ1175" i="2"/>
  <c r="AX1175" i="2"/>
  <c r="AW1175" i="2"/>
  <c r="AU1175" i="2"/>
  <c r="AT1175" i="2"/>
  <c r="U1175" i="2"/>
  <c r="AR1175" i="2" s="1"/>
  <c r="R1175" i="2"/>
  <c r="BC1175" i="2" s="1"/>
  <c r="M1175" i="2"/>
  <c r="L1175" i="2"/>
  <c r="B1175" i="2"/>
  <c r="BV1174" i="2"/>
  <c r="BU1174" i="2"/>
  <c r="BS1174" i="2"/>
  <c r="BR1174" i="2"/>
  <c r="BP1174" i="2"/>
  <c r="BO1174" i="2"/>
  <c r="BM1174" i="2"/>
  <c r="BL1174" i="2"/>
  <c r="BJ1174" i="2"/>
  <c r="BI1174" i="2"/>
  <c r="BG1174" i="2"/>
  <c r="BF1174" i="2"/>
  <c r="BD1174" i="2"/>
  <c r="BC1174" i="2"/>
  <c r="BA1174" i="2"/>
  <c r="AZ1174" i="2"/>
  <c r="AX1174" i="2"/>
  <c r="AW1174" i="2"/>
  <c r="AT1174" i="2"/>
  <c r="R1174" i="2"/>
  <c r="M1174" i="2"/>
  <c r="U1174" i="2" s="1"/>
  <c r="AR1174" i="2" s="1"/>
  <c r="L1174" i="2"/>
  <c r="B1174" i="2"/>
  <c r="BV1173" i="2"/>
  <c r="BU1173" i="2"/>
  <c r="BS1173" i="2"/>
  <c r="BR1173" i="2"/>
  <c r="BP1173" i="2"/>
  <c r="BO1173" i="2"/>
  <c r="BM1173" i="2"/>
  <c r="BL1173" i="2"/>
  <c r="BJ1173" i="2"/>
  <c r="BI1173" i="2"/>
  <c r="BG1173" i="2"/>
  <c r="BF1173" i="2"/>
  <c r="BD1173" i="2"/>
  <c r="BC1173" i="2"/>
  <c r="BA1173" i="2"/>
  <c r="AZ1173" i="2"/>
  <c r="AU1173" i="2"/>
  <c r="AT1173" i="2"/>
  <c r="AR1173" i="2"/>
  <c r="R1173" i="2"/>
  <c r="M1173" i="2"/>
  <c r="U1173" i="2" s="1"/>
  <c r="L1173" i="2"/>
  <c r="B1173" i="2"/>
  <c r="BV1172" i="2"/>
  <c r="BU1172" i="2"/>
  <c r="BS1172" i="2"/>
  <c r="BR1172" i="2"/>
  <c r="BP1172" i="2"/>
  <c r="BO1172" i="2"/>
  <c r="BM1172" i="2"/>
  <c r="BL1172" i="2"/>
  <c r="BJ1172" i="2"/>
  <c r="BI1172" i="2"/>
  <c r="BF1172" i="2"/>
  <c r="BD1172" i="2"/>
  <c r="BC1172" i="2"/>
  <c r="BA1172" i="2"/>
  <c r="AZ1172" i="2"/>
  <c r="AX1172" i="2"/>
  <c r="AW1172" i="2"/>
  <c r="AU1172" i="2"/>
  <c r="AT1172" i="2"/>
  <c r="AR1172" i="2"/>
  <c r="U1172" i="2"/>
  <c r="R1172" i="2"/>
  <c r="M1172" i="2"/>
  <c r="L1172" i="2"/>
  <c r="B1172" i="2"/>
  <c r="BV1171" i="2"/>
  <c r="BU1171" i="2"/>
  <c r="BS1171" i="2"/>
  <c r="BR1171" i="2"/>
  <c r="BP1171" i="2"/>
  <c r="BO1171" i="2"/>
  <c r="BM1171" i="2"/>
  <c r="BL1171" i="2"/>
  <c r="BJ1171" i="2"/>
  <c r="BI1171" i="2"/>
  <c r="BG1171" i="2"/>
  <c r="BF1171" i="2"/>
  <c r="BA1171" i="2"/>
  <c r="AZ1171" i="2"/>
  <c r="AX1171" i="2"/>
  <c r="AW1171" i="2"/>
  <c r="AU1171" i="2"/>
  <c r="AT1171" i="2"/>
  <c r="R1171" i="2"/>
  <c r="M1171" i="2"/>
  <c r="U1171" i="2" s="1"/>
  <c r="AR1171" i="2" s="1"/>
  <c r="L1171" i="2"/>
  <c r="B1171" i="2"/>
  <c r="BV1170" i="2"/>
  <c r="BU1170" i="2"/>
  <c r="BS1170" i="2"/>
  <c r="BR1170" i="2"/>
  <c r="BP1170" i="2"/>
  <c r="BO1170" i="2"/>
  <c r="BM1170" i="2"/>
  <c r="BL1170" i="2"/>
  <c r="BJ1170" i="2"/>
  <c r="BI1170" i="2"/>
  <c r="BG1170" i="2"/>
  <c r="BF1170" i="2"/>
  <c r="BD1170" i="2"/>
  <c r="BC1170" i="2"/>
  <c r="AX1170" i="2"/>
  <c r="AW1170" i="2"/>
  <c r="AU1170" i="2"/>
  <c r="AT1170" i="2"/>
  <c r="AR1170" i="2"/>
  <c r="M1170" i="2"/>
  <c r="U1170" i="2" s="1"/>
  <c r="L1170" i="2"/>
  <c r="R1170" i="2" s="1"/>
  <c r="B1170" i="2"/>
  <c r="BV1169" i="2"/>
  <c r="BU1169" i="2"/>
  <c r="BS1169" i="2"/>
  <c r="BR1169" i="2"/>
  <c r="BP1169" i="2"/>
  <c r="BO1169" i="2"/>
  <c r="BM1169" i="2"/>
  <c r="BL1169" i="2"/>
  <c r="BJ1169" i="2"/>
  <c r="BI1169" i="2"/>
  <c r="BG1169" i="2"/>
  <c r="BF1169" i="2"/>
  <c r="BD1169" i="2"/>
  <c r="BC1169" i="2"/>
  <c r="BA1169" i="2"/>
  <c r="AZ1169" i="2"/>
  <c r="AW1169" i="2"/>
  <c r="AU1169" i="2"/>
  <c r="AT1169" i="2"/>
  <c r="AR1169" i="2"/>
  <c r="U1169" i="2"/>
  <c r="R1169" i="2"/>
  <c r="M1169" i="2"/>
  <c r="L1169" i="2"/>
  <c r="B1169" i="2"/>
  <c r="BV1168" i="2"/>
  <c r="BU1168" i="2"/>
  <c r="BS1168" i="2"/>
  <c r="BR1168" i="2"/>
  <c r="BP1168" i="2"/>
  <c r="BO1168" i="2"/>
  <c r="BM1168" i="2"/>
  <c r="BL1168" i="2"/>
  <c r="BJ1168" i="2"/>
  <c r="BI1168" i="2"/>
  <c r="BG1168" i="2"/>
  <c r="BF1168" i="2"/>
  <c r="BD1168" i="2"/>
  <c r="BC1168" i="2"/>
  <c r="BA1168" i="2"/>
  <c r="AZ1168" i="2"/>
  <c r="AU1168" i="2"/>
  <c r="AT1168" i="2"/>
  <c r="R1168" i="2"/>
  <c r="AW1168" i="2" s="1"/>
  <c r="M1168" i="2"/>
  <c r="U1168" i="2" s="1"/>
  <c r="AR1168" i="2" s="1"/>
  <c r="L1168" i="2"/>
  <c r="B1168" i="2"/>
  <c r="BV1167" i="2"/>
  <c r="BU1167" i="2"/>
  <c r="BS1167" i="2"/>
  <c r="BR1167" i="2"/>
  <c r="BP1167" i="2"/>
  <c r="BO1167" i="2"/>
  <c r="BM1167" i="2"/>
  <c r="BL1167" i="2"/>
  <c r="BJ1167" i="2"/>
  <c r="BI1167" i="2"/>
  <c r="BD1167" i="2"/>
  <c r="BC1167" i="2"/>
  <c r="BA1167" i="2"/>
  <c r="AZ1167" i="2"/>
  <c r="AX1167" i="2"/>
  <c r="AW1167" i="2"/>
  <c r="AU1167" i="2"/>
  <c r="AT1167" i="2"/>
  <c r="U1167" i="2"/>
  <c r="AR1167" i="2" s="1"/>
  <c r="M1167" i="2"/>
  <c r="L1167" i="2"/>
  <c r="R1167" i="2" s="1"/>
  <c r="B1167" i="2"/>
  <c r="BV1166" i="2"/>
  <c r="BU1166" i="2"/>
  <c r="BS1166" i="2"/>
  <c r="BR1166" i="2"/>
  <c r="BP1166" i="2"/>
  <c r="BO1166" i="2"/>
  <c r="BM1166" i="2"/>
  <c r="BL1166" i="2"/>
  <c r="BI1166" i="2"/>
  <c r="BG1166" i="2"/>
  <c r="BF1166" i="2"/>
  <c r="BD1166" i="2"/>
  <c r="BC1166" i="2"/>
  <c r="BA1166" i="2"/>
  <c r="AZ1166" i="2"/>
  <c r="AX1166" i="2"/>
  <c r="AW1166" i="2"/>
  <c r="AU1166" i="2"/>
  <c r="AT1166" i="2"/>
  <c r="U1166" i="2"/>
  <c r="AR1166" i="2" s="1"/>
  <c r="R1166" i="2"/>
  <c r="M1166" i="2"/>
  <c r="L1166" i="2"/>
  <c r="B1166" i="2"/>
  <c r="BV1165" i="2"/>
  <c r="BU1165" i="2"/>
  <c r="BS1165" i="2"/>
  <c r="BR1165" i="2"/>
  <c r="BP1165" i="2"/>
  <c r="BO1165" i="2"/>
  <c r="BM1165" i="2"/>
  <c r="BL1165" i="2"/>
  <c r="BJ1165" i="2"/>
  <c r="BI1165" i="2"/>
  <c r="BG1165" i="2"/>
  <c r="BF1165" i="2"/>
  <c r="BD1165" i="2"/>
  <c r="BC1165" i="2"/>
  <c r="AX1165" i="2"/>
  <c r="AW1165" i="2"/>
  <c r="AU1165" i="2"/>
  <c r="AT1165" i="2"/>
  <c r="R1165" i="2"/>
  <c r="M1165" i="2"/>
  <c r="U1165" i="2" s="1"/>
  <c r="AR1165" i="2" s="1"/>
  <c r="L1165" i="2"/>
  <c r="B1165" i="2"/>
  <c r="BV1164" i="2"/>
  <c r="BU1164" i="2"/>
  <c r="BS1164" i="2"/>
  <c r="BR1164" i="2"/>
  <c r="BP1164" i="2"/>
  <c r="BO1164" i="2"/>
  <c r="BM1164" i="2"/>
  <c r="BL1164" i="2"/>
  <c r="BJ1164" i="2"/>
  <c r="BI1164" i="2"/>
  <c r="BG1164" i="2"/>
  <c r="BF1164" i="2"/>
  <c r="BA1164" i="2"/>
  <c r="AZ1164" i="2"/>
  <c r="AX1164" i="2"/>
  <c r="AW1164" i="2"/>
  <c r="AU1164" i="2"/>
  <c r="AT1164" i="2"/>
  <c r="M1164" i="2"/>
  <c r="U1164" i="2" s="1"/>
  <c r="AR1164" i="2" s="1"/>
  <c r="L1164" i="2"/>
  <c r="R1164" i="2" s="1"/>
  <c r="B1164" i="2"/>
  <c r="BV1163" i="2"/>
  <c r="BU1163" i="2"/>
  <c r="BS1163" i="2"/>
  <c r="BR1163" i="2"/>
  <c r="BP1163" i="2"/>
  <c r="BO1163" i="2"/>
  <c r="BM1163" i="2"/>
  <c r="BL1163" i="2"/>
  <c r="BJ1163" i="2"/>
  <c r="BI1163" i="2"/>
  <c r="BG1163" i="2"/>
  <c r="BF1163" i="2"/>
  <c r="BD1163" i="2"/>
  <c r="BC1163" i="2"/>
  <c r="BA1163" i="2"/>
  <c r="AZ1163" i="2"/>
  <c r="AX1163" i="2"/>
  <c r="AW1163" i="2"/>
  <c r="U1163" i="2"/>
  <c r="AR1163" i="2" s="1"/>
  <c r="R1163" i="2"/>
  <c r="AT1163" i="2" s="1"/>
  <c r="M1163" i="2"/>
  <c r="L1163" i="2"/>
  <c r="B1163" i="2"/>
  <c r="BV1162" i="2"/>
  <c r="BU1162" i="2"/>
  <c r="BS1162" i="2"/>
  <c r="BR1162" i="2"/>
  <c r="BP1162" i="2"/>
  <c r="BO1162" i="2"/>
  <c r="BM1162" i="2"/>
  <c r="BL1162" i="2"/>
  <c r="BJ1162" i="2"/>
  <c r="BI1162" i="2"/>
  <c r="BG1162" i="2"/>
  <c r="BF1162" i="2"/>
  <c r="BD1162" i="2"/>
  <c r="BC1162" i="2"/>
  <c r="BA1162" i="2"/>
  <c r="AZ1162" i="2"/>
  <c r="AU1162" i="2"/>
  <c r="AT1162" i="2"/>
  <c r="AR1162" i="2"/>
  <c r="R1162" i="2"/>
  <c r="M1162" i="2"/>
  <c r="U1162" i="2" s="1"/>
  <c r="L1162" i="2"/>
  <c r="B1162" i="2"/>
  <c r="BV1161" i="2"/>
  <c r="BU1161" i="2"/>
  <c r="BS1161" i="2"/>
  <c r="BR1161" i="2"/>
  <c r="BP1161" i="2"/>
  <c r="BO1161" i="2"/>
  <c r="BM1161" i="2"/>
  <c r="BL1161" i="2"/>
  <c r="BJ1161" i="2"/>
  <c r="BI1161" i="2"/>
  <c r="BD1161" i="2"/>
  <c r="BC1161" i="2"/>
  <c r="BA1161" i="2"/>
  <c r="AZ1161" i="2"/>
  <c r="AX1161" i="2"/>
  <c r="AW1161" i="2"/>
  <c r="AU1161" i="2"/>
  <c r="AT1161" i="2"/>
  <c r="R1161" i="2"/>
  <c r="M1161" i="2"/>
  <c r="U1161" i="2" s="1"/>
  <c r="AR1161" i="2" s="1"/>
  <c r="L1161" i="2"/>
  <c r="B1161" i="2"/>
  <c r="BV1160" i="2"/>
  <c r="BU1160" i="2"/>
  <c r="BS1160" i="2"/>
  <c r="BR1160" i="2"/>
  <c r="BP1160" i="2"/>
  <c r="BO1160" i="2"/>
  <c r="BM1160" i="2"/>
  <c r="BL1160" i="2"/>
  <c r="BJ1160" i="2"/>
  <c r="BI1160" i="2"/>
  <c r="BG1160" i="2"/>
  <c r="BF1160" i="2"/>
  <c r="BA1160" i="2"/>
  <c r="AZ1160" i="2"/>
  <c r="AX1160" i="2"/>
  <c r="AW1160" i="2"/>
  <c r="AU1160" i="2"/>
  <c r="AT1160" i="2"/>
  <c r="U1160" i="2"/>
  <c r="AR1160" i="2" s="1"/>
  <c r="R1160" i="2"/>
  <c r="BC1160" i="2" s="1"/>
  <c r="M1160" i="2"/>
  <c r="L1160" i="2"/>
  <c r="B1160" i="2"/>
  <c r="BV1159" i="2"/>
  <c r="BU1159" i="2"/>
  <c r="BS1159" i="2"/>
  <c r="BR1159" i="2"/>
  <c r="BP1159" i="2"/>
  <c r="BO1159" i="2"/>
  <c r="BM1159" i="2"/>
  <c r="BL1159" i="2"/>
  <c r="BJ1159" i="2"/>
  <c r="BI1159" i="2"/>
  <c r="BG1159" i="2"/>
  <c r="BF1159" i="2"/>
  <c r="BD1159" i="2"/>
  <c r="BC1159" i="2"/>
  <c r="AX1159" i="2"/>
  <c r="AW1159" i="2"/>
  <c r="AU1159" i="2"/>
  <c r="AT1159" i="2"/>
  <c r="R1159" i="2"/>
  <c r="M1159" i="2"/>
  <c r="U1159" i="2" s="1"/>
  <c r="AR1159" i="2" s="1"/>
  <c r="L1159" i="2"/>
  <c r="B1159" i="2"/>
  <c r="BV1158" i="2"/>
  <c r="BU1158" i="2"/>
  <c r="BS1158" i="2"/>
  <c r="BR1158" i="2"/>
  <c r="BP1158" i="2"/>
  <c r="BO1158" i="2"/>
  <c r="BM1158" i="2"/>
  <c r="BL1158" i="2"/>
  <c r="BJ1158" i="2"/>
  <c r="BI1158" i="2"/>
  <c r="BG1158" i="2"/>
  <c r="BF1158" i="2"/>
  <c r="BD1158" i="2"/>
  <c r="BC1158" i="2"/>
  <c r="BA1158" i="2"/>
  <c r="AZ1158" i="2"/>
  <c r="AU1158" i="2"/>
  <c r="AT1158" i="2"/>
  <c r="R1158" i="2"/>
  <c r="M1158" i="2"/>
  <c r="U1158" i="2" s="1"/>
  <c r="AR1158" i="2" s="1"/>
  <c r="L1158" i="2"/>
  <c r="B1158" i="2"/>
  <c r="BV1157" i="2"/>
  <c r="BU1157" i="2"/>
  <c r="BS1157" i="2"/>
  <c r="BR1157" i="2"/>
  <c r="BP1157" i="2"/>
  <c r="BO1157" i="2"/>
  <c r="BM1157" i="2"/>
  <c r="BL1157" i="2"/>
  <c r="BJ1157" i="2"/>
  <c r="BI1157" i="2"/>
  <c r="BG1157" i="2"/>
  <c r="BF1157" i="2"/>
  <c r="BD1157" i="2"/>
  <c r="BC1157" i="2"/>
  <c r="BA1157" i="2"/>
  <c r="AZ1157" i="2"/>
  <c r="AW1157" i="2"/>
  <c r="AU1157" i="2"/>
  <c r="AT1157" i="2"/>
  <c r="AR1157" i="2"/>
  <c r="U1157" i="2"/>
  <c r="R1157" i="2"/>
  <c r="M1157" i="2"/>
  <c r="L1157" i="2"/>
  <c r="B1157" i="2"/>
  <c r="BV1156" i="2"/>
  <c r="BU1156" i="2"/>
  <c r="BS1156" i="2"/>
  <c r="BR1156" i="2"/>
  <c r="BP1156" i="2"/>
  <c r="BO1156" i="2"/>
  <c r="BM1156" i="2"/>
  <c r="BL1156" i="2"/>
  <c r="BJ1156" i="2"/>
  <c r="BI1156" i="2"/>
  <c r="BF1156" i="2"/>
  <c r="BD1156" i="2"/>
  <c r="BC1156" i="2"/>
  <c r="BA1156" i="2"/>
  <c r="AZ1156" i="2"/>
  <c r="AX1156" i="2"/>
  <c r="AW1156" i="2"/>
  <c r="AU1156" i="2"/>
  <c r="AT1156" i="2"/>
  <c r="R1156" i="2"/>
  <c r="M1156" i="2"/>
  <c r="U1156" i="2" s="1"/>
  <c r="AR1156" i="2" s="1"/>
  <c r="L1156" i="2"/>
  <c r="B1156" i="2"/>
  <c r="BV1155" i="2"/>
  <c r="BU1155" i="2"/>
  <c r="BS1155" i="2"/>
  <c r="BR1155" i="2"/>
  <c r="BP1155" i="2"/>
  <c r="BO1155" i="2"/>
  <c r="BM1155" i="2"/>
  <c r="BL1155" i="2"/>
  <c r="BG1155" i="2"/>
  <c r="BF1155" i="2"/>
  <c r="BD1155" i="2"/>
  <c r="BC1155" i="2"/>
  <c r="BA1155" i="2"/>
  <c r="AZ1155" i="2"/>
  <c r="AX1155" i="2"/>
  <c r="AW1155" i="2"/>
  <c r="AU1155" i="2"/>
  <c r="AT1155" i="2"/>
  <c r="M1155" i="2"/>
  <c r="U1155" i="2" s="1"/>
  <c r="AR1155" i="2" s="1"/>
  <c r="L1155" i="2"/>
  <c r="R1155" i="2" s="1"/>
  <c r="B1155" i="2"/>
  <c r="BV1154" i="2"/>
  <c r="BU1154" i="2"/>
  <c r="BS1154" i="2"/>
  <c r="BR1154" i="2"/>
  <c r="BP1154" i="2"/>
  <c r="BO1154" i="2"/>
  <c r="BM1154" i="2"/>
  <c r="BL1154" i="2"/>
  <c r="BJ1154" i="2"/>
  <c r="BI1154" i="2"/>
  <c r="BG1154" i="2"/>
  <c r="BF1154" i="2"/>
  <c r="BD1154" i="2"/>
  <c r="BC1154" i="2"/>
  <c r="AX1154" i="2"/>
  <c r="AW1154" i="2"/>
  <c r="AU1154" i="2"/>
  <c r="AT1154" i="2"/>
  <c r="AR1154" i="2"/>
  <c r="U1154" i="2"/>
  <c r="R1154" i="2"/>
  <c r="M1154" i="2"/>
  <c r="L1154" i="2"/>
  <c r="B1154" i="2"/>
  <c r="BV1153" i="2"/>
  <c r="BU1153" i="2"/>
  <c r="BS1153" i="2"/>
  <c r="BR1153" i="2"/>
  <c r="BP1153" i="2"/>
  <c r="BO1153" i="2"/>
  <c r="BM1153" i="2"/>
  <c r="BL1153" i="2"/>
  <c r="BJ1153" i="2"/>
  <c r="BI1153" i="2"/>
  <c r="BG1153" i="2"/>
  <c r="BF1153" i="2"/>
  <c r="BA1153" i="2"/>
  <c r="AZ1153" i="2"/>
  <c r="AX1153" i="2"/>
  <c r="AW1153" i="2"/>
  <c r="AU1153" i="2"/>
  <c r="AT1153" i="2"/>
  <c r="AR1153" i="2"/>
  <c r="R1153" i="2"/>
  <c r="BC1153" i="2" s="1"/>
  <c r="M1153" i="2"/>
  <c r="U1153" i="2" s="1"/>
  <c r="L1153" i="2"/>
  <c r="B1153" i="2"/>
  <c r="BV1152" i="2"/>
  <c r="BU1152" i="2"/>
  <c r="BS1152" i="2"/>
  <c r="BR1152" i="2"/>
  <c r="BP1152" i="2"/>
  <c r="BO1152" i="2"/>
  <c r="BM1152" i="2"/>
  <c r="BL1152" i="2"/>
  <c r="BJ1152" i="2"/>
  <c r="BI1152" i="2"/>
  <c r="BG1152" i="2"/>
  <c r="BF1152" i="2"/>
  <c r="BD1152" i="2"/>
  <c r="BC1152" i="2"/>
  <c r="BA1152" i="2"/>
  <c r="AZ1152" i="2"/>
  <c r="AX1152" i="2"/>
  <c r="AW1152" i="2"/>
  <c r="AT1152" i="2"/>
  <c r="U1152" i="2"/>
  <c r="AR1152" i="2" s="1"/>
  <c r="R1152" i="2"/>
  <c r="M1152" i="2"/>
  <c r="L1152" i="2"/>
  <c r="B1152" i="2"/>
  <c r="BV1151" i="2"/>
  <c r="BU1151" i="2"/>
  <c r="BS1151" i="2"/>
  <c r="BR1151" i="2"/>
  <c r="BP1151" i="2"/>
  <c r="BO1151" i="2"/>
  <c r="BM1151" i="2"/>
  <c r="BL1151" i="2"/>
  <c r="BJ1151" i="2"/>
  <c r="BI1151" i="2"/>
  <c r="BG1151" i="2"/>
  <c r="BF1151" i="2"/>
  <c r="BD1151" i="2"/>
  <c r="BC1151" i="2"/>
  <c r="BA1151" i="2"/>
  <c r="AZ1151" i="2"/>
  <c r="AW1151" i="2"/>
  <c r="AU1151" i="2"/>
  <c r="AT1151" i="2"/>
  <c r="R1151" i="2"/>
  <c r="M1151" i="2"/>
  <c r="U1151" i="2" s="1"/>
  <c r="AR1151" i="2" s="1"/>
  <c r="L1151" i="2"/>
  <c r="B1151" i="2"/>
  <c r="BV1150" i="2"/>
  <c r="BU1150" i="2"/>
  <c r="BS1150" i="2"/>
  <c r="BR1150" i="2"/>
  <c r="BP1150" i="2"/>
  <c r="BO1150" i="2"/>
  <c r="BM1150" i="2"/>
  <c r="BL1150" i="2"/>
  <c r="BJ1150" i="2"/>
  <c r="BI1150" i="2"/>
  <c r="BD1150" i="2"/>
  <c r="BC1150" i="2"/>
  <c r="BA1150" i="2"/>
  <c r="AZ1150" i="2"/>
  <c r="AX1150" i="2"/>
  <c r="AW1150" i="2"/>
  <c r="AU1150" i="2"/>
  <c r="AT1150" i="2"/>
  <c r="M1150" i="2"/>
  <c r="U1150" i="2" s="1"/>
  <c r="AR1150" i="2" s="1"/>
  <c r="L1150" i="2"/>
  <c r="R1150" i="2" s="1"/>
  <c r="B1150" i="2"/>
  <c r="BV1149" i="2"/>
  <c r="BU1149" i="2"/>
  <c r="BS1149" i="2"/>
  <c r="BR1149" i="2"/>
  <c r="BP1149" i="2"/>
  <c r="BO1149" i="2"/>
  <c r="BM1149" i="2"/>
  <c r="BL1149" i="2"/>
  <c r="BJ1149" i="2"/>
  <c r="BI1149" i="2"/>
  <c r="BG1149" i="2"/>
  <c r="BF1149" i="2"/>
  <c r="BA1149" i="2"/>
  <c r="AZ1149" i="2"/>
  <c r="AX1149" i="2"/>
  <c r="AW1149" i="2"/>
  <c r="AU1149" i="2"/>
  <c r="AT1149" i="2"/>
  <c r="U1149" i="2"/>
  <c r="AR1149" i="2" s="1"/>
  <c r="R1149" i="2"/>
  <c r="BC1149" i="2" s="1"/>
  <c r="M1149" i="2"/>
  <c r="L1149" i="2"/>
  <c r="B1149" i="2"/>
  <c r="BV1148" i="2"/>
  <c r="BU1148" i="2"/>
  <c r="BS1148" i="2"/>
  <c r="BR1148" i="2"/>
  <c r="BP1148" i="2"/>
  <c r="BO1148" i="2"/>
  <c r="BM1148" i="2"/>
  <c r="BL1148" i="2"/>
  <c r="BJ1148" i="2"/>
  <c r="BI1148" i="2"/>
  <c r="BG1148" i="2"/>
  <c r="BF1148" i="2"/>
  <c r="BD1148" i="2"/>
  <c r="BC1148" i="2"/>
  <c r="AX1148" i="2"/>
  <c r="AW1148" i="2"/>
  <c r="AU1148" i="2"/>
  <c r="AT1148" i="2"/>
  <c r="U1148" i="2"/>
  <c r="AR1148" i="2" s="1"/>
  <c r="R1148" i="2"/>
  <c r="M1148" i="2"/>
  <c r="L1148" i="2"/>
  <c r="B1148" i="2"/>
  <c r="BV1147" i="2"/>
  <c r="BU1147" i="2"/>
  <c r="BS1147" i="2"/>
  <c r="BR1147" i="2"/>
  <c r="BP1147" i="2"/>
  <c r="BO1147" i="2"/>
  <c r="BM1147" i="2"/>
  <c r="BL1147" i="2"/>
  <c r="BJ1147" i="2"/>
  <c r="BI1147" i="2"/>
  <c r="BG1147" i="2"/>
  <c r="BF1147" i="2"/>
  <c r="BD1147" i="2"/>
  <c r="BC1147" i="2"/>
  <c r="BA1147" i="2"/>
  <c r="AZ1147" i="2"/>
  <c r="AU1147" i="2"/>
  <c r="AT1147" i="2"/>
  <c r="M1147" i="2"/>
  <c r="U1147" i="2" s="1"/>
  <c r="AR1147" i="2" s="1"/>
  <c r="L1147" i="2"/>
  <c r="R1147" i="2" s="1"/>
  <c r="B1147" i="2"/>
  <c r="BV1146" i="2"/>
  <c r="BU1146" i="2"/>
  <c r="BS1146" i="2"/>
  <c r="BR1146" i="2"/>
  <c r="BP1146" i="2"/>
  <c r="BO1146" i="2"/>
  <c r="BM1146" i="2"/>
  <c r="BL1146" i="2"/>
  <c r="BJ1146" i="2"/>
  <c r="BI1146" i="2"/>
  <c r="BG1146" i="2"/>
  <c r="BF1146" i="2"/>
  <c r="BD1146" i="2"/>
  <c r="BC1146" i="2"/>
  <c r="BA1146" i="2"/>
  <c r="AZ1146" i="2"/>
  <c r="AU1146" i="2"/>
  <c r="AT1146" i="2"/>
  <c r="U1146" i="2"/>
  <c r="AR1146" i="2" s="1"/>
  <c r="R1146" i="2"/>
  <c r="M1146" i="2"/>
  <c r="L1146" i="2"/>
  <c r="B1146" i="2"/>
  <c r="BV1145" i="2"/>
  <c r="BU1145" i="2"/>
  <c r="BS1145" i="2"/>
  <c r="BR1145" i="2"/>
  <c r="BP1145" i="2"/>
  <c r="BO1145" i="2"/>
  <c r="BM1145" i="2"/>
  <c r="BL1145" i="2"/>
  <c r="BJ1145" i="2"/>
  <c r="BI1145" i="2"/>
  <c r="BD1145" i="2"/>
  <c r="BC1145" i="2"/>
  <c r="BA1145" i="2"/>
  <c r="AZ1145" i="2"/>
  <c r="AX1145" i="2"/>
  <c r="AW1145" i="2"/>
  <c r="AU1145" i="2"/>
  <c r="AT1145" i="2"/>
  <c r="AR1145" i="2"/>
  <c r="R1145" i="2"/>
  <c r="BF1145" i="2" s="1"/>
  <c r="M1145" i="2"/>
  <c r="U1145" i="2" s="1"/>
  <c r="L1145" i="2"/>
  <c r="B1145" i="2"/>
  <c r="BV1144" i="2"/>
  <c r="BU1144" i="2"/>
  <c r="BS1144" i="2"/>
  <c r="BR1144" i="2"/>
  <c r="BP1144" i="2"/>
  <c r="BO1144" i="2"/>
  <c r="BM1144" i="2"/>
  <c r="BL1144" i="2"/>
  <c r="BG1144" i="2"/>
  <c r="BF1144" i="2"/>
  <c r="BD1144" i="2"/>
  <c r="BC1144" i="2"/>
  <c r="BA1144" i="2"/>
  <c r="AZ1144" i="2"/>
  <c r="AX1144" i="2"/>
  <c r="AW1144" i="2"/>
  <c r="AU1144" i="2"/>
  <c r="AT1144" i="2"/>
  <c r="AR1144" i="2"/>
  <c r="U1144" i="2"/>
  <c r="M1144" i="2"/>
  <c r="L1144" i="2"/>
  <c r="R1144" i="2" s="1"/>
  <c r="B1144" i="2"/>
  <c r="BV1143" i="2"/>
  <c r="BU1143" i="2"/>
  <c r="BS1143" i="2"/>
  <c r="BR1143" i="2"/>
  <c r="BP1143" i="2"/>
  <c r="BO1143" i="2"/>
  <c r="BM1143" i="2"/>
  <c r="BL1143" i="2"/>
  <c r="BJ1143" i="2"/>
  <c r="BI1143" i="2"/>
  <c r="BG1143" i="2"/>
  <c r="BF1143" i="2"/>
  <c r="BD1143" i="2"/>
  <c r="BC1143" i="2"/>
  <c r="AX1143" i="2"/>
  <c r="AW1143" i="2"/>
  <c r="AU1143" i="2"/>
  <c r="AT1143" i="2"/>
  <c r="M1143" i="2"/>
  <c r="U1143" i="2" s="1"/>
  <c r="AR1143" i="2" s="1"/>
  <c r="L1143" i="2"/>
  <c r="R1143" i="2" s="1"/>
  <c r="B1143" i="2"/>
  <c r="BV1142" i="2"/>
  <c r="BU1142" i="2"/>
  <c r="BS1142" i="2"/>
  <c r="BR1142" i="2"/>
  <c r="BP1142" i="2"/>
  <c r="BO1142" i="2"/>
  <c r="BM1142" i="2"/>
  <c r="BL1142" i="2"/>
  <c r="BJ1142" i="2"/>
  <c r="BI1142" i="2"/>
  <c r="BG1142" i="2"/>
  <c r="BF1142" i="2"/>
  <c r="BC1142" i="2"/>
  <c r="BA1142" i="2"/>
  <c r="AZ1142" i="2"/>
  <c r="AX1142" i="2"/>
  <c r="AW1142" i="2"/>
  <c r="AU1142" i="2"/>
  <c r="AT1142" i="2"/>
  <c r="U1142" i="2"/>
  <c r="AR1142" i="2" s="1"/>
  <c r="R1142" i="2"/>
  <c r="M1142" i="2"/>
  <c r="L1142" i="2"/>
  <c r="B1142" i="2"/>
  <c r="BV1141" i="2"/>
  <c r="BU1141" i="2"/>
  <c r="BS1141" i="2"/>
  <c r="BR1141" i="2"/>
  <c r="BP1141" i="2"/>
  <c r="BO1141" i="2"/>
  <c r="BM1141" i="2"/>
  <c r="BL1141" i="2"/>
  <c r="BJ1141" i="2"/>
  <c r="BI1141" i="2"/>
  <c r="BG1141" i="2"/>
  <c r="BF1141" i="2"/>
  <c r="BD1141" i="2"/>
  <c r="BC1141" i="2"/>
  <c r="BA1141" i="2"/>
  <c r="AZ1141" i="2"/>
  <c r="AX1141" i="2"/>
  <c r="AW1141" i="2"/>
  <c r="AT1141" i="2"/>
  <c r="U1141" i="2"/>
  <c r="AR1141" i="2" s="1"/>
  <c r="R1141" i="2"/>
  <c r="M1141" i="2"/>
  <c r="L1141" i="2"/>
  <c r="B1141" i="2"/>
  <c r="BV1140" i="2"/>
  <c r="BU1140" i="2"/>
  <c r="BS1140" i="2"/>
  <c r="BR1140" i="2"/>
  <c r="BP1140" i="2"/>
  <c r="BO1140" i="2"/>
  <c r="BM1140" i="2"/>
  <c r="BL1140" i="2"/>
  <c r="BJ1140" i="2"/>
  <c r="BI1140" i="2"/>
  <c r="BG1140" i="2"/>
  <c r="BF1140" i="2"/>
  <c r="BD1140" i="2"/>
  <c r="BC1140" i="2"/>
  <c r="BA1140" i="2"/>
  <c r="AZ1140" i="2"/>
  <c r="AU1140" i="2"/>
  <c r="AT1140" i="2"/>
  <c r="U1140" i="2"/>
  <c r="AR1140" i="2" s="1"/>
  <c r="M1140" i="2"/>
  <c r="L1140" i="2"/>
  <c r="R1140" i="2" s="1"/>
  <c r="B1140" i="2"/>
  <c r="BV1139" i="2"/>
  <c r="BU1139" i="2"/>
  <c r="BS1139" i="2"/>
  <c r="BR1139" i="2"/>
  <c r="BP1139" i="2"/>
  <c r="BO1139" i="2"/>
  <c r="BM1139" i="2"/>
  <c r="BL1139" i="2"/>
  <c r="BJ1139" i="2"/>
  <c r="BI1139" i="2"/>
  <c r="BD1139" i="2"/>
  <c r="BC1139" i="2"/>
  <c r="BA1139" i="2"/>
  <c r="AZ1139" i="2"/>
  <c r="AX1139" i="2"/>
  <c r="AW1139" i="2"/>
  <c r="AU1139" i="2"/>
  <c r="AT1139" i="2"/>
  <c r="R1139" i="2"/>
  <c r="BF1139" i="2" s="1"/>
  <c r="M1139" i="2"/>
  <c r="U1139" i="2" s="1"/>
  <c r="AR1139" i="2" s="1"/>
  <c r="L1139" i="2"/>
  <c r="B1139" i="2"/>
  <c r="BV1138" i="2"/>
  <c r="BU1138" i="2"/>
  <c r="BS1138" i="2"/>
  <c r="BR1138" i="2"/>
  <c r="BP1138" i="2"/>
  <c r="BO1138" i="2"/>
  <c r="BM1138" i="2"/>
  <c r="BL1138" i="2"/>
  <c r="BJ1138" i="2"/>
  <c r="BI1138" i="2"/>
  <c r="BG1138" i="2"/>
  <c r="BF1138" i="2"/>
  <c r="BC1138" i="2"/>
  <c r="BA1138" i="2"/>
  <c r="AZ1138" i="2"/>
  <c r="AX1138" i="2"/>
  <c r="AW1138" i="2"/>
  <c r="AU1138" i="2"/>
  <c r="AT1138" i="2"/>
  <c r="AR1138" i="2"/>
  <c r="U1138" i="2"/>
  <c r="R1138" i="2"/>
  <c r="M1138" i="2"/>
  <c r="L1138" i="2"/>
  <c r="B1138" i="2"/>
  <c r="BV1137" i="2"/>
  <c r="BU1137" i="2"/>
  <c r="BS1137" i="2"/>
  <c r="BR1137" i="2"/>
  <c r="BP1137" i="2"/>
  <c r="BO1137" i="2"/>
  <c r="BM1137" i="2"/>
  <c r="BL1137" i="2"/>
  <c r="BJ1137" i="2"/>
  <c r="BI1137" i="2"/>
  <c r="BG1137" i="2"/>
  <c r="BF1137" i="2"/>
  <c r="BD1137" i="2"/>
  <c r="BC1137" i="2"/>
  <c r="AX1137" i="2"/>
  <c r="AW1137" i="2"/>
  <c r="AU1137" i="2"/>
  <c r="AT1137" i="2"/>
  <c r="U1137" i="2"/>
  <c r="AR1137" i="2" s="1"/>
  <c r="M1137" i="2"/>
  <c r="L1137" i="2"/>
  <c r="R1137" i="2" s="1"/>
  <c r="B1137" i="2"/>
  <c r="BV1136" i="2"/>
  <c r="BU1136" i="2"/>
  <c r="BS1136" i="2"/>
  <c r="BR1136" i="2"/>
  <c r="BP1136" i="2"/>
  <c r="BO1136" i="2"/>
  <c r="BM1136" i="2"/>
  <c r="BL1136" i="2"/>
  <c r="BJ1136" i="2"/>
  <c r="BI1136" i="2"/>
  <c r="BG1136" i="2"/>
  <c r="BF1136" i="2"/>
  <c r="BD1136" i="2"/>
  <c r="BC1136" i="2"/>
  <c r="BA1136" i="2"/>
  <c r="AZ1136" i="2"/>
  <c r="AU1136" i="2"/>
  <c r="AT1136" i="2"/>
  <c r="R1136" i="2"/>
  <c r="M1136" i="2"/>
  <c r="U1136" i="2" s="1"/>
  <c r="AR1136" i="2" s="1"/>
  <c r="L1136" i="2"/>
  <c r="B1136" i="2"/>
  <c r="BV1135" i="2"/>
  <c r="BU1135" i="2"/>
  <c r="BS1135" i="2"/>
  <c r="BR1135" i="2"/>
  <c r="BP1135" i="2"/>
  <c r="BO1135" i="2"/>
  <c r="BM1135" i="2"/>
  <c r="BL1135" i="2"/>
  <c r="BJ1135" i="2"/>
  <c r="BI1135" i="2"/>
  <c r="BG1135" i="2"/>
  <c r="BF1135" i="2"/>
  <c r="BD1135" i="2"/>
  <c r="BC1135" i="2"/>
  <c r="BA1135" i="2"/>
  <c r="AZ1135" i="2"/>
  <c r="AU1135" i="2"/>
  <c r="AT1135" i="2"/>
  <c r="AR1135" i="2"/>
  <c r="U1135" i="2"/>
  <c r="R1135" i="2"/>
  <c r="AW1135" i="2" s="1"/>
  <c r="M1135" i="2"/>
  <c r="L1135" i="2"/>
  <c r="B1135" i="2"/>
  <c r="BV1134" i="2"/>
  <c r="BU1134" i="2"/>
  <c r="BS1134" i="2"/>
  <c r="BR1134" i="2"/>
  <c r="BP1134" i="2"/>
  <c r="BO1134" i="2"/>
  <c r="BM1134" i="2"/>
  <c r="BL1134" i="2"/>
  <c r="BJ1134" i="2"/>
  <c r="BI1134" i="2"/>
  <c r="BD1134" i="2"/>
  <c r="BC1134" i="2"/>
  <c r="BA1134" i="2"/>
  <c r="AZ1134" i="2"/>
  <c r="AX1134" i="2"/>
  <c r="AW1134" i="2"/>
  <c r="AU1134" i="2"/>
  <c r="AT1134" i="2"/>
  <c r="U1134" i="2"/>
  <c r="AR1134" i="2" s="1"/>
  <c r="M1134" i="2"/>
  <c r="L1134" i="2"/>
  <c r="R1134" i="2" s="1"/>
  <c r="B1134" i="2"/>
  <c r="BV1133" i="2"/>
  <c r="BU1133" i="2"/>
  <c r="BS1133" i="2"/>
  <c r="BR1133" i="2"/>
  <c r="BP1133" i="2"/>
  <c r="BO1133" i="2"/>
  <c r="BM1133" i="2"/>
  <c r="BL1133" i="2"/>
  <c r="BG1133" i="2"/>
  <c r="BF1133" i="2"/>
  <c r="BD1133" i="2"/>
  <c r="BC1133" i="2"/>
  <c r="BA1133" i="2"/>
  <c r="AZ1133" i="2"/>
  <c r="AX1133" i="2"/>
  <c r="AW1133" i="2"/>
  <c r="AU1133" i="2"/>
  <c r="AT1133" i="2"/>
  <c r="R1133" i="2"/>
  <c r="M1133" i="2"/>
  <c r="U1133" i="2" s="1"/>
  <c r="AR1133" i="2" s="1"/>
  <c r="L1133" i="2"/>
  <c r="B1133" i="2"/>
  <c r="BV1132" i="2"/>
  <c r="BU1132" i="2"/>
  <c r="BS1132" i="2"/>
  <c r="BR1132" i="2"/>
  <c r="BP1132" i="2"/>
  <c r="BO1132" i="2"/>
  <c r="BM1132" i="2"/>
  <c r="BL1132" i="2"/>
  <c r="BJ1132" i="2"/>
  <c r="BI1132" i="2"/>
  <c r="BG1132" i="2"/>
  <c r="BF1132" i="2"/>
  <c r="BD1132" i="2"/>
  <c r="BC1132" i="2"/>
  <c r="AZ1132" i="2"/>
  <c r="AX1132" i="2"/>
  <c r="AW1132" i="2"/>
  <c r="AU1132" i="2"/>
  <c r="AT1132" i="2"/>
  <c r="AR1132" i="2"/>
  <c r="U1132" i="2"/>
  <c r="R1132" i="2"/>
  <c r="M1132" i="2"/>
  <c r="L1132" i="2"/>
  <c r="B1132" i="2"/>
  <c r="BV1131" i="2"/>
  <c r="BU1131" i="2"/>
  <c r="BS1131" i="2"/>
  <c r="BR1131" i="2"/>
  <c r="BP1131" i="2"/>
  <c r="BO1131" i="2"/>
  <c r="BM1131" i="2"/>
  <c r="BL1131" i="2"/>
  <c r="BJ1131" i="2"/>
  <c r="BI1131" i="2"/>
  <c r="BG1131" i="2"/>
  <c r="BF1131" i="2"/>
  <c r="BA1131" i="2"/>
  <c r="AZ1131" i="2"/>
  <c r="AX1131" i="2"/>
  <c r="AW1131" i="2"/>
  <c r="AU1131" i="2"/>
  <c r="AT1131" i="2"/>
  <c r="U1131" i="2"/>
  <c r="AR1131" i="2" s="1"/>
  <c r="M1131" i="2"/>
  <c r="L1131" i="2"/>
  <c r="R1131" i="2" s="1"/>
  <c r="B1131" i="2"/>
  <c r="BV1130" i="2"/>
  <c r="BU1130" i="2"/>
  <c r="BS1130" i="2"/>
  <c r="BR1130" i="2"/>
  <c r="BP1130" i="2"/>
  <c r="BO1130" i="2"/>
  <c r="BM1130" i="2"/>
  <c r="BL1130" i="2"/>
  <c r="BJ1130" i="2"/>
  <c r="BI1130" i="2"/>
  <c r="BG1130" i="2"/>
  <c r="BF1130" i="2"/>
  <c r="BD1130" i="2"/>
  <c r="BC1130" i="2"/>
  <c r="BA1130" i="2"/>
  <c r="AZ1130" i="2"/>
  <c r="AX1130" i="2"/>
  <c r="AW1130" i="2"/>
  <c r="R1130" i="2"/>
  <c r="M1130" i="2"/>
  <c r="U1130" i="2" s="1"/>
  <c r="AR1130" i="2" s="1"/>
  <c r="L1130" i="2"/>
  <c r="B1130" i="2"/>
  <c r="BV1129" i="2"/>
  <c r="BU1129" i="2"/>
  <c r="BS1129" i="2"/>
  <c r="BR1129" i="2"/>
  <c r="BP1129" i="2"/>
  <c r="BO1129" i="2"/>
  <c r="BM1129" i="2"/>
  <c r="BL1129" i="2"/>
  <c r="BJ1129" i="2"/>
  <c r="BI1129" i="2"/>
  <c r="BG1129" i="2"/>
  <c r="BF1129" i="2"/>
  <c r="BD1129" i="2"/>
  <c r="BC1129" i="2"/>
  <c r="BA1129" i="2"/>
  <c r="AZ1129" i="2"/>
  <c r="AU1129" i="2"/>
  <c r="AT1129" i="2"/>
  <c r="AR1129" i="2"/>
  <c r="U1129" i="2"/>
  <c r="R1129" i="2"/>
  <c r="AW1129" i="2" s="1"/>
  <c r="M1129" i="2"/>
  <c r="L1129" i="2"/>
  <c r="B1129" i="2"/>
  <c r="BV1128" i="2"/>
  <c r="BU1128" i="2"/>
  <c r="BS1128" i="2"/>
  <c r="BR1128" i="2"/>
  <c r="BP1128" i="2"/>
  <c r="BO1128" i="2"/>
  <c r="BM1128" i="2"/>
  <c r="BL1128" i="2"/>
  <c r="BJ1128" i="2"/>
  <c r="BI1128" i="2"/>
  <c r="BD1128" i="2"/>
  <c r="BC1128" i="2"/>
  <c r="BA1128" i="2"/>
  <c r="AZ1128" i="2"/>
  <c r="AX1128" i="2"/>
  <c r="AW1128" i="2"/>
  <c r="AU1128" i="2"/>
  <c r="AT1128" i="2"/>
  <c r="U1128" i="2"/>
  <c r="AR1128" i="2" s="1"/>
  <c r="M1128" i="2"/>
  <c r="L1128" i="2"/>
  <c r="R1128" i="2" s="1"/>
  <c r="B1128" i="2"/>
  <c r="BV1127" i="2"/>
  <c r="BU1127" i="2"/>
  <c r="BS1127" i="2"/>
  <c r="BR1127" i="2"/>
  <c r="BP1127" i="2"/>
  <c r="BO1127" i="2"/>
  <c r="BM1127" i="2"/>
  <c r="BL1127" i="2"/>
  <c r="BJ1127" i="2"/>
  <c r="BI1127" i="2"/>
  <c r="BG1127" i="2"/>
  <c r="BF1127" i="2"/>
  <c r="BA1127" i="2"/>
  <c r="AZ1127" i="2"/>
  <c r="AX1127" i="2"/>
  <c r="AW1127" i="2"/>
  <c r="AU1127" i="2"/>
  <c r="AT1127" i="2"/>
  <c r="R1127" i="2"/>
  <c r="M1127" i="2"/>
  <c r="U1127" i="2" s="1"/>
  <c r="AR1127" i="2" s="1"/>
  <c r="L1127" i="2"/>
  <c r="B1127" i="2"/>
  <c r="BV1126" i="2"/>
  <c r="BU1126" i="2"/>
  <c r="BS1126" i="2"/>
  <c r="BR1126" i="2"/>
  <c r="BP1126" i="2"/>
  <c r="BO1126" i="2"/>
  <c r="BM1126" i="2"/>
  <c r="BL1126" i="2"/>
  <c r="BJ1126" i="2"/>
  <c r="BI1126" i="2"/>
  <c r="BG1126" i="2"/>
  <c r="BF1126" i="2"/>
  <c r="BD1126" i="2"/>
  <c r="BC1126" i="2"/>
  <c r="AZ1126" i="2"/>
  <c r="AX1126" i="2"/>
  <c r="AW1126" i="2"/>
  <c r="AU1126" i="2"/>
  <c r="AT1126" i="2"/>
  <c r="AR1126" i="2"/>
  <c r="U1126" i="2"/>
  <c r="S1126" i="2"/>
  <c r="BA1126" i="2" s="1"/>
  <c r="R1126" i="2"/>
  <c r="M1126" i="2"/>
  <c r="L1126" i="2"/>
  <c r="B1126" i="2"/>
  <c r="BV1125" i="2"/>
  <c r="BU1125" i="2"/>
  <c r="BS1125" i="2"/>
  <c r="BR1125" i="2"/>
  <c r="BP1125" i="2"/>
  <c r="BO1125" i="2"/>
  <c r="BM1125" i="2"/>
  <c r="BL1125" i="2"/>
  <c r="BJ1125" i="2"/>
  <c r="BI1125" i="2"/>
  <c r="BG1125" i="2"/>
  <c r="BF1125" i="2"/>
  <c r="BD1125" i="2"/>
  <c r="BC1125" i="2"/>
  <c r="BA1125" i="2"/>
  <c r="AZ1125" i="2"/>
  <c r="AU1125" i="2"/>
  <c r="AT1125" i="2"/>
  <c r="U1125" i="2"/>
  <c r="AR1125" i="2" s="1"/>
  <c r="M1125" i="2"/>
  <c r="L1125" i="2"/>
  <c r="R1125" i="2" s="1"/>
  <c r="B1125" i="2"/>
  <c r="BV1124" i="2"/>
  <c r="BU1124" i="2"/>
  <c r="BS1124" i="2"/>
  <c r="BR1124" i="2"/>
  <c r="BP1124" i="2"/>
  <c r="BO1124" i="2"/>
  <c r="BM1124" i="2"/>
  <c r="BL1124" i="2"/>
  <c r="BJ1124" i="2"/>
  <c r="BI1124" i="2"/>
  <c r="BG1124" i="2"/>
  <c r="BF1124" i="2"/>
  <c r="BD1124" i="2"/>
  <c r="BC1124" i="2"/>
  <c r="BA1124" i="2"/>
  <c r="AZ1124" i="2"/>
  <c r="AU1124" i="2"/>
  <c r="AT1124" i="2"/>
  <c r="R1124" i="2"/>
  <c r="M1124" i="2"/>
  <c r="U1124" i="2" s="1"/>
  <c r="AR1124" i="2" s="1"/>
  <c r="L1124" i="2"/>
  <c r="B1124" i="2"/>
  <c r="BV1123" i="2"/>
  <c r="BU1123" i="2"/>
  <c r="BS1123" i="2"/>
  <c r="BR1123" i="2"/>
  <c r="BP1123" i="2"/>
  <c r="BO1123" i="2"/>
  <c r="BM1123" i="2"/>
  <c r="BL1123" i="2"/>
  <c r="BJ1123" i="2"/>
  <c r="BI1123" i="2"/>
  <c r="BG1123" i="2"/>
  <c r="BF1123" i="2"/>
  <c r="BD1123" i="2"/>
  <c r="BC1123" i="2"/>
  <c r="BA1123" i="2"/>
  <c r="AZ1123" i="2"/>
  <c r="AX1123" i="2"/>
  <c r="AW1123" i="2"/>
  <c r="AU1123" i="2"/>
  <c r="AT1123" i="2"/>
  <c r="AR1123" i="2"/>
  <c r="U1123" i="2"/>
  <c r="S1123" i="2"/>
  <c r="R1123" i="2"/>
  <c r="M1123" i="2"/>
  <c r="L1123" i="2"/>
  <c r="B1123" i="2"/>
  <c r="BV1122" i="2"/>
  <c r="BU1122" i="2"/>
  <c r="BS1122" i="2"/>
  <c r="BR1122" i="2"/>
  <c r="BP1122" i="2"/>
  <c r="BO1122" i="2"/>
  <c r="BM1122" i="2"/>
  <c r="BL1122" i="2"/>
  <c r="BG1122" i="2"/>
  <c r="BF1122" i="2"/>
  <c r="BD1122" i="2"/>
  <c r="BC1122" i="2"/>
  <c r="BA1122" i="2"/>
  <c r="AZ1122" i="2"/>
  <c r="AX1122" i="2"/>
  <c r="AW1122" i="2"/>
  <c r="AU1122" i="2"/>
  <c r="AT1122" i="2"/>
  <c r="U1122" i="2"/>
  <c r="AR1122" i="2" s="1"/>
  <c r="M1122" i="2"/>
  <c r="L1122" i="2"/>
  <c r="R1122" i="2" s="1"/>
  <c r="B1122" i="2"/>
  <c r="BV1121" i="2"/>
  <c r="BU1121" i="2"/>
  <c r="BS1121" i="2"/>
  <c r="BR1121" i="2"/>
  <c r="BP1121" i="2"/>
  <c r="BO1121" i="2"/>
  <c r="BM1121" i="2"/>
  <c r="BL1121" i="2"/>
  <c r="BJ1121" i="2"/>
  <c r="BI1121" i="2"/>
  <c r="BG1121" i="2"/>
  <c r="BF1121" i="2"/>
  <c r="BD1121" i="2"/>
  <c r="BC1121" i="2"/>
  <c r="AX1121" i="2"/>
  <c r="AW1121" i="2"/>
  <c r="AU1121" i="2"/>
  <c r="AT1121" i="2"/>
  <c r="R1121" i="2"/>
  <c r="M1121" i="2"/>
  <c r="U1121" i="2" s="1"/>
  <c r="AR1121" i="2" s="1"/>
  <c r="L1121" i="2"/>
  <c r="B1121" i="2"/>
  <c r="BV1120" i="2"/>
  <c r="BU1120" i="2"/>
  <c r="BS1120" i="2"/>
  <c r="BR1120" i="2"/>
  <c r="BP1120" i="2"/>
  <c r="BO1120" i="2"/>
  <c r="BM1120" i="2"/>
  <c r="BL1120" i="2"/>
  <c r="BJ1120" i="2"/>
  <c r="BI1120" i="2"/>
  <c r="BG1120" i="2"/>
  <c r="BF1120" i="2"/>
  <c r="BA1120" i="2"/>
  <c r="AZ1120" i="2"/>
  <c r="AX1120" i="2"/>
  <c r="AW1120" i="2"/>
  <c r="AU1120" i="2"/>
  <c r="AT1120" i="2"/>
  <c r="AR1120" i="2"/>
  <c r="U1120" i="2"/>
  <c r="M1120" i="2"/>
  <c r="L1120" i="2"/>
  <c r="R1120" i="2" s="1"/>
  <c r="B1120" i="2"/>
  <c r="BV1119" i="2"/>
  <c r="BU1119" i="2"/>
  <c r="BS1119" i="2"/>
  <c r="BR1119" i="2"/>
  <c r="BP1119" i="2"/>
  <c r="BO1119" i="2"/>
  <c r="BM1119" i="2"/>
  <c r="BL1119" i="2"/>
  <c r="BJ1119" i="2"/>
  <c r="BI1119" i="2"/>
  <c r="BG1119" i="2"/>
  <c r="BF1119" i="2"/>
  <c r="BD1119" i="2"/>
  <c r="BC1119" i="2"/>
  <c r="BA1119" i="2"/>
  <c r="AZ1119" i="2"/>
  <c r="AX1119" i="2"/>
  <c r="AW1119" i="2"/>
  <c r="U1119" i="2"/>
  <c r="AR1119" i="2" s="1"/>
  <c r="M1119" i="2"/>
  <c r="L1119" i="2"/>
  <c r="R1119" i="2" s="1"/>
  <c r="B1119" i="2"/>
  <c r="BV1118" i="2"/>
  <c r="BU1118" i="2"/>
  <c r="BS1118" i="2"/>
  <c r="BR1118" i="2"/>
  <c r="BP1118" i="2"/>
  <c r="BO1118" i="2"/>
  <c r="BM1118" i="2"/>
  <c r="BL1118" i="2"/>
  <c r="BJ1118" i="2"/>
  <c r="BI1118" i="2"/>
  <c r="BG1118" i="2"/>
  <c r="BF1118" i="2"/>
  <c r="BD1118" i="2"/>
  <c r="BC1118" i="2"/>
  <c r="BA1118" i="2"/>
  <c r="AZ1118" i="2"/>
  <c r="AU1118" i="2"/>
  <c r="AT1118" i="2"/>
  <c r="R1118" i="2"/>
  <c r="M1118" i="2"/>
  <c r="U1118" i="2" s="1"/>
  <c r="AR1118" i="2" s="1"/>
  <c r="L1118" i="2"/>
  <c r="B1118" i="2"/>
  <c r="BV1117" i="2"/>
  <c r="BU1117" i="2"/>
  <c r="BS1117" i="2"/>
  <c r="BR1117" i="2"/>
  <c r="BP1117" i="2"/>
  <c r="BO1117" i="2"/>
  <c r="BM1117" i="2"/>
  <c r="BL1117" i="2"/>
  <c r="BJ1117" i="2"/>
  <c r="BI1117" i="2"/>
  <c r="BD1117" i="2"/>
  <c r="BC1117" i="2"/>
  <c r="BA1117" i="2"/>
  <c r="AZ1117" i="2"/>
  <c r="AX1117" i="2"/>
  <c r="AW1117" i="2"/>
  <c r="AU1117" i="2"/>
  <c r="AT1117" i="2"/>
  <c r="AR1117" i="2"/>
  <c r="U1117" i="2"/>
  <c r="M1117" i="2"/>
  <c r="L1117" i="2"/>
  <c r="R1117" i="2" s="1"/>
  <c r="B1117" i="2"/>
  <c r="BV1116" i="2"/>
  <c r="BU1116" i="2"/>
  <c r="BS1116" i="2"/>
  <c r="BR1116" i="2"/>
  <c r="BP1116" i="2"/>
  <c r="BO1116" i="2"/>
  <c r="BM1116" i="2"/>
  <c r="BL1116" i="2"/>
  <c r="BJ1116" i="2"/>
  <c r="BI1116" i="2"/>
  <c r="BG1116" i="2"/>
  <c r="BF1116" i="2"/>
  <c r="BA1116" i="2"/>
  <c r="AZ1116" i="2"/>
  <c r="AX1116" i="2"/>
  <c r="AW1116" i="2"/>
  <c r="AU1116" i="2"/>
  <c r="AT1116" i="2"/>
  <c r="U1116" i="2"/>
  <c r="AR1116" i="2" s="1"/>
  <c r="M1116" i="2"/>
  <c r="L1116" i="2"/>
  <c r="R1116" i="2" s="1"/>
  <c r="B1116" i="2"/>
  <c r="BV1115" i="2"/>
  <c r="BU1115" i="2"/>
  <c r="BS1115" i="2"/>
  <c r="BR1115" i="2"/>
  <c r="BP1115" i="2"/>
  <c r="BO1115" i="2"/>
  <c r="BM1115" i="2"/>
  <c r="BL1115" i="2"/>
  <c r="BJ1115" i="2"/>
  <c r="BI1115" i="2"/>
  <c r="BG1115" i="2"/>
  <c r="BF1115" i="2"/>
  <c r="BD1115" i="2"/>
  <c r="BC1115" i="2"/>
  <c r="AX1115" i="2"/>
  <c r="AW1115" i="2"/>
  <c r="AU1115" i="2"/>
  <c r="AT1115" i="2"/>
  <c r="R1115" i="2"/>
  <c r="M1115" i="2"/>
  <c r="U1115" i="2" s="1"/>
  <c r="AR1115" i="2" s="1"/>
  <c r="L1115" i="2"/>
  <c r="B1115" i="2"/>
  <c r="BV1114" i="2"/>
  <c r="BU1114" i="2"/>
  <c r="BS1114" i="2"/>
  <c r="BR1114" i="2"/>
  <c r="BP1114" i="2"/>
  <c r="BO1114" i="2"/>
  <c r="BM1114" i="2"/>
  <c r="BL1114" i="2"/>
  <c r="BJ1114" i="2"/>
  <c r="BI1114" i="2"/>
  <c r="BG1114" i="2"/>
  <c r="BF1114" i="2"/>
  <c r="BD1114" i="2"/>
  <c r="BC1114" i="2"/>
  <c r="BA1114" i="2"/>
  <c r="AZ1114" i="2"/>
  <c r="AU1114" i="2"/>
  <c r="AT1114" i="2"/>
  <c r="AR1114" i="2"/>
  <c r="U1114" i="2"/>
  <c r="M1114" i="2"/>
  <c r="L1114" i="2"/>
  <c r="R1114" i="2" s="1"/>
  <c r="B1114" i="2"/>
  <c r="BV1113" i="2"/>
  <c r="BU1113" i="2"/>
  <c r="BS1113" i="2"/>
  <c r="BR1113" i="2"/>
  <c r="BP1113" i="2"/>
  <c r="BO1113" i="2"/>
  <c r="BM1113" i="2"/>
  <c r="BL1113" i="2"/>
  <c r="BJ1113" i="2"/>
  <c r="BI1113" i="2"/>
  <c r="BG1113" i="2"/>
  <c r="BF1113" i="2"/>
  <c r="BD1113" i="2"/>
  <c r="BC1113" i="2"/>
  <c r="BA1113" i="2"/>
  <c r="AZ1113" i="2"/>
  <c r="AU1113" i="2"/>
  <c r="AT1113" i="2"/>
  <c r="U1113" i="2"/>
  <c r="AR1113" i="2" s="1"/>
  <c r="M1113" i="2"/>
  <c r="L1113" i="2"/>
  <c r="R1113" i="2" s="1"/>
  <c r="B1113" i="2"/>
  <c r="BV1112" i="2"/>
  <c r="BU1112" i="2"/>
  <c r="BS1112" i="2"/>
  <c r="BR1112" i="2"/>
  <c r="BP1112" i="2"/>
  <c r="BO1112" i="2"/>
  <c r="BM1112" i="2"/>
  <c r="BL1112" i="2"/>
  <c r="BJ1112" i="2"/>
  <c r="BI1112" i="2"/>
  <c r="BD1112" i="2"/>
  <c r="BC1112" i="2"/>
  <c r="BA1112" i="2"/>
  <c r="AZ1112" i="2"/>
  <c r="AX1112" i="2"/>
  <c r="AW1112" i="2"/>
  <c r="AU1112" i="2"/>
  <c r="AT1112" i="2"/>
  <c r="R1112" i="2"/>
  <c r="M1112" i="2"/>
  <c r="U1112" i="2" s="1"/>
  <c r="AR1112" i="2" s="1"/>
  <c r="L1112" i="2"/>
  <c r="B1112" i="2"/>
  <c r="BV1111" i="2"/>
  <c r="BU1111" i="2"/>
  <c r="BS1111" i="2"/>
  <c r="BR1111" i="2"/>
  <c r="BP1111" i="2"/>
  <c r="BO1111" i="2"/>
  <c r="BM1111" i="2"/>
  <c r="BL1111" i="2"/>
  <c r="BG1111" i="2"/>
  <c r="BF1111" i="2"/>
  <c r="BD1111" i="2"/>
  <c r="BC1111" i="2"/>
  <c r="BA1111" i="2"/>
  <c r="AZ1111" i="2"/>
  <c r="AX1111" i="2"/>
  <c r="AW1111" i="2"/>
  <c r="AU1111" i="2"/>
  <c r="AT1111" i="2"/>
  <c r="AR1111" i="2"/>
  <c r="U1111" i="2"/>
  <c r="M1111" i="2"/>
  <c r="L1111" i="2"/>
  <c r="R1111" i="2" s="1"/>
  <c r="B1111" i="2"/>
  <c r="BV1110" i="2"/>
  <c r="BU1110" i="2"/>
  <c r="BS1110" i="2"/>
  <c r="BR1110" i="2"/>
  <c r="BP1110" i="2"/>
  <c r="BO1110" i="2"/>
  <c r="BM1110" i="2"/>
  <c r="BL1110" i="2"/>
  <c r="BJ1110" i="2"/>
  <c r="BI1110" i="2"/>
  <c r="BG1110" i="2"/>
  <c r="BF1110" i="2"/>
  <c r="BD1110" i="2"/>
  <c r="BC1110" i="2"/>
  <c r="AX1110" i="2"/>
  <c r="AW1110" i="2"/>
  <c r="AU1110" i="2"/>
  <c r="AT1110" i="2"/>
  <c r="U1110" i="2"/>
  <c r="AR1110" i="2" s="1"/>
  <c r="M1110" i="2"/>
  <c r="L1110" i="2"/>
  <c r="R1110" i="2" s="1"/>
  <c r="B1110" i="2"/>
  <c r="BV1109" i="2"/>
  <c r="BU1109" i="2"/>
  <c r="BS1109" i="2"/>
  <c r="BR1109" i="2"/>
  <c r="BP1109" i="2"/>
  <c r="BO1109" i="2"/>
  <c r="BM1109" i="2"/>
  <c r="BL1109" i="2"/>
  <c r="BJ1109" i="2"/>
  <c r="BI1109" i="2"/>
  <c r="BG1109" i="2"/>
  <c r="BF1109" i="2"/>
  <c r="BA1109" i="2"/>
  <c r="AZ1109" i="2"/>
  <c r="AX1109" i="2"/>
  <c r="AW1109" i="2"/>
  <c r="AU1109" i="2"/>
  <c r="AT1109" i="2"/>
  <c r="R1109" i="2"/>
  <c r="M1109" i="2"/>
  <c r="U1109" i="2" s="1"/>
  <c r="AR1109" i="2" s="1"/>
  <c r="L1109" i="2"/>
  <c r="B1109" i="2"/>
  <c r="BV1108" i="2"/>
  <c r="BU1108" i="2"/>
  <c r="BS1108" i="2"/>
  <c r="BR1108" i="2"/>
  <c r="BP1108" i="2"/>
  <c r="BO1108" i="2"/>
  <c r="BM1108" i="2"/>
  <c r="BL1108" i="2"/>
  <c r="BJ1108" i="2"/>
  <c r="BI1108" i="2"/>
  <c r="BG1108" i="2"/>
  <c r="BF1108" i="2"/>
  <c r="BD1108" i="2"/>
  <c r="BC1108" i="2"/>
  <c r="BA1108" i="2"/>
  <c r="AZ1108" i="2"/>
  <c r="AX1108" i="2"/>
  <c r="AW1108" i="2"/>
  <c r="AR1108" i="2"/>
  <c r="U1108" i="2"/>
  <c r="M1108" i="2"/>
  <c r="L1108" i="2"/>
  <c r="R1108" i="2" s="1"/>
  <c r="B1108" i="2"/>
  <c r="BV1107" i="2"/>
  <c r="BU1107" i="2"/>
  <c r="BS1107" i="2"/>
  <c r="BR1107" i="2"/>
  <c r="BP1107" i="2"/>
  <c r="BO1107" i="2"/>
  <c r="BM1107" i="2"/>
  <c r="BL1107" i="2"/>
  <c r="BJ1107" i="2"/>
  <c r="BI1107" i="2"/>
  <c r="BG1107" i="2"/>
  <c r="BF1107" i="2"/>
  <c r="BD1107" i="2"/>
  <c r="BC1107" i="2"/>
  <c r="BA1107" i="2"/>
  <c r="AZ1107" i="2"/>
  <c r="AU1107" i="2"/>
  <c r="AT1107" i="2"/>
  <c r="U1107" i="2"/>
  <c r="AR1107" i="2" s="1"/>
  <c r="M1107" i="2"/>
  <c r="L1107" i="2"/>
  <c r="R1107" i="2" s="1"/>
  <c r="B1107" i="2"/>
  <c r="BV1106" i="2"/>
  <c r="BU1106" i="2"/>
  <c r="BS1106" i="2"/>
  <c r="BR1106" i="2"/>
  <c r="BP1106" i="2"/>
  <c r="BO1106" i="2"/>
  <c r="BM1106" i="2"/>
  <c r="BL1106" i="2"/>
  <c r="BJ1106" i="2"/>
  <c r="BI1106" i="2"/>
  <c r="BD1106" i="2"/>
  <c r="BC1106" i="2"/>
  <c r="BA1106" i="2"/>
  <c r="AZ1106" i="2"/>
  <c r="AX1106" i="2"/>
  <c r="AW1106" i="2"/>
  <c r="AU1106" i="2"/>
  <c r="AT1106" i="2"/>
  <c r="T1106" i="2"/>
  <c r="R1106" i="2"/>
  <c r="M1106" i="2"/>
  <c r="U1106" i="2" s="1"/>
  <c r="AR1106" i="2" s="1"/>
  <c r="L1106" i="2"/>
  <c r="B1106" i="2"/>
  <c r="BV1105" i="2"/>
  <c r="BU1105" i="2"/>
  <c r="BS1105" i="2"/>
  <c r="BR1105" i="2"/>
  <c r="BP1105" i="2"/>
  <c r="BO1105" i="2"/>
  <c r="BM1105" i="2"/>
  <c r="BL1105" i="2"/>
  <c r="BJ1105" i="2"/>
  <c r="BI1105" i="2"/>
  <c r="BG1105" i="2"/>
  <c r="BF1105" i="2"/>
  <c r="BA1105" i="2"/>
  <c r="AZ1105" i="2"/>
  <c r="AX1105" i="2"/>
  <c r="AW1105" i="2"/>
  <c r="AU1105" i="2"/>
  <c r="AT1105" i="2"/>
  <c r="AR1105" i="2"/>
  <c r="U1105" i="2"/>
  <c r="M1105" i="2"/>
  <c r="L1105" i="2"/>
  <c r="R1105" i="2" s="1"/>
  <c r="B1105" i="2"/>
  <c r="BV1104" i="2"/>
  <c r="BU1104" i="2"/>
  <c r="BS1104" i="2"/>
  <c r="BR1104" i="2"/>
  <c r="BP1104" i="2"/>
  <c r="BO1104" i="2"/>
  <c r="BM1104" i="2"/>
  <c r="BL1104" i="2"/>
  <c r="BJ1104" i="2"/>
  <c r="BI1104" i="2"/>
  <c r="BG1104" i="2"/>
  <c r="BF1104" i="2"/>
  <c r="BD1104" i="2"/>
  <c r="BC1104" i="2"/>
  <c r="AX1104" i="2"/>
  <c r="AW1104" i="2"/>
  <c r="AU1104" i="2"/>
  <c r="AT1104" i="2"/>
  <c r="U1104" i="2"/>
  <c r="AR1104" i="2" s="1"/>
  <c r="M1104" i="2"/>
  <c r="L1104" i="2"/>
  <c r="R1104" i="2" s="1"/>
  <c r="B1104" i="2"/>
  <c r="BV1103" i="2"/>
  <c r="BU1103" i="2"/>
  <c r="BS1103" i="2"/>
  <c r="BR1103" i="2"/>
  <c r="BP1103" i="2"/>
  <c r="BO1103" i="2"/>
  <c r="BM1103" i="2"/>
  <c r="BL1103" i="2"/>
  <c r="BJ1103" i="2"/>
  <c r="BI1103" i="2"/>
  <c r="BG1103" i="2"/>
  <c r="BF1103" i="2"/>
  <c r="BD1103" i="2"/>
  <c r="BC1103" i="2"/>
  <c r="BA1103" i="2"/>
  <c r="AZ1103" i="2"/>
  <c r="AU1103" i="2"/>
  <c r="AT1103" i="2"/>
  <c r="R1103" i="2"/>
  <c r="M1103" i="2"/>
  <c r="U1103" i="2" s="1"/>
  <c r="AR1103" i="2" s="1"/>
  <c r="L1103" i="2"/>
  <c r="B1103" i="2"/>
  <c r="BV1102" i="2"/>
  <c r="BU1102" i="2"/>
  <c r="BS1102" i="2"/>
  <c r="BR1102" i="2"/>
  <c r="BP1102" i="2"/>
  <c r="BO1102" i="2"/>
  <c r="BM1102" i="2"/>
  <c r="BL1102" i="2"/>
  <c r="BJ1102" i="2"/>
  <c r="BI1102" i="2"/>
  <c r="BG1102" i="2"/>
  <c r="BF1102" i="2"/>
  <c r="BD1102" i="2"/>
  <c r="BC1102" i="2"/>
  <c r="BA1102" i="2"/>
  <c r="AZ1102" i="2"/>
  <c r="AU1102" i="2"/>
  <c r="AT1102" i="2"/>
  <c r="AR1102" i="2"/>
  <c r="U1102" i="2"/>
  <c r="M1102" i="2"/>
  <c r="L1102" i="2"/>
  <c r="R1102" i="2" s="1"/>
  <c r="B1102" i="2"/>
  <c r="BV1101" i="2"/>
  <c r="BU1101" i="2"/>
  <c r="BS1101" i="2"/>
  <c r="BR1101" i="2"/>
  <c r="BP1101" i="2"/>
  <c r="BO1101" i="2"/>
  <c r="BM1101" i="2"/>
  <c r="BL1101" i="2"/>
  <c r="BJ1101" i="2"/>
  <c r="BI1101" i="2"/>
  <c r="BD1101" i="2"/>
  <c r="BC1101" i="2"/>
  <c r="BA1101" i="2"/>
  <c r="AZ1101" i="2"/>
  <c r="AX1101" i="2"/>
  <c r="AW1101" i="2"/>
  <c r="AU1101" i="2"/>
  <c r="AT1101" i="2"/>
  <c r="U1101" i="2"/>
  <c r="AR1101" i="2" s="1"/>
  <c r="M1101" i="2"/>
  <c r="L1101" i="2"/>
  <c r="R1101" i="2" s="1"/>
  <c r="B1101" i="2"/>
  <c r="BV1100" i="2"/>
  <c r="BU1100" i="2"/>
  <c r="BS1100" i="2"/>
  <c r="BR1100" i="2"/>
  <c r="BP1100" i="2"/>
  <c r="BO1100" i="2"/>
  <c r="BM1100" i="2"/>
  <c r="BL1100" i="2"/>
  <c r="BG1100" i="2"/>
  <c r="BF1100" i="2"/>
  <c r="BD1100" i="2"/>
  <c r="BC1100" i="2"/>
  <c r="BA1100" i="2"/>
  <c r="AZ1100" i="2"/>
  <c r="AX1100" i="2"/>
  <c r="AW1100" i="2"/>
  <c r="AU1100" i="2"/>
  <c r="AT1100" i="2"/>
  <c r="R1100" i="2"/>
  <c r="M1100" i="2"/>
  <c r="U1100" i="2" s="1"/>
  <c r="AR1100" i="2" s="1"/>
  <c r="L1100" i="2"/>
  <c r="B1100" i="2"/>
  <c r="BV1099" i="2"/>
  <c r="BU1099" i="2"/>
  <c r="BS1099" i="2"/>
  <c r="BR1099" i="2"/>
  <c r="BP1099" i="2"/>
  <c r="BO1099" i="2"/>
  <c r="BM1099" i="2"/>
  <c r="BL1099" i="2"/>
  <c r="BJ1099" i="2"/>
  <c r="BI1099" i="2"/>
  <c r="BG1099" i="2"/>
  <c r="BF1099" i="2"/>
  <c r="BD1099" i="2"/>
  <c r="BC1099" i="2"/>
  <c r="AX1099" i="2"/>
  <c r="AW1099" i="2"/>
  <c r="AU1099" i="2"/>
  <c r="AT1099" i="2"/>
  <c r="AR1099" i="2"/>
  <c r="U1099" i="2"/>
  <c r="M1099" i="2"/>
  <c r="L1099" i="2"/>
  <c r="R1099" i="2" s="1"/>
  <c r="B1099" i="2"/>
  <c r="BV1098" i="2"/>
  <c r="BU1098" i="2"/>
  <c r="BS1098" i="2"/>
  <c r="BR1098" i="2"/>
  <c r="BP1098" i="2"/>
  <c r="BO1098" i="2"/>
  <c r="BM1098" i="2"/>
  <c r="BL1098" i="2"/>
  <c r="BJ1098" i="2"/>
  <c r="BI1098" i="2"/>
  <c r="BG1098" i="2"/>
  <c r="BF1098" i="2"/>
  <c r="BA1098" i="2"/>
  <c r="AZ1098" i="2"/>
  <c r="AX1098" i="2"/>
  <c r="AW1098" i="2"/>
  <c r="AU1098" i="2"/>
  <c r="AT1098" i="2"/>
  <c r="U1098" i="2"/>
  <c r="AR1098" i="2" s="1"/>
  <c r="M1098" i="2"/>
  <c r="L1098" i="2"/>
  <c r="R1098" i="2" s="1"/>
  <c r="B1098" i="2"/>
  <c r="BV1097" i="2"/>
  <c r="BU1097" i="2"/>
  <c r="BS1097" i="2"/>
  <c r="BR1097" i="2"/>
  <c r="BP1097" i="2"/>
  <c r="BO1097" i="2"/>
  <c r="BM1097" i="2"/>
  <c r="BL1097" i="2"/>
  <c r="BJ1097" i="2"/>
  <c r="BI1097" i="2"/>
  <c r="BG1097" i="2"/>
  <c r="BF1097" i="2"/>
  <c r="BD1097" i="2"/>
  <c r="BC1097" i="2"/>
  <c r="BA1097" i="2"/>
  <c r="AZ1097" i="2"/>
  <c r="AX1097" i="2"/>
  <c r="AW1097" i="2"/>
  <c r="AT1097" i="2"/>
  <c r="R1097" i="2"/>
  <c r="M1097" i="2"/>
  <c r="U1097" i="2" s="1"/>
  <c r="AR1097" i="2" s="1"/>
  <c r="L1097" i="2"/>
  <c r="B1097" i="2"/>
  <c r="BV1096" i="2"/>
  <c r="BU1096" i="2"/>
  <c r="BS1096" i="2"/>
  <c r="BR1096" i="2"/>
  <c r="BP1096" i="2"/>
  <c r="BO1096" i="2"/>
  <c r="BM1096" i="2"/>
  <c r="BL1096" i="2"/>
  <c r="BJ1096" i="2"/>
  <c r="BI1096" i="2"/>
  <c r="BG1096" i="2"/>
  <c r="BF1096" i="2"/>
  <c r="BD1096" i="2"/>
  <c r="BC1096" i="2"/>
  <c r="BA1096" i="2"/>
  <c r="AZ1096" i="2"/>
  <c r="AU1096" i="2"/>
  <c r="AT1096" i="2"/>
  <c r="AR1096" i="2"/>
  <c r="U1096" i="2"/>
  <c r="M1096" i="2"/>
  <c r="L1096" i="2"/>
  <c r="R1096" i="2" s="1"/>
  <c r="B1096" i="2"/>
  <c r="BV1095" i="2"/>
  <c r="BU1095" i="2"/>
  <c r="BS1095" i="2"/>
  <c r="BR1095" i="2"/>
  <c r="BP1095" i="2"/>
  <c r="BO1095" i="2"/>
  <c r="BM1095" i="2"/>
  <c r="BL1095" i="2"/>
  <c r="BJ1095" i="2"/>
  <c r="BI1095" i="2"/>
  <c r="BD1095" i="2"/>
  <c r="BC1095" i="2"/>
  <c r="BA1095" i="2"/>
  <c r="AZ1095" i="2"/>
  <c r="AX1095" i="2"/>
  <c r="AW1095" i="2"/>
  <c r="AU1095" i="2"/>
  <c r="AT1095" i="2"/>
  <c r="U1095" i="2"/>
  <c r="AR1095" i="2" s="1"/>
  <c r="M1095" i="2"/>
  <c r="L1095" i="2"/>
  <c r="R1095" i="2" s="1"/>
  <c r="BF1095" i="2" s="1"/>
  <c r="B1095" i="2"/>
  <c r="BV1094" i="2"/>
  <c r="BU1094" i="2"/>
  <c r="BS1094" i="2"/>
  <c r="BR1094" i="2"/>
  <c r="BP1094" i="2"/>
  <c r="BO1094" i="2"/>
  <c r="BM1094" i="2"/>
  <c r="BL1094" i="2"/>
  <c r="BJ1094" i="2"/>
  <c r="BI1094" i="2"/>
  <c r="BG1094" i="2"/>
  <c r="BF1094" i="2"/>
  <c r="BA1094" i="2"/>
  <c r="AZ1094" i="2"/>
  <c r="AX1094" i="2"/>
  <c r="AW1094" i="2"/>
  <c r="AU1094" i="2"/>
  <c r="AT1094" i="2"/>
  <c r="R1094" i="2"/>
  <c r="M1094" i="2"/>
  <c r="U1094" i="2" s="1"/>
  <c r="AR1094" i="2" s="1"/>
  <c r="L1094" i="2"/>
  <c r="B1094" i="2"/>
  <c r="BV1093" i="2"/>
  <c r="BU1093" i="2"/>
  <c r="BS1093" i="2"/>
  <c r="BR1093" i="2"/>
  <c r="BP1093" i="2"/>
  <c r="BO1093" i="2"/>
  <c r="BM1093" i="2"/>
  <c r="BL1093" i="2"/>
  <c r="BJ1093" i="2"/>
  <c r="BI1093" i="2"/>
  <c r="BG1093" i="2"/>
  <c r="BF1093" i="2"/>
  <c r="BD1093" i="2"/>
  <c r="BC1093" i="2"/>
  <c r="AX1093" i="2"/>
  <c r="AW1093" i="2"/>
  <c r="AU1093" i="2"/>
  <c r="AT1093" i="2"/>
  <c r="AR1093" i="2"/>
  <c r="U1093" i="2"/>
  <c r="M1093" i="2"/>
  <c r="L1093" i="2"/>
  <c r="R1093" i="2" s="1"/>
  <c r="B1093" i="2"/>
  <c r="BV1092" i="2"/>
  <c r="BU1092" i="2"/>
  <c r="BS1092" i="2"/>
  <c r="BR1092" i="2"/>
  <c r="BP1092" i="2"/>
  <c r="BO1092" i="2"/>
  <c r="BM1092" i="2"/>
  <c r="BL1092" i="2"/>
  <c r="BJ1092" i="2"/>
  <c r="BI1092" i="2"/>
  <c r="BG1092" i="2"/>
  <c r="BF1092" i="2"/>
  <c r="BD1092" i="2"/>
  <c r="BC1092" i="2"/>
  <c r="BA1092" i="2"/>
  <c r="AZ1092" i="2"/>
  <c r="AU1092" i="2"/>
  <c r="AT1092" i="2"/>
  <c r="U1092" i="2"/>
  <c r="AR1092" i="2" s="1"/>
  <c r="M1092" i="2"/>
  <c r="L1092" i="2"/>
  <c r="R1092" i="2" s="1"/>
  <c r="B1092" i="2"/>
  <c r="BV1091" i="2"/>
  <c r="BU1091" i="2"/>
  <c r="BS1091" i="2"/>
  <c r="BR1091" i="2"/>
  <c r="BP1091" i="2"/>
  <c r="BO1091" i="2"/>
  <c r="BM1091" i="2"/>
  <c r="BL1091" i="2"/>
  <c r="BJ1091" i="2"/>
  <c r="BI1091" i="2"/>
  <c r="BG1091" i="2"/>
  <c r="BF1091" i="2"/>
  <c r="BD1091" i="2"/>
  <c r="BC1091" i="2"/>
  <c r="BA1091" i="2"/>
  <c r="AZ1091" i="2"/>
  <c r="AU1091" i="2"/>
  <c r="AT1091" i="2"/>
  <c r="R1091" i="2"/>
  <c r="M1091" i="2"/>
  <c r="U1091" i="2" s="1"/>
  <c r="AR1091" i="2" s="1"/>
  <c r="L1091" i="2"/>
  <c r="B1091" i="2"/>
  <c r="BV1090" i="2"/>
  <c r="BU1090" i="2"/>
  <c r="BS1090" i="2"/>
  <c r="BR1090" i="2"/>
  <c r="BP1090" i="2"/>
  <c r="BO1090" i="2"/>
  <c r="BM1090" i="2"/>
  <c r="BL1090" i="2"/>
  <c r="BJ1090" i="2"/>
  <c r="BI1090" i="2"/>
  <c r="BD1090" i="2"/>
  <c r="BC1090" i="2"/>
  <c r="BA1090" i="2"/>
  <c r="AZ1090" i="2"/>
  <c r="AX1090" i="2"/>
  <c r="AW1090" i="2"/>
  <c r="AU1090" i="2"/>
  <c r="AT1090" i="2"/>
  <c r="AR1090" i="2"/>
  <c r="U1090" i="2"/>
  <c r="M1090" i="2"/>
  <c r="L1090" i="2"/>
  <c r="R1090" i="2" s="1"/>
  <c r="B1090" i="2"/>
  <c r="BV1089" i="2"/>
  <c r="BU1089" i="2"/>
  <c r="BS1089" i="2"/>
  <c r="BR1089" i="2"/>
  <c r="BP1089" i="2"/>
  <c r="BO1089" i="2"/>
  <c r="BM1089" i="2"/>
  <c r="BL1089" i="2"/>
  <c r="BG1089" i="2"/>
  <c r="BF1089" i="2"/>
  <c r="BD1089" i="2"/>
  <c r="BC1089" i="2"/>
  <c r="BA1089" i="2"/>
  <c r="AZ1089" i="2"/>
  <c r="AX1089" i="2"/>
  <c r="AW1089" i="2"/>
  <c r="AU1089" i="2"/>
  <c r="AT1089" i="2"/>
  <c r="U1089" i="2"/>
  <c r="AR1089" i="2" s="1"/>
  <c r="M1089" i="2"/>
  <c r="L1089" i="2"/>
  <c r="R1089" i="2" s="1"/>
  <c r="B1089" i="2"/>
  <c r="BV1088" i="2"/>
  <c r="BU1088" i="2"/>
  <c r="BS1088" i="2"/>
  <c r="BR1088" i="2"/>
  <c r="BP1088" i="2"/>
  <c r="BO1088" i="2"/>
  <c r="BM1088" i="2"/>
  <c r="BL1088" i="2"/>
  <c r="BJ1088" i="2"/>
  <c r="BI1088" i="2"/>
  <c r="BG1088" i="2"/>
  <c r="BF1088" i="2"/>
  <c r="BD1088" i="2"/>
  <c r="BC1088" i="2"/>
  <c r="AX1088" i="2"/>
  <c r="AW1088" i="2"/>
  <c r="AU1088" i="2"/>
  <c r="AT1088" i="2"/>
  <c r="T1088" i="2"/>
  <c r="R1088" i="2"/>
  <c r="M1088" i="2"/>
  <c r="U1088" i="2" s="1"/>
  <c r="AR1088" i="2" s="1"/>
  <c r="L1088" i="2"/>
  <c r="B1088" i="2"/>
  <c r="BV1087" i="2"/>
  <c r="BU1087" i="2"/>
  <c r="BS1087" i="2"/>
  <c r="BR1087" i="2"/>
  <c r="BP1087" i="2"/>
  <c r="BO1087" i="2"/>
  <c r="BM1087" i="2"/>
  <c r="BL1087" i="2"/>
  <c r="BJ1087" i="2"/>
  <c r="BI1087" i="2"/>
  <c r="BG1087" i="2"/>
  <c r="BF1087" i="2"/>
  <c r="BA1087" i="2"/>
  <c r="AZ1087" i="2"/>
  <c r="AX1087" i="2"/>
  <c r="AW1087" i="2"/>
  <c r="AU1087" i="2"/>
  <c r="AT1087" i="2"/>
  <c r="U1087" i="2"/>
  <c r="AR1087" i="2" s="1"/>
  <c r="M1087" i="2"/>
  <c r="L1087" i="2"/>
  <c r="R1087" i="2" s="1"/>
  <c r="B1087" i="2"/>
  <c r="BV1086" i="2"/>
  <c r="BU1086" i="2"/>
  <c r="BS1086" i="2"/>
  <c r="BR1086" i="2"/>
  <c r="BP1086" i="2"/>
  <c r="BO1086" i="2"/>
  <c r="BM1086" i="2"/>
  <c r="BL1086" i="2"/>
  <c r="BJ1086" i="2"/>
  <c r="BI1086" i="2"/>
  <c r="BG1086" i="2"/>
  <c r="BF1086" i="2"/>
  <c r="BD1086" i="2"/>
  <c r="BC1086" i="2"/>
  <c r="BA1086" i="2"/>
  <c r="AZ1086" i="2"/>
  <c r="AX1086" i="2"/>
  <c r="AW1086" i="2"/>
  <c r="U1086" i="2"/>
  <c r="AR1086" i="2" s="1"/>
  <c r="M1086" i="2"/>
  <c r="L1086" i="2"/>
  <c r="R1086" i="2" s="1"/>
  <c r="B1086" i="2"/>
  <c r="BV1085" i="2"/>
  <c r="BU1085" i="2"/>
  <c r="BS1085" i="2"/>
  <c r="BR1085" i="2"/>
  <c r="BP1085" i="2"/>
  <c r="BO1085" i="2"/>
  <c r="BM1085" i="2"/>
  <c r="BL1085" i="2"/>
  <c r="BJ1085" i="2"/>
  <c r="BI1085" i="2"/>
  <c r="BG1085" i="2"/>
  <c r="BF1085" i="2"/>
  <c r="BD1085" i="2"/>
  <c r="BC1085" i="2"/>
  <c r="BA1085" i="2"/>
  <c r="AZ1085" i="2"/>
  <c r="AU1085" i="2"/>
  <c r="AT1085" i="2"/>
  <c r="R1085" i="2"/>
  <c r="M1085" i="2"/>
  <c r="U1085" i="2" s="1"/>
  <c r="AR1085" i="2" s="1"/>
  <c r="L1085" i="2"/>
  <c r="B1085" i="2"/>
  <c r="BV1084" i="2"/>
  <c r="BU1084" i="2"/>
  <c r="BS1084" i="2"/>
  <c r="BR1084" i="2"/>
  <c r="BP1084" i="2"/>
  <c r="BO1084" i="2"/>
  <c r="BM1084" i="2"/>
  <c r="BL1084" i="2"/>
  <c r="BJ1084" i="2"/>
  <c r="BI1084" i="2"/>
  <c r="BD1084" i="2"/>
  <c r="BC1084" i="2"/>
  <c r="BA1084" i="2"/>
  <c r="AZ1084" i="2"/>
  <c r="AX1084" i="2"/>
  <c r="AW1084" i="2"/>
  <c r="AU1084" i="2"/>
  <c r="AT1084" i="2"/>
  <c r="U1084" i="2"/>
  <c r="AR1084" i="2" s="1"/>
  <c r="M1084" i="2"/>
  <c r="L1084" i="2"/>
  <c r="R1084" i="2" s="1"/>
  <c r="B1084" i="2"/>
  <c r="BV1083" i="2"/>
  <c r="BU1083" i="2"/>
  <c r="BS1083" i="2"/>
  <c r="BR1083" i="2"/>
  <c r="BP1083" i="2"/>
  <c r="BO1083" i="2"/>
  <c r="BM1083" i="2"/>
  <c r="BL1083" i="2"/>
  <c r="BJ1083" i="2"/>
  <c r="BI1083" i="2"/>
  <c r="BG1083" i="2"/>
  <c r="BF1083" i="2"/>
  <c r="BA1083" i="2"/>
  <c r="AZ1083" i="2"/>
  <c r="AX1083" i="2"/>
  <c r="AW1083" i="2"/>
  <c r="AU1083" i="2"/>
  <c r="AT1083" i="2"/>
  <c r="U1083" i="2"/>
  <c r="AR1083" i="2" s="1"/>
  <c r="S1083" i="2"/>
  <c r="BD1083" i="2" s="1"/>
  <c r="R1083" i="2"/>
  <c r="T1083" i="2" s="1"/>
  <c r="M1083" i="2"/>
  <c r="L1083" i="2"/>
  <c r="B1083" i="2"/>
  <c r="BV1082" i="2"/>
  <c r="BU1082" i="2"/>
  <c r="BS1082" i="2"/>
  <c r="BR1082" i="2"/>
  <c r="BP1082" i="2"/>
  <c r="BO1082" i="2"/>
  <c r="BM1082" i="2"/>
  <c r="BL1082" i="2"/>
  <c r="BJ1082" i="2"/>
  <c r="BI1082" i="2"/>
  <c r="BG1082" i="2"/>
  <c r="BF1082" i="2"/>
  <c r="BD1082" i="2"/>
  <c r="BC1082" i="2"/>
  <c r="AX1082" i="2"/>
  <c r="AW1082" i="2"/>
  <c r="AU1082" i="2"/>
  <c r="AT1082" i="2"/>
  <c r="T1082" i="2"/>
  <c r="R1082" i="2"/>
  <c r="M1082" i="2"/>
  <c r="U1082" i="2" s="1"/>
  <c r="AR1082" i="2" s="1"/>
  <c r="L1082" i="2"/>
  <c r="B1082" i="2"/>
  <c r="BV1081" i="2"/>
  <c r="BU1081" i="2"/>
  <c r="BS1081" i="2"/>
  <c r="BR1081" i="2"/>
  <c r="BP1081" i="2"/>
  <c r="BO1081" i="2"/>
  <c r="BM1081" i="2"/>
  <c r="BL1081" i="2"/>
  <c r="BJ1081" i="2"/>
  <c r="BI1081" i="2"/>
  <c r="BG1081" i="2"/>
  <c r="BF1081" i="2"/>
  <c r="BD1081" i="2"/>
  <c r="BC1081" i="2"/>
  <c r="BA1081" i="2"/>
  <c r="AZ1081" i="2"/>
  <c r="AU1081" i="2"/>
  <c r="AT1081" i="2"/>
  <c r="U1081" i="2"/>
  <c r="AR1081" i="2" s="1"/>
  <c r="M1081" i="2"/>
  <c r="L1081" i="2"/>
  <c r="R1081" i="2" s="1"/>
  <c r="B1081" i="2"/>
  <c r="BV1080" i="2"/>
  <c r="BU1080" i="2"/>
  <c r="BS1080" i="2"/>
  <c r="BR1080" i="2"/>
  <c r="BP1080" i="2"/>
  <c r="BO1080" i="2"/>
  <c r="BM1080" i="2"/>
  <c r="BL1080" i="2"/>
  <c r="BJ1080" i="2"/>
  <c r="BI1080" i="2"/>
  <c r="BG1080" i="2"/>
  <c r="BF1080" i="2"/>
  <c r="BD1080" i="2"/>
  <c r="BC1080" i="2"/>
  <c r="BA1080" i="2"/>
  <c r="AZ1080" i="2"/>
  <c r="AW1080" i="2"/>
  <c r="AU1080" i="2"/>
  <c r="AT1080" i="2"/>
  <c r="U1080" i="2"/>
  <c r="AR1080" i="2" s="1"/>
  <c r="M1080" i="2"/>
  <c r="L1080" i="2"/>
  <c r="R1080" i="2" s="1"/>
  <c r="T1080" i="2" s="1"/>
  <c r="B1080" i="2"/>
  <c r="BV1079" i="2"/>
  <c r="BU1079" i="2"/>
  <c r="BS1079" i="2"/>
  <c r="BR1079" i="2"/>
  <c r="BP1079" i="2"/>
  <c r="BO1079" i="2"/>
  <c r="BM1079" i="2"/>
  <c r="BL1079" i="2"/>
  <c r="BJ1079" i="2"/>
  <c r="BI1079" i="2"/>
  <c r="BD1079" i="2"/>
  <c r="BC1079" i="2"/>
  <c r="BA1079" i="2"/>
  <c r="AZ1079" i="2"/>
  <c r="AX1079" i="2"/>
  <c r="AW1079" i="2"/>
  <c r="AU1079" i="2"/>
  <c r="AT1079" i="2"/>
  <c r="R1079" i="2"/>
  <c r="M1079" i="2"/>
  <c r="U1079" i="2" s="1"/>
  <c r="AR1079" i="2" s="1"/>
  <c r="L1079" i="2"/>
  <c r="B1079" i="2"/>
  <c r="BV1078" i="2"/>
  <c r="BU1078" i="2"/>
  <c r="BS1078" i="2"/>
  <c r="BR1078" i="2"/>
  <c r="BP1078" i="2"/>
  <c r="BO1078" i="2"/>
  <c r="BM1078" i="2"/>
  <c r="BL1078" i="2"/>
  <c r="BI1078" i="2"/>
  <c r="BG1078" i="2"/>
  <c r="BF1078" i="2"/>
  <c r="BD1078" i="2"/>
  <c r="BC1078" i="2"/>
  <c r="BA1078" i="2"/>
  <c r="AZ1078" i="2"/>
  <c r="AX1078" i="2"/>
  <c r="AW1078" i="2"/>
  <c r="AU1078" i="2"/>
  <c r="AT1078" i="2"/>
  <c r="U1078" i="2"/>
  <c r="AR1078" i="2" s="1"/>
  <c r="M1078" i="2"/>
  <c r="L1078" i="2"/>
  <c r="R1078" i="2" s="1"/>
  <c r="T1078" i="2" s="1"/>
  <c r="B1078" i="2"/>
  <c r="BV1077" i="2"/>
  <c r="BU1077" i="2"/>
  <c r="BS1077" i="2"/>
  <c r="BR1077" i="2"/>
  <c r="BP1077" i="2"/>
  <c r="BO1077" i="2"/>
  <c r="BM1077" i="2"/>
  <c r="BL1077" i="2"/>
  <c r="BJ1077" i="2"/>
  <c r="BI1077" i="2"/>
  <c r="BG1077" i="2"/>
  <c r="BF1077" i="2"/>
  <c r="BD1077" i="2"/>
  <c r="BC1077" i="2"/>
  <c r="BA1077" i="2"/>
  <c r="AX1077" i="2"/>
  <c r="AW1077" i="2"/>
  <c r="AU1077" i="2"/>
  <c r="AT1077" i="2"/>
  <c r="U1077" i="2"/>
  <c r="AR1077" i="2" s="1"/>
  <c r="S1077" i="2"/>
  <c r="R1077" i="2"/>
  <c r="AZ1077" i="2" s="1"/>
  <c r="M1077" i="2"/>
  <c r="L1077" i="2"/>
  <c r="B1077" i="2"/>
  <c r="BV1076" i="2"/>
  <c r="BU1076" i="2"/>
  <c r="BS1076" i="2"/>
  <c r="BR1076" i="2"/>
  <c r="BP1076" i="2"/>
  <c r="BO1076" i="2"/>
  <c r="BM1076" i="2"/>
  <c r="BL1076" i="2"/>
  <c r="BJ1076" i="2"/>
  <c r="BI1076" i="2"/>
  <c r="BG1076" i="2"/>
  <c r="BF1076" i="2"/>
  <c r="BC1076" i="2"/>
  <c r="BA1076" i="2"/>
  <c r="AZ1076" i="2"/>
  <c r="AX1076" i="2"/>
  <c r="AW1076" i="2"/>
  <c r="AU1076" i="2"/>
  <c r="AT1076" i="2"/>
  <c r="T1076" i="2"/>
  <c r="R1076" i="2"/>
  <c r="M1076" i="2"/>
  <c r="U1076" i="2" s="1"/>
  <c r="AR1076" i="2" s="1"/>
  <c r="L1076" i="2"/>
  <c r="B1076" i="2"/>
  <c r="BV1075" i="2"/>
  <c r="BU1075" i="2"/>
  <c r="BS1075" i="2"/>
  <c r="BR1075" i="2"/>
  <c r="BP1075" i="2"/>
  <c r="BO1075" i="2"/>
  <c r="BM1075" i="2"/>
  <c r="BL1075" i="2"/>
  <c r="BJ1075" i="2"/>
  <c r="BI1075" i="2"/>
  <c r="BG1075" i="2"/>
  <c r="BF1075" i="2"/>
  <c r="BD1075" i="2"/>
  <c r="BC1075" i="2"/>
  <c r="BA1075" i="2"/>
  <c r="AZ1075" i="2"/>
  <c r="AX1075" i="2"/>
  <c r="AW1075" i="2"/>
  <c r="AR1075" i="2"/>
  <c r="U1075" i="2"/>
  <c r="M1075" i="2"/>
  <c r="L1075" i="2"/>
  <c r="R1075" i="2" s="1"/>
  <c r="AT1075" i="2" s="1"/>
  <c r="B1075" i="2"/>
  <c r="BV1074" i="2"/>
  <c r="BU1074" i="2"/>
  <c r="BS1074" i="2"/>
  <c r="BR1074" i="2"/>
  <c r="BP1074" i="2"/>
  <c r="BO1074" i="2"/>
  <c r="BM1074" i="2"/>
  <c r="BL1074" i="2"/>
  <c r="BJ1074" i="2"/>
  <c r="BI1074" i="2"/>
  <c r="BG1074" i="2"/>
  <c r="BF1074" i="2"/>
  <c r="BD1074" i="2"/>
  <c r="BC1074" i="2"/>
  <c r="BA1074" i="2"/>
  <c r="AZ1074" i="2"/>
  <c r="AW1074" i="2"/>
  <c r="AU1074" i="2"/>
  <c r="AT1074" i="2"/>
  <c r="U1074" i="2"/>
  <c r="AR1074" i="2" s="1"/>
  <c r="M1074" i="2"/>
  <c r="L1074" i="2"/>
  <c r="R1074" i="2" s="1"/>
  <c r="T1074" i="2" s="1"/>
  <c r="B1074" i="2"/>
  <c r="BV1073" i="2"/>
  <c r="BU1073" i="2"/>
  <c r="BS1073" i="2"/>
  <c r="BR1073" i="2"/>
  <c r="BP1073" i="2"/>
  <c r="BO1073" i="2"/>
  <c r="BM1073" i="2"/>
  <c r="BL1073" i="2"/>
  <c r="BJ1073" i="2"/>
  <c r="BI1073" i="2"/>
  <c r="BD1073" i="2"/>
  <c r="BC1073" i="2"/>
  <c r="BA1073" i="2"/>
  <c r="AZ1073" i="2"/>
  <c r="AX1073" i="2"/>
  <c r="AW1073" i="2"/>
  <c r="AU1073" i="2"/>
  <c r="AT1073" i="2"/>
  <c r="R1073" i="2"/>
  <c r="M1073" i="2"/>
  <c r="U1073" i="2" s="1"/>
  <c r="AR1073" i="2" s="1"/>
  <c r="L1073" i="2"/>
  <c r="B1073" i="2"/>
  <c r="BV1072" i="2"/>
  <c r="BU1072" i="2"/>
  <c r="BS1072" i="2"/>
  <c r="BR1072" i="2"/>
  <c r="BP1072" i="2"/>
  <c r="BO1072" i="2"/>
  <c r="BM1072" i="2"/>
  <c r="BL1072" i="2"/>
  <c r="BJ1072" i="2"/>
  <c r="BI1072" i="2"/>
  <c r="BG1072" i="2"/>
  <c r="BF1072" i="2"/>
  <c r="BA1072" i="2"/>
  <c r="AZ1072" i="2"/>
  <c r="AX1072" i="2"/>
  <c r="AW1072" i="2"/>
  <c r="AU1072" i="2"/>
  <c r="AT1072" i="2"/>
  <c r="M1072" i="2"/>
  <c r="U1072" i="2" s="1"/>
  <c r="AR1072" i="2" s="1"/>
  <c r="L1072" i="2"/>
  <c r="R1072" i="2" s="1"/>
  <c r="BC1072" i="2" s="1"/>
  <c r="B1072" i="2"/>
  <c r="BV1071" i="2"/>
  <c r="BU1071" i="2"/>
  <c r="BS1071" i="2"/>
  <c r="BR1071" i="2"/>
  <c r="BP1071" i="2"/>
  <c r="BO1071" i="2"/>
  <c r="BM1071" i="2"/>
  <c r="BL1071" i="2"/>
  <c r="BJ1071" i="2"/>
  <c r="BI1071" i="2"/>
  <c r="BG1071" i="2"/>
  <c r="BF1071" i="2"/>
  <c r="BD1071" i="2"/>
  <c r="BC1071" i="2"/>
  <c r="AX1071" i="2"/>
  <c r="AW1071" i="2"/>
  <c r="AU1071" i="2"/>
  <c r="AT1071" i="2"/>
  <c r="U1071" i="2"/>
  <c r="AR1071" i="2" s="1"/>
  <c r="M1071" i="2"/>
  <c r="L1071" i="2"/>
  <c r="R1071" i="2" s="1"/>
  <c r="B1071" i="2"/>
  <c r="BV1070" i="2"/>
  <c r="BU1070" i="2"/>
  <c r="BS1070" i="2"/>
  <c r="BR1070" i="2"/>
  <c r="BP1070" i="2"/>
  <c r="BO1070" i="2"/>
  <c r="BM1070" i="2"/>
  <c r="BL1070" i="2"/>
  <c r="BJ1070" i="2"/>
  <c r="BI1070" i="2"/>
  <c r="BG1070" i="2"/>
  <c r="BF1070" i="2"/>
  <c r="BD1070" i="2"/>
  <c r="BC1070" i="2"/>
  <c r="BA1070" i="2"/>
  <c r="AZ1070" i="2"/>
  <c r="AU1070" i="2"/>
  <c r="AT1070" i="2"/>
  <c r="M1070" i="2"/>
  <c r="U1070" i="2" s="1"/>
  <c r="AR1070" i="2" s="1"/>
  <c r="L1070" i="2"/>
  <c r="R1070" i="2" s="1"/>
  <c r="B1070" i="2"/>
  <c r="BV1069" i="2"/>
  <c r="BU1069" i="2"/>
  <c r="BS1069" i="2"/>
  <c r="BR1069" i="2"/>
  <c r="BP1069" i="2"/>
  <c r="BO1069" i="2"/>
  <c r="BM1069" i="2"/>
  <c r="BL1069" i="2"/>
  <c r="BJ1069" i="2"/>
  <c r="BI1069" i="2"/>
  <c r="BG1069" i="2"/>
  <c r="BF1069" i="2"/>
  <c r="BD1069" i="2"/>
  <c r="BC1069" i="2"/>
  <c r="BA1069" i="2"/>
  <c r="AZ1069" i="2"/>
  <c r="AU1069" i="2"/>
  <c r="AT1069" i="2"/>
  <c r="M1069" i="2"/>
  <c r="U1069" i="2" s="1"/>
  <c r="AR1069" i="2" s="1"/>
  <c r="L1069" i="2"/>
  <c r="R1069" i="2" s="1"/>
  <c r="AW1069" i="2" s="1"/>
  <c r="B1069" i="2"/>
  <c r="BV1068" i="2"/>
  <c r="BU1068" i="2"/>
  <c r="BS1068" i="2"/>
  <c r="BR1068" i="2"/>
  <c r="BP1068" i="2"/>
  <c r="BO1068" i="2"/>
  <c r="BM1068" i="2"/>
  <c r="BL1068" i="2"/>
  <c r="BJ1068" i="2"/>
  <c r="BI1068" i="2"/>
  <c r="BD1068" i="2"/>
  <c r="BC1068" i="2"/>
  <c r="BA1068" i="2"/>
  <c r="AZ1068" i="2"/>
  <c r="AX1068" i="2"/>
  <c r="AW1068" i="2"/>
  <c r="AU1068" i="2"/>
  <c r="AT1068" i="2"/>
  <c r="U1068" i="2"/>
  <c r="AR1068" i="2" s="1"/>
  <c r="M1068" i="2"/>
  <c r="L1068" i="2"/>
  <c r="R1068" i="2" s="1"/>
  <c r="B1068" i="2"/>
  <c r="BV1067" i="2"/>
  <c r="BU1067" i="2"/>
  <c r="BS1067" i="2"/>
  <c r="BR1067" i="2"/>
  <c r="BP1067" i="2"/>
  <c r="BO1067" i="2"/>
  <c r="BM1067" i="2"/>
  <c r="BL1067" i="2"/>
  <c r="BG1067" i="2"/>
  <c r="BF1067" i="2"/>
  <c r="BD1067" i="2"/>
  <c r="BC1067" i="2"/>
  <c r="BA1067" i="2"/>
  <c r="AZ1067" i="2"/>
  <c r="AX1067" i="2"/>
  <c r="AW1067" i="2"/>
  <c r="AU1067" i="2"/>
  <c r="AT1067" i="2"/>
  <c r="M1067" i="2"/>
  <c r="U1067" i="2" s="1"/>
  <c r="AR1067" i="2" s="1"/>
  <c r="L1067" i="2"/>
  <c r="R1067" i="2" s="1"/>
  <c r="B1067" i="2"/>
  <c r="BV1066" i="2"/>
  <c r="BU1066" i="2"/>
  <c r="BS1066" i="2"/>
  <c r="BR1066" i="2"/>
  <c r="BP1066" i="2"/>
  <c r="BO1066" i="2"/>
  <c r="BM1066" i="2"/>
  <c r="BL1066" i="2"/>
  <c r="BJ1066" i="2"/>
  <c r="BI1066" i="2"/>
  <c r="BG1066" i="2"/>
  <c r="BF1066" i="2"/>
  <c r="BD1066" i="2"/>
  <c r="BC1066" i="2"/>
  <c r="AX1066" i="2"/>
  <c r="AW1066" i="2"/>
  <c r="AU1066" i="2"/>
  <c r="AT1066" i="2"/>
  <c r="M1066" i="2"/>
  <c r="U1066" i="2" s="1"/>
  <c r="AR1066" i="2" s="1"/>
  <c r="L1066" i="2"/>
  <c r="R1066" i="2" s="1"/>
  <c r="AZ1066" i="2" s="1"/>
  <c r="B1066" i="2"/>
  <c r="BV1065" i="2"/>
  <c r="BU1065" i="2"/>
  <c r="BS1065" i="2"/>
  <c r="BR1065" i="2"/>
  <c r="BP1065" i="2"/>
  <c r="BO1065" i="2"/>
  <c r="BM1065" i="2"/>
  <c r="BL1065" i="2"/>
  <c r="BJ1065" i="2"/>
  <c r="BI1065" i="2"/>
  <c r="BG1065" i="2"/>
  <c r="BF1065" i="2"/>
  <c r="BA1065" i="2"/>
  <c r="AZ1065" i="2"/>
  <c r="AX1065" i="2"/>
  <c r="AW1065" i="2"/>
  <c r="AU1065" i="2"/>
  <c r="AT1065" i="2"/>
  <c r="U1065" i="2"/>
  <c r="AR1065" i="2" s="1"/>
  <c r="M1065" i="2"/>
  <c r="L1065" i="2"/>
  <c r="R1065" i="2" s="1"/>
  <c r="B1065" i="2"/>
  <c r="BV1064" i="2"/>
  <c r="BU1064" i="2"/>
  <c r="BS1064" i="2"/>
  <c r="BR1064" i="2"/>
  <c r="BP1064" i="2"/>
  <c r="BO1064" i="2"/>
  <c r="BM1064" i="2"/>
  <c r="BL1064" i="2"/>
  <c r="BJ1064" i="2"/>
  <c r="BI1064" i="2"/>
  <c r="BG1064" i="2"/>
  <c r="BF1064" i="2"/>
  <c r="BD1064" i="2"/>
  <c r="BC1064" i="2"/>
  <c r="BA1064" i="2"/>
  <c r="AZ1064" i="2"/>
  <c r="AX1064" i="2"/>
  <c r="AW1064" i="2"/>
  <c r="R1064" i="2"/>
  <c r="M1064" i="2"/>
  <c r="U1064" i="2" s="1"/>
  <c r="AR1064" i="2" s="1"/>
  <c r="L1064" i="2"/>
  <c r="B1064" i="2"/>
  <c r="AQ1061" i="2"/>
  <c r="BV1047" i="2"/>
  <c r="BU1047" i="2"/>
  <c r="BS1047" i="2"/>
  <c r="BR1047" i="2"/>
  <c r="BP1047" i="2"/>
  <c r="BO1047" i="2"/>
  <c r="BM1047" i="2"/>
  <c r="BL1047" i="2"/>
  <c r="BJ1047" i="2"/>
  <c r="BI1047" i="2"/>
  <c r="BG1047" i="2"/>
  <c r="BF1047" i="2"/>
  <c r="BD1047" i="2"/>
  <c r="BC1047" i="2"/>
  <c r="BA1047" i="2"/>
  <c r="AZ1047" i="2"/>
  <c r="AX1047" i="2"/>
  <c r="AW1047" i="2"/>
  <c r="AU1047" i="2"/>
  <c r="AT1047" i="2"/>
  <c r="S1047" i="2"/>
  <c r="R1047" i="2"/>
  <c r="M1047" i="2"/>
  <c r="U1047" i="2" s="1"/>
  <c r="B1047" i="2"/>
  <c r="BV1046" i="2"/>
  <c r="BU1046" i="2"/>
  <c r="BS1046" i="2"/>
  <c r="BR1046" i="2"/>
  <c r="BP1046" i="2"/>
  <c r="BO1046" i="2"/>
  <c r="BM1046" i="2"/>
  <c r="BL1046" i="2"/>
  <c r="BJ1046" i="2"/>
  <c r="BI1046" i="2"/>
  <c r="BG1046" i="2"/>
  <c r="BF1046" i="2"/>
  <c r="BD1046" i="2"/>
  <c r="BC1046" i="2"/>
  <c r="BA1046" i="2"/>
  <c r="AZ1046" i="2"/>
  <c r="AX1046" i="2"/>
  <c r="AW1046" i="2"/>
  <c r="AU1046" i="2"/>
  <c r="AT1046" i="2"/>
  <c r="U1046" i="2"/>
  <c r="S1046" i="2"/>
  <c r="R1046" i="2"/>
  <c r="M1046" i="2"/>
  <c r="B1046" i="2"/>
  <c r="BV1045" i="2"/>
  <c r="BU1045" i="2"/>
  <c r="BS1045" i="2"/>
  <c r="BR1045" i="2"/>
  <c r="BP1045" i="2"/>
  <c r="BO1045" i="2"/>
  <c r="BM1045" i="2"/>
  <c r="BL1045" i="2"/>
  <c r="BJ1045" i="2"/>
  <c r="BI1045" i="2"/>
  <c r="BG1045" i="2"/>
  <c r="BF1045" i="2"/>
  <c r="BD1045" i="2"/>
  <c r="BC1045" i="2"/>
  <c r="BA1045" i="2"/>
  <c r="AZ1045" i="2"/>
  <c r="AX1045" i="2"/>
  <c r="AW1045" i="2"/>
  <c r="AU1045" i="2"/>
  <c r="AT1045" i="2"/>
  <c r="U1045" i="2"/>
  <c r="S1045" i="2"/>
  <c r="R1045" i="2"/>
  <c r="M1045" i="2"/>
  <c r="B1045" i="2"/>
  <c r="BV1044" i="2"/>
  <c r="BU1044" i="2"/>
  <c r="BS1044" i="2"/>
  <c r="BR1044" i="2"/>
  <c r="BP1044" i="2"/>
  <c r="BO1044" i="2"/>
  <c r="BM1044" i="2"/>
  <c r="BL1044" i="2"/>
  <c r="BJ1044" i="2"/>
  <c r="BI1044" i="2"/>
  <c r="BG1044" i="2"/>
  <c r="BF1044" i="2"/>
  <c r="BD1044" i="2"/>
  <c r="BC1044" i="2"/>
  <c r="BA1044" i="2"/>
  <c r="AZ1044" i="2"/>
  <c r="AX1044" i="2"/>
  <c r="AW1044" i="2"/>
  <c r="AU1044" i="2"/>
  <c r="AT1044" i="2"/>
  <c r="U1044" i="2"/>
  <c r="S1044" i="2"/>
  <c r="R1044" i="2"/>
  <c r="M1044" i="2"/>
  <c r="B1044" i="2"/>
  <c r="BV1043" i="2"/>
  <c r="BU1043" i="2"/>
  <c r="BS1043" i="2"/>
  <c r="BR1043" i="2"/>
  <c r="BP1043" i="2"/>
  <c r="BO1043" i="2"/>
  <c r="BM1043" i="2"/>
  <c r="BL1043" i="2"/>
  <c r="BJ1043" i="2"/>
  <c r="BI1043" i="2"/>
  <c r="BG1043" i="2"/>
  <c r="BF1043" i="2"/>
  <c r="BD1043" i="2"/>
  <c r="BC1043" i="2"/>
  <c r="BA1043" i="2"/>
  <c r="AZ1043" i="2"/>
  <c r="AU1043" i="2"/>
  <c r="AT1043" i="2"/>
  <c r="U1043" i="2"/>
  <c r="R1043" i="2"/>
  <c r="M1043" i="2"/>
  <c r="L1043" i="2"/>
  <c r="B1043" i="2"/>
  <c r="BV1042" i="2"/>
  <c r="BU1042" i="2"/>
  <c r="BS1042" i="2"/>
  <c r="BR1042" i="2"/>
  <c r="BP1042" i="2"/>
  <c r="BO1042" i="2"/>
  <c r="BM1042" i="2"/>
  <c r="BL1042" i="2"/>
  <c r="BJ1042" i="2"/>
  <c r="BI1042" i="2"/>
  <c r="BG1042" i="2"/>
  <c r="BF1042" i="2"/>
  <c r="BD1042" i="2"/>
  <c r="BC1042" i="2"/>
  <c r="BA1042" i="2"/>
  <c r="AZ1042" i="2"/>
  <c r="AU1042" i="2"/>
  <c r="AT1042" i="2"/>
  <c r="U1042" i="2"/>
  <c r="M1042" i="2"/>
  <c r="L1042" i="2"/>
  <c r="R1042" i="2" s="1"/>
  <c r="B1042" i="2"/>
  <c r="BV1041" i="2"/>
  <c r="BU1041" i="2"/>
  <c r="BS1041" i="2"/>
  <c r="BR1041" i="2"/>
  <c r="BP1041" i="2"/>
  <c r="BO1041" i="2"/>
  <c r="BM1041" i="2"/>
  <c r="BL1041" i="2"/>
  <c r="BJ1041" i="2"/>
  <c r="BI1041" i="2"/>
  <c r="BG1041" i="2"/>
  <c r="BF1041" i="2"/>
  <c r="BD1041" i="2"/>
  <c r="BC1041" i="2"/>
  <c r="BA1041" i="2"/>
  <c r="AZ1041" i="2"/>
  <c r="AW1041" i="2"/>
  <c r="AU1041" i="2"/>
  <c r="AT1041" i="2"/>
  <c r="M1041" i="2"/>
  <c r="U1041" i="2" s="1"/>
  <c r="L1041" i="2"/>
  <c r="R1041" i="2" s="1"/>
  <c r="B1041" i="2"/>
  <c r="BV1040" i="2"/>
  <c r="BU1040" i="2"/>
  <c r="BS1040" i="2"/>
  <c r="BR1040" i="2"/>
  <c r="BP1040" i="2"/>
  <c r="BO1040" i="2"/>
  <c r="BM1040" i="2"/>
  <c r="BL1040" i="2"/>
  <c r="BJ1040" i="2"/>
  <c r="BI1040" i="2"/>
  <c r="BG1040" i="2"/>
  <c r="BF1040" i="2"/>
  <c r="BD1040" i="2"/>
  <c r="BC1040" i="2"/>
  <c r="BA1040" i="2"/>
  <c r="AZ1040" i="2"/>
  <c r="AW1040" i="2"/>
  <c r="AU1040" i="2"/>
  <c r="AT1040" i="2"/>
  <c r="R1040" i="2"/>
  <c r="M1040" i="2"/>
  <c r="U1040" i="2" s="1"/>
  <c r="L1040" i="2"/>
  <c r="B1040" i="2"/>
  <c r="BV1039" i="2"/>
  <c r="BU1039" i="2"/>
  <c r="BS1039" i="2"/>
  <c r="BR1039" i="2"/>
  <c r="BP1039" i="2"/>
  <c r="BO1039" i="2"/>
  <c r="BM1039" i="2"/>
  <c r="BL1039" i="2"/>
  <c r="BJ1039" i="2"/>
  <c r="BI1039" i="2"/>
  <c r="BG1039" i="2"/>
  <c r="BF1039" i="2"/>
  <c r="BD1039" i="2"/>
  <c r="BC1039" i="2"/>
  <c r="BA1039" i="2"/>
  <c r="AZ1039" i="2"/>
  <c r="AU1039" i="2"/>
  <c r="AT1039" i="2"/>
  <c r="U1039" i="2"/>
  <c r="M1039" i="2"/>
  <c r="L1039" i="2"/>
  <c r="R1039" i="2" s="1"/>
  <c r="B1039" i="2"/>
  <c r="BV1038" i="2"/>
  <c r="BU1038" i="2"/>
  <c r="BS1038" i="2"/>
  <c r="BR1038" i="2"/>
  <c r="BP1038" i="2"/>
  <c r="BO1038" i="2"/>
  <c r="BM1038" i="2"/>
  <c r="BL1038" i="2"/>
  <c r="BJ1038" i="2"/>
  <c r="BI1038" i="2"/>
  <c r="BG1038" i="2"/>
  <c r="BF1038" i="2"/>
  <c r="BD1038" i="2"/>
  <c r="BC1038" i="2"/>
  <c r="BA1038" i="2"/>
  <c r="AZ1038" i="2"/>
  <c r="AU1038" i="2"/>
  <c r="AT1038" i="2"/>
  <c r="M1038" i="2"/>
  <c r="U1038" i="2" s="1"/>
  <c r="L1038" i="2"/>
  <c r="R1038" i="2" s="1"/>
  <c r="T1019" i="2" s="1"/>
  <c r="B1038" i="2"/>
  <c r="BV1037" i="2"/>
  <c r="BU1037" i="2"/>
  <c r="BS1037" i="2"/>
  <c r="BR1037" i="2"/>
  <c r="BP1037" i="2"/>
  <c r="BO1037" i="2"/>
  <c r="BM1037" i="2"/>
  <c r="BL1037" i="2"/>
  <c r="BJ1037" i="2"/>
  <c r="BI1037" i="2"/>
  <c r="BG1037" i="2"/>
  <c r="BF1037" i="2"/>
  <c r="BD1037" i="2"/>
  <c r="BC1037" i="2"/>
  <c r="BA1037" i="2"/>
  <c r="AZ1037" i="2"/>
  <c r="AU1037" i="2"/>
  <c r="AT1037" i="2"/>
  <c r="M1037" i="2"/>
  <c r="U1037" i="2" s="1"/>
  <c r="L1037" i="2"/>
  <c r="R1037" i="2" s="1"/>
  <c r="AW1037" i="2" s="1"/>
  <c r="B1037" i="2"/>
  <c r="BV1036" i="2"/>
  <c r="BU1036" i="2"/>
  <c r="BS1036" i="2"/>
  <c r="BR1036" i="2"/>
  <c r="BP1036" i="2"/>
  <c r="BO1036" i="2"/>
  <c r="BM1036" i="2"/>
  <c r="BL1036" i="2"/>
  <c r="BJ1036" i="2"/>
  <c r="BI1036" i="2"/>
  <c r="BG1036" i="2"/>
  <c r="BF1036" i="2"/>
  <c r="BD1036" i="2"/>
  <c r="BC1036" i="2"/>
  <c r="BA1036" i="2"/>
  <c r="AZ1036" i="2"/>
  <c r="AU1036" i="2"/>
  <c r="AT1036" i="2"/>
  <c r="R1036" i="2"/>
  <c r="AW1036" i="2" s="1"/>
  <c r="M1036" i="2"/>
  <c r="U1036" i="2" s="1"/>
  <c r="L1036" i="2"/>
  <c r="B1036" i="2"/>
  <c r="BV1035" i="2"/>
  <c r="BU1035" i="2"/>
  <c r="BS1035" i="2"/>
  <c r="BR1035" i="2"/>
  <c r="BP1035" i="2"/>
  <c r="BO1035" i="2"/>
  <c r="BM1035" i="2"/>
  <c r="BL1035" i="2"/>
  <c r="BJ1035" i="2"/>
  <c r="BI1035" i="2"/>
  <c r="BG1035" i="2"/>
  <c r="BF1035" i="2"/>
  <c r="BD1035" i="2"/>
  <c r="BC1035" i="2"/>
  <c r="BA1035" i="2"/>
  <c r="AZ1035" i="2"/>
  <c r="AU1035" i="2"/>
  <c r="AT1035" i="2"/>
  <c r="U1035" i="2"/>
  <c r="R1035" i="2"/>
  <c r="M1035" i="2"/>
  <c r="L1035" i="2"/>
  <c r="B1035" i="2"/>
  <c r="BV1034" i="2"/>
  <c r="BU1034" i="2"/>
  <c r="BS1034" i="2"/>
  <c r="BR1034" i="2"/>
  <c r="BP1034" i="2"/>
  <c r="BO1034" i="2"/>
  <c r="BM1034" i="2"/>
  <c r="BL1034" i="2"/>
  <c r="BJ1034" i="2"/>
  <c r="BI1034" i="2"/>
  <c r="BG1034" i="2"/>
  <c r="BF1034" i="2"/>
  <c r="BD1034" i="2"/>
  <c r="BC1034" i="2"/>
  <c r="BA1034" i="2"/>
  <c r="AZ1034" i="2"/>
  <c r="AU1034" i="2"/>
  <c r="AT1034" i="2"/>
  <c r="U1034" i="2"/>
  <c r="M1034" i="2"/>
  <c r="L1034" i="2"/>
  <c r="R1034" i="2" s="1"/>
  <c r="B1034" i="2"/>
  <c r="BV1033" i="2"/>
  <c r="BU1033" i="2"/>
  <c r="BS1033" i="2"/>
  <c r="BR1033" i="2"/>
  <c r="BP1033" i="2"/>
  <c r="BO1033" i="2"/>
  <c r="BM1033" i="2"/>
  <c r="BL1033" i="2"/>
  <c r="BJ1033" i="2"/>
  <c r="BI1033" i="2"/>
  <c r="BG1033" i="2"/>
  <c r="BF1033" i="2"/>
  <c r="BD1033" i="2"/>
  <c r="BC1033" i="2"/>
  <c r="BA1033" i="2"/>
  <c r="AZ1033" i="2"/>
  <c r="AW1033" i="2"/>
  <c r="AU1033" i="2"/>
  <c r="AT1033" i="2"/>
  <c r="U1033" i="2"/>
  <c r="M1033" i="2"/>
  <c r="L1033" i="2"/>
  <c r="R1033" i="2" s="1"/>
  <c r="B1033" i="2"/>
  <c r="BV1032" i="2"/>
  <c r="BU1032" i="2"/>
  <c r="BS1032" i="2"/>
  <c r="BR1032" i="2"/>
  <c r="BP1032" i="2"/>
  <c r="BO1032" i="2"/>
  <c r="BM1032" i="2"/>
  <c r="BL1032" i="2"/>
  <c r="BJ1032" i="2"/>
  <c r="BI1032" i="2"/>
  <c r="BG1032" i="2"/>
  <c r="BF1032" i="2"/>
  <c r="BD1032" i="2"/>
  <c r="BC1032" i="2"/>
  <c r="BA1032" i="2"/>
  <c r="AZ1032" i="2"/>
  <c r="AW1032" i="2"/>
  <c r="AU1032" i="2"/>
  <c r="AT1032" i="2"/>
  <c r="R1032" i="2"/>
  <c r="M1032" i="2"/>
  <c r="U1032" i="2" s="1"/>
  <c r="L1032" i="2"/>
  <c r="B1032" i="2"/>
  <c r="BV1031" i="2"/>
  <c r="BU1031" i="2"/>
  <c r="BS1031" i="2"/>
  <c r="BR1031" i="2"/>
  <c r="BP1031" i="2"/>
  <c r="BO1031" i="2"/>
  <c r="BM1031" i="2"/>
  <c r="BL1031" i="2"/>
  <c r="BJ1031" i="2"/>
  <c r="BI1031" i="2"/>
  <c r="BG1031" i="2"/>
  <c r="BF1031" i="2"/>
  <c r="BD1031" i="2"/>
  <c r="BC1031" i="2"/>
  <c r="BA1031" i="2"/>
  <c r="AZ1031" i="2"/>
  <c r="AU1031" i="2"/>
  <c r="AT1031" i="2"/>
  <c r="U1031" i="2"/>
  <c r="M1031" i="2"/>
  <c r="L1031" i="2"/>
  <c r="R1031" i="2" s="1"/>
  <c r="B1031" i="2"/>
  <c r="BV1030" i="2"/>
  <c r="BU1030" i="2"/>
  <c r="BS1030" i="2"/>
  <c r="BR1030" i="2"/>
  <c r="BP1030" i="2"/>
  <c r="BO1030" i="2"/>
  <c r="BM1030" i="2"/>
  <c r="BL1030" i="2"/>
  <c r="BJ1030" i="2"/>
  <c r="BI1030" i="2"/>
  <c r="BG1030" i="2"/>
  <c r="BF1030" i="2"/>
  <c r="BD1030" i="2"/>
  <c r="BC1030" i="2"/>
  <c r="BA1030" i="2"/>
  <c r="AZ1030" i="2"/>
  <c r="AU1030" i="2"/>
  <c r="AT1030" i="2"/>
  <c r="M1030" i="2"/>
  <c r="U1030" i="2" s="1"/>
  <c r="L1030" i="2"/>
  <c r="R1030" i="2" s="1"/>
  <c r="B1030" i="2"/>
  <c r="BV1029" i="2"/>
  <c r="BU1029" i="2"/>
  <c r="BS1029" i="2"/>
  <c r="BR1029" i="2"/>
  <c r="BP1029" i="2"/>
  <c r="BO1029" i="2"/>
  <c r="BM1029" i="2"/>
  <c r="BL1029" i="2"/>
  <c r="BJ1029" i="2"/>
  <c r="BI1029" i="2"/>
  <c r="BG1029" i="2"/>
  <c r="BF1029" i="2"/>
  <c r="BD1029" i="2"/>
  <c r="BC1029" i="2"/>
  <c r="BA1029" i="2"/>
  <c r="AZ1029" i="2"/>
  <c r="AU1029" i="2"/>
  <c r="AT1029" i="2"/>
  <c r="M1029" i="2"/>
  <c r="U1029" i="2" s="1"/>
  <c r="L1029" i="2"/>
  <c r="R1029" i="2" s="1"/>
  <c r="AW1029" i="2" s="1"/>
  <c r="B1029" i="2"/>
  <c r="BV1028" i="2"/>
  <c r="BU1028" i="2"/>
  <c r="BS1028" i="2"/>
  <c r="BR1028" i="2"/>
  <c r="BP1028" i="2"/>
  <c r="BO1028" i="2"/>
  <c r="BM1028" i="2"/>
  <c r="BL1028" i="2"/>
  <c r="BJ1028" i="2"/>
  <c r="BI1028" i="2"/>
  <c r="BG1028" i="2"/>
  <c r="BF1028" i="2"/>
  <c r="BD1028" i="2"/>
  <c r="BC1028" i="2"/>
  <c r="BA1028" i="2"/>
  <c r="AZ1028" i="2"/>
  <c r="AU1028" i="2"/>
  <c r="AT1028" i="2"/>
  <c r="R1028" i="2"/>
  <c r="AW1028" i="2" s="1"/>
  <c r="M1028" i="2"/>
  <c r="U1028" i="2" s="1"/>
  <c r="L1028" i="2"/>
  <c r="B1028" i="2"/>
  <c r="BV1027" i="2"/>
  <c r="BU1027" i="2"/>
  <c r="BS1027" i="2"/>
  <c r="BR1027" i="2"/>
  <c r="BP1027" i="2"/>
  <c r="BO1027" i="2"/>
  <c r="BM1027" i="2"/>
  <c r="BL1027" i="2"/>
  <c r="BJ1027" i="2"/>
  <c r="BI1027" i="2"/>
  <c r="BG1027" i="2"/>
  <c r="BF1027" i="2"/>
  <c r="BD1027" i="2"/>
  <c r="BC1027" i="2"/>
  <c r="BA1027" i="2"/>
  <c r="AZ1027" i="2"/>
  <c r="AU1027" i="2"/>
  <c r="AT1027" i="2"/>
  <c r="U1027" i="2"/>
  <c r="R1027" i="2"/>
  <c r="AW1027" i="2" s="1"/>
  <c r="M1027" i="2"/>
  <c r="L1027" i="2"/>
  <c r="B1027" i="2"/>
  <c r="BV1026" i="2"/>
  <c r="BU1026" i="2"/>
  <c r="BS1026" i="2"/>
  <c r="BR1026" i="2"/>
  <c r="BP1026" i="2"/>
  <c r="BO1026" i="2"/>
  <c r="BM1026" i="2"/>
  <c r="BL1026" i="2"/>
  <c r="BJ1026" i="2"/>
  <c r="BI1026" i="2"/>
  <c r="BG1026" i="2"/>
  <c r="BF1026" i="2"/>
  <c r="BD1026" i="2"/>
  <c r="BC1026" i="2"/>
  <c r="BA1026" i="2"/>
  <c r="AZ1026" i="2"/>
  <c r="AW1026" i="2"/>
  <c r="AU1026" i="2"/>
  <c r="AT1026" i="2"/>
  <c r="U1026" i="2"/>
  <c r="R1026" i="2"/>
  <c r="M1026" i="2"/>
  <c r="L1026" i="2"/>
  <c r="B1026" i="2"/>
  <c r="BV1025" i="2"/>
  <c r="BU1025" i="2"/>
  <c r="BS1025" i="2"/>
  <c r="BR1025" i="2"/>
  <c r="BP1025" i="2"/>
  <c r="BO1025" i="2"/>
  <c r="BM1025" i="2"/>
  <c r="BL1025" i="2"/>
  <c r="BJ1025" i="2"/>
  <c r="BI1025" i="2"/>
  <c r="BG1025" i="2"/>
  <c r="BF1025" i="2"/>
  <c r="BD1025" i="2"/>
  <c r="BC1025" i="2"/>
  <c r="BA1025" i="2"/>
  <c r="AZ1025" i="2"/>
  <c r="AW1025" i="2"/>
  <c r="AU1025" i="2"/>
  <c r="AT1025" i="2"/>
  <c r="M1025" i="2"/>
  <c r="U1025" i="2" s="1"/>
  <c r="L1025" i="2"/>
  <c r="R1025" i="2" s="1"/>
  <c r="B1025" i="2"/>
  <c r="BV1024" i="2"/>
  <c r="BU1024" i="2"/>
  <c r="BS1024" i="2"/>
  <c r="BR1024" i="2"/>
  <c r="BP1024" i="2"/>
  <c r="BO1024" i="2"/>
  <c r="BM1024" i="2"/>
  <c r="BL1024" i="2"/>
  <c r="BJ1024" i="2"/>
  <c r="BI1024" i="2"/>
  <c r="BG1024" i="2"/>
  <c r="BF1024" i="2"/>
  <c r="BD1024" i="2"/>
  <c r="BC1024" i="2"/>
  <c r="BA1024" i="2"/>
  <c r="AZ1024" i="2"/>
  <c r="AU1024" i="2"/>
  <c r="AT1024" i="2"/>
  <c r="M1024" i="2"/>
  <c r="U1024" i="2" s="1"/>
  <c r="L1024" i="2"/>
  <c r="R1024" i="2" s="1"/>
  <c r="B1024" i="2"/>
  <c r="BV1023" i="2"/>
  <c r="BU1023" i="2"/>
  <c r="BS1023" i="2"/>
  <c r="BR1023" i="2"/>
  <c r="BP1023" i="2"/>
  <c r="BO1023" i="2"/>
  <c r="BM1023" i="2"/>
  <c r="BL1023" i="2"/>
  <c r="BJ1023" i="2"/>
  <c r="BI1023" i="2"/>
  <c r="BG1023" i="2"/>
  <c r="BF1023" i="2"/>
  <c r="BD1023" i="2"/>
  <c r="BC1023" i="2"/>
  <c r="BA1023" i="2"/>
  <c r="AZ1023" i="2"/>
  <c r="AU1023" i="2"/>
  <c r="AT1023" i="2"/>
  <c r="T1023" i="2"/>
  <c r="R1023" i="2"/>
  <c r="AW1023" i="2" s="1"/>
  <c r="M1023" i="2"/>
  <c r="U1023" i="2" s="1"/>
  <c r="L1023" i="2"/>
  <c r="B1023" i="2"/>
  <c r="BV1022" i="2"/>
  <c r="BU1022" i="2"/>
  <c r="BS1022" i="2"/>
  <c r="BR1022" i="2"/>
  <c r="BP1022" i="2"/>
  <c r="BO1022" i="2"/>
  <c r="BM1022" i="2"/>
  <c r="BL1022" i="2"/>
  <c r="BJ1022" i="2"/>
  <c r="BI1022" i="2"/>
  <c r="BG1022" i="2"/>
  <c r="BF1022" i="2"/>
  <c r="BD1022" i="2"/>
  <c r="BC1022" i="2"/>
  <c r="BA1022" i="2"/>
  <c r="AZ1022" i="2"/>
  <c r="AU1022" i="2"/>
  <c r="AT1022" i="2"/>
  <c r="U1022" i="2"/>
  <c r="T1022" i="2"/>
  <c r="R1022" i="2"/>
  <c r="M1022" i="2"/>
  <c r="L1022" i="2"/>
  <c r="B1022" i="2"/>
  <c r="BV1021" i="2"/>
  <c r="BU1021" i="2"/>
  <c r="BS1021" i="2"/>
  <c r="BR1021" i="2"/>
  <c r="BP1021" i="2"/>
  <c r="BO1021" i="2"/>
  <c r="BM1021" i="2"/>
  <c r="BL1021" i="2"/>
  <c r="BJ1021" i="2"/>
  <c r="BI1021" i="2"/>
  <c r="BG1021" i="2"/>
  <c r="BF1021" i="2"/>
  <c r="BD1021" i="2"/>
  <c r="BC1021" i="2"/>
  <c r="BA1021" i="2"/>
  <c r="AZ1021" i="2"/>
  <c r="AU1021" i="2"/>
  <c r="AT1021" i="2"/>
  <c r="M1021" i="2"/>
  <c r="U1021" i="2" s="1"/>
  <c r="L1021" i="2"/>
  <c r="R1021" i="2" s="1"/>
  <c r="B1021" i="2"/>
  <c r="BV1020" i="2"/>
  <c r="BU1020" i="2"/>
  <c r="BS1020" i="2"/>
  <c r="BR1020" i="2"/>
  <c r="BP1020" i="2"/>
  <c r="BO1020" i="2"/>
  <c r="BM1020" i="2"/>
  <c r="BL1020" i="2"/>
  <c r="BJ1020" i="2"/>
  <c r="BI1020" i="2"/>
  <c r="BG1020" i="2"/>
  <c r="BF1020" i="2"/>
  <c r="BD1020" i="2"/>
  <c r="BC1020" i="2"/>
  <c r="BA1020" i="2"/>
  <c r="AZ1020" i="2"/>
  <c r="AU1020" i="2"/>
  <c r="AT1020" i="2"/>
  <c r="M1020" i="2"/>
  <c r="U1020" i="2" s="1"/>
  <c r="L1020" i="2"/>
  <c r="R1020" i="2" s="1"/>
  <c r="B1020" i="2"/>
  <c r="BV1019" i="2"/>
  <c r="BU1019" i="2"/>
  <c r="BS1019" i="2"/>
  <c r="BR1019" i="2"/>
  <c r="BP1019" i="2"/>
  <c r="BO1019" i="2"/>
  <c r="BM1019" i="2"/>
  <c r="BL1019" i="2"/>
  <c r="BJ1019" i="2"/>
  <c r="BI1019" i="2"/>
  <c r="BG1019" i="2"/>
  <c r="BF1019" i="2"/>
  <c r="BD1019" i="2"/>
  <c r="BC1019" i="2"/>
  <c r="BA1019" i="2"/>
  <c r="AZ1019" i="2"/>
  <c r="AU1019" i="2"/>
  <c r="AT1019" i="2"/>
  <c r="R1019" i="2"/>
  <c r="AW1019" i="2" s="1"/>
  <c r="M1019" i="2"/>
  <c r="U1019" i="2" s="1"/>
  <c r="L1019" i="2"/>
  <c r="B1019" i="2"/>
  <c r="BV1018" i="2"/>
  <c r="BU1018" i="2"/>
  <c r="BS1018" i="2"/>
  <c r="BR1018" i="2"/>
  <c r="BP1018" i="2"/>
  <c r="BO1018" i="2"/>
  <c r="BM1018" i="2"/>
  <c r="BL1018" i="2"/>
  <c r="BJ1018" i="2"/>
  <c r="BI1018" i="2"/>
  <c r="BG1018" i="2"/>
  <c r="BF1018" i="2"/>
  <c r="BD1018" i="2"/>
  <c r="BC1018" i="2"/>
  <c r="BA1018" i="2"/>
  <c r="AZ1018" i="2"/>
  <c r="AU1018" i="2"/>
  <c r="AT1018" i="2"/>
  <c r="U1018" i="2"/>
  <c r="T1018" i="2"/>
  <c r="R1018" i="2"/>
  <c r="M1018" i="2"/>
  <c r="L1018" i="2"/>
  <c r="B1018" i="2"/>
  <c r="BV1017" i="2"/>
  <c r="BU1017" i="2"/>
  <c r="BS1017" i="2"/>
  <c r="BR1017" i="2"/>
  <c r="BP1017" i="2"/>
  <c r="BO1017" i="2"/>
  <c r="BM1017" i="2"/>
  <c r="BL1017" i="2"/>
  <c r="BJ1017" i="2"/>
  <c r="BI1017" i="2"/>
  <c r="BG1017" i="2"/>
  <c r="BF1017" i="2"/>
  <c r="BD1017" i="2"/>
  <c r="BC1017" i="2"/>
  <c r="BA1017" i="2"/>
  <c r="AZ1017" i="2"/>
  <c r="AU1017" i="2"/>
  <c r="AT1017" i="2"/>
  <c r="M1017" i="2"/>
  <c r="U1017" i="2" s="1"/>
  <c r="L1017" i="2"/>
  <c r="R1017" i="2" s="1"/>
  <c r="B1017" i="2"/>
  <c r="BV1016" i="2"/>
  <c r="BU1016" i="2"/>
  <c r="BS1016" i="2"/>
  <c r="BR1016" i="2"/>
  <c r="BP1016" i="2"/>
  <c r="BO1016" i="2"/>
  <c r="BM1016" i="2"/>
  <c r="BL1016" i="2"/>
  <c r="BJ1016" i="2"/>
  <c r="BI1016" i="2"/>
  <c r="BG1016" i="2"/>
  <c r="BF1016" i="2"/>
  <c r="BD1016" i="2"/>
  <c r="BC1016" i="2"/>
  <c r="BA1016" i="2"/>
  <c r="AZ1016" i="2"/>
  <c r="AU1016" i="2"/>
  <c r="AT1016" i="2"/>
  <c r="M1016" i="2"/>
  <c r="U1016" i="2" s="1"/>
  <c r="L1016" i="2"/>
  <c r="R1016" i="2" s="1"/>
  <c r="B1016" i="2"/>
  <c r="BV1015" i="2"/>
  <c r="BU1015" i="2"/>
  <c r="BS1015" i="2"/>
  <c r="BR1015" i="2"/>
  <c r="BP1015" i="2"/>
  <c r="BO1015" i="2"/>
  <c r="BM1015" i="2"/>
  <c r="BL1015" i="2"/>
  <c r="BJ1015" i="2"/>
  <c r="BI1015" i="2"/>
  <c r="BG1015" i="2"/>
  <c r="BF1015" i="2"/>
  <c r="BD1015" i="2"/>
  <c r="BC1015" i="2"/>
  <c r="BA1015" i="2"/>
  <c r="AZ1015" i="2"/>
  <c r="AU1015" i="2"/>
  <c r="AT1015" i="2"/>
  <c r="T1015" i="2"/>
  <c r="R1015" i="2"/>
  <c r="AW1015" i="2" s="1"/>
  <c r="M1015" i="2"/>
  <c r="U1015" i="2" s="1"/>
  <c r="L1015" i="2"/>
  <c r="B1015" i="2"/>
  <c r="BV1014" i="2"/>
  <c r="BU1014" i="2"/>
  <c r="BS1014" i="2"/>
  <c r="BR1014" i="2"/>
  <c r="BP1014" i="2"/>
  <c r="BO1014" i="2"/>
  <c r="BM1014" i="2"/>
  <c r="BL1014" i="2"/>
  <c r="BJ1014" i="2"/>
  <c r="BI1014" i="2"/>
  <c r="BG1014" i="2"/>
  <c r="BF1014" i="2"/>
  <c r="BD1014" i="2"/>
  <c r="BC1014" i="2"/>
  <c r="BA1014" i="2"/>
  <c r="AZ1014" i="2"/>
  <c r="AU1014" i="2"/>
  <c r="AT1014" i="2"/>
  <c r="U1014" i="2"/>
  <c r="T1014" i="2"/>
  <c r="R1014" i="2"/>
  <c r="M1014" i="2"/>
  <c r="L1014" i="2"/>
  <c r="B1014" i="2"/>
  <c r="BV1013" i="2"/>
  <c r="BU1013" i="2"/>
  <c r="BS1013" i="2"/>
  <c r="BR1013" i="2"/>
  <c r="BP1013" i="2"/>
  <c r="BO1013" i="2"/>
  <c r="BM1013" i="2"/>
  <c r="BL1013" i="2"/>
  <c r="BJ1013" i="2"/>
  <c r="BI1013" i="2"/>
  <c r="BG1013" i="2"/>
  <c r="BF1013" i="2"/>
  <c r="BD1013" i="2"/>
  <c r="BC1013" i="2"/>
  <c r="BA1013" i="2"/>
  <c r="AZ1013" i="2"/>
  <c r="AU1013" i="2"/>
  <c r="AT1013" i="2"/>
  <c r="M1013" i="2"/>
  <c r="U1013" i="2" s="1"/>
  <c r="L1013" i="2"/>
  <c r="R1013" i="2" s="1"/>
  <c r="B1013" i="2"/>
  <c r="BV1012" i="2"/>
  <c r="BU1012" i="2"/>
  <c r="BS1012" i="2"/>
  <c r="BR1012" i="2"/>
  <c r="BP1012" i="2"/>
  <c r="BO1012" i="2"/>
  <c r="BM1012" i="2"/>
  <c r="BL1012" i="2"/>
  <c r="BJ1012" i="2"/>
  <c r="BI1012" i="2"/>
  <c r="BG1012" i="2"/>
  <c r="BF1012" i="2"/>
  <c r="BD1012" i="2"/>
  <c r="BC1012" i="2"/>
  <c r="BA1012" i="2"/>
  <c r="AZ1012" i="2"/>
  <c r="AU1012" i="2"/>
  <c r="AT1012" i="2"/>
  <c r="M1012" i="2"/>
  <c r="U1012" i="2" s="1"/>
  <c r="L1012" i="2"/>
  <c r="R1012" i="2" s="1"/>
  <c r="B1012" i="2"/>
  <c r="BV1011" i="2"/>
  <c r="BU1011" i="2"/>
  <c r="BS1011" i="2"/>
  <c r="BR1011" i="2"/>
  <c r="BP1011" i="2"/>
  <c r="BO1011" i="2"/>
  <c r="BM1011" i="2"/>
  <c r="BL1011" i="2"/>
  <c r="BJ1011" i="2"/>
  <c r="BI1011" i="2"/>
  <c r="BG1011" i="2"/>
  <c r="BF1011" i="2"/>
  <c r="BD1011" i="2"/>
  <c r="BC1011" i="2"/>
  <c r="BA1011" i="2"/>
  <c r="AZ1011" i="2"/>
  <c r="AU1011" i="2"/>
  <c r="AT1011" i="2"/>
  <c r="T1011" i="2"/>
  <c r="R1011" i="2"/>
  <c r="AW1011" i="2" s="1"/>
  <c r="M1011" i="2"/>
  <c r="U1011" i="2" s="1"/>
  <c r="L1011" i="2"/>
  <c r="B1011" i="2"/>
  <c r="BV1010" i="2"/>
  <c r="BU1010" i="2"/>
  <c r="BS1010" i="2"/>
  <c r="BR1010" i="2"/>
  <c r="BP1010" i="2"/>
  <c r="BO1010" i="2"/>
  <c r="BM1010" i="2"/>
  <c r="BL1010" i="2"/>
  <c r="BJ1010" i="2"/>
  <c r="BI1010" i="2"/>
  <c r="BG1010" i="2"/>
  <c r="BF1010" i="2"/>
  <c r="BD1010" i="2"/>
  <c r="BC1010" i="2"/>
  <c r="BA1010" i="2"/>
  <c r="AZ1010" i="2"/>
  <c r="AU1010" i="2"/>
  <c r="AT1010" i="2"/>
  <c r="U1010" i="2"/>
  <c r="T1010" i="2"/>
  <c r="R1010" i="2"/>
  <c r="M1010" i="2"/>
  <c r="L1010" i="2"/>
  <c r="B1010" i="2"/>
  <c r="BV1009" i="2"/>
  <c r="BU1009" i="2"/>
  <c r="BS1009" i="2"/>
  <c r="BR1009" i="2"/>
  <c r="BP1009" i="2"/>
  <c r="BO1009" i="2"/>
  <c r="BM1009" i="2"/>
  <c r="BL1009" i="2"/>
  <c r="BJ1009" i="2"/>
  <c r="BI1009" i="2"/>
  <c r="BG1009" i="2"/>
  <c r="BF1009" i="2"/>
  <c r="BD1009" i="2"/>
  <c r="BC1009" i="2"/>
  <c r="BA1009" i="2"/>
  <c r="AZ1009" i="2"/>
  <c r="AU1009" i="2"/>
  <c r="AT1009" i="2"/>
  <c r="M1009" i="2"/>
  <c r="U1009" i="2" s="1"/>
  <c r="L1009" i="2"/>
  <c r="R1009" i="2" s="1"/>
  <c r="B1009" i="2"/>
  <c r="BV1008" i="2"/>
  <c r="BU1008" i="2"/>
  <c r="BS1008" i="2"/>
  <c r="BR1008" i="2"/>
  <c r="BP1008" i="2"/>
  <c r="BO1008" i="2"/>
  <c r="BM1008" i="2"/>
  <c r="BL1008" i="2"/>
  <c r="BJ1008" i="2"/>
  <c r="BI1008" i="2"/>
  <c r="BG1008" i="2"/>
  <c r="BF1008" i="2"/>
  <c r="BD1008" i="2"/>
  <c r="BC1008" i="2"/>
  <c r="BA1008" i="2"/>
  <c r="AZ1008" i="2"/>
  <c r="AU1008" i="2"/>
  <c r="AT1008" i="2"/>
  <c r="M1008" i="2"/>
  <c r="U1008" i="2" s="1"/>
  <c r="L1008" i="2"/>
  <c r="R1008" i="2" s="1"/>
  <c r="B1008" i="2"/>
  <c r="BV1007" i="2"/>
  <c r="BU1007" i="2"/>
  <c r="BS1007" i="2"/>
  <c r="BR1007" i="2"/>
  <c r="BP1007" i="2"/>
  <c r="BO1007" i="2"/>
  <c r="BM1007" i="2"/>
  <c r="BL1007" i="2"/>
  <c r="BJ1007" i="2"/>
  <c r="BI1007" i="2"/>
  <c r="BG1007" i="2"/>
  <c r="BF1007" i="2"/>
  <c r="BD1007" i="2"/>
  <c r="BC1007" i="2"/>
  <c r="BA1007" i="2"/>
  <c r="AZ1007" i="2"/>
  <c r="AU1007" i="2"/>
  <c r="AT1007" i="2"/>
  <c r="T1007" i="2"/>
  <c r="R1007" i="2"/>
  <c r="AW1007" i="2" s="1"/>
  <c r="M1007" i="2"/>
  <c r="U1007" i="2" s="1"/>
  <c r="L1007" i="2"/>
  <c r="B1007" i="2"/>
  <c r="BV1006" i="2"/>
  <c r="BU1006" i="2"/>
  <c r="BS1006" i="2"/>
  <c r="BR1006" i="2"/>
  <c r="BP1006" i="2"/>
  <c r="BO1006" i="2"/>
  <c r="BM1006" i="2"/>
  <c r="BL1006" i="2"/>
  <c r="BJ1006" i="2"/>
  <c r="BI1006" i="2"/>
  <c r="BG1006" i="2"/>
  <c r="BF1006" i="2"/>
  <c r="BD1006" i="2"/>
  <c r="BC1006" i="2"/>
  <c r="BA1006" i="2"/>
  <c r="AZ1006" i="2"/>
  <c r="AU1006" i="2"/>
  <c r="AT1006" i="2"/>
  <c r="U1006" i="2"/>
  <c r="T1006" i="2"/>
  <c r="R1006" i="2"/>
  <c r="M1006" i="2"/>
  <c r="L1006" i="2"/>
  <c r="B1006" i="2"/>
  <c r="BV1005" i="2"/>
  <c r="BU1005" i="2"/>
  <c r="BS1005" i="2"/>
  <c r="BR1005" i="2"/>
  <c r="BP1005" i="2"/>
  <c r="BO1005" i="2"/>
  <c r="BM1005" i="2"/>
  <c r="BL1005" i="2"/>
  <c r="BJ1005" i="2"/>
  <c r="BI1005" i="2"/>
  <c r="BG1005" i="2"/>
  <c r="BF1005" i="2"/>
  <c r="BD1005" i="2"/>
  <c r="BC1005" i="2"/>
  <c r="BA1005" i="2"/>
  <c r="AZ1005" i="2"/>
  <c r="AU1005" i="2"/>
  <c r="AT1005" i="2"/>
  <c r="M1005" i="2"/>
  <c r="U1005" i="2" s="1"/>
  <c r="L1005" i="2"/>
  <c r="R1005" i="2" s="1"/>
  <c r="B1005" i="2"/>
  <c r="BV1004" i="2"/>
  <c r="BU1004" i="2"/>
  <c r="BS1004" i="2"/>
  <c r="BR1004" i="2"/>
  <c r="BP1004" i="2"/>
  <c r="BO1004" i="2"/>
  <c r="BM1004" i="2"/>
  <c r="BL1004" i="2"/>
  <c r="BJ1004" i="2"/>
  <c r="BI1004" i="2"/>
  <c r="BG1004" i="2"/>
  <c r="BF1004" i="2"/>
  <c r="BD1004" i="2"/>
  <c r="BC1004" i="2"/>
  <c r="BA1004" i="2"/>
  <c r="AZ1004" i="2"/>
  <c r="AU1004" i="2"/>
  <c r="AT1004" i="2"/>
  <c r="M1004" i="2"/>
  <c r="U1004" i="2" s="1"/>
  <c r="L1004" i="2"/>
  <c r="R1004" i="2" s="1"/>
  <c r="B1004" i="2"/>
  <c r="BV1003" i="2"/>
  <c r="BU1003" i="2"/>
  <c r="BS1003" i="2"/>
  <c r="BR1003" i="2"/>
  <c r="BP1003" i="2"/>
  <c r="BO1003" i="2"/>
  <c r="BM1003" i="2"/>
  <c r="BL1003" i="2"/>
  <c r="BJ1003" i="2"/>
  <c r="BI1003" i="2"/>
  <c r="BG1003" i="2"/>
  <c r="BF1003" i="2"/>
  <c r="BD1003" i="2"/>
  <c r="BC1003" i="2"/>
  <c r="BA1003" i="2"/>
  <c r="AZ1003" i="2"/>
  <c r="AU1003" i="2"/>
  <c r="AT1003" i="2"/>
  <c r="T1003" i="2"/>
  <c r="R1003" i="2"/>
  <c r="AW1003" i="2" s="1"/>
  <c r="M1003" i="2"/>
  <c r="U1003" i="2" s="1"/>
  <c r="L1003" i="2"/>
  <c r="B1003" i="2"/>
  <c r="BV1002" i="2"/>
  <c r="BU1002" i="2"/>
  <c r="BS1002" i="2"/>
  <c r="BR1002" i="2"/>
  <c r="BP1002" i="2"/>
  <c r="BO1002" i="2"/>
  <c r="BM1002" i="2"/>
  <c r="BL1002" i="2"/>
  <c r="BJ1002" i="2"/>
  <c r="BI1002" i="2"/>
  <c r="BG1002" i="2"/>
  <c r="BF1002" i="2"/>
  <c r="BD1002" i="2"/>
  <c r="BC1002" i="2"/>
  <c r="BA1002" i="2"/>
  <c r="AZ1002" i="2"/>
  <c r="AU1002" i="2"/>
  <c r="AT1002" i="2"/>
  <c r="U1002" i="2"/>
  <c r="R1002" i="2"/>
  <c r="M1002" i="2"/>
  <c r="L1002" i="2"/>
  <c r="B1002" i="2"/>
  <c r="BV1001" i="2"/>
  <c r="BU1001" i="2"/>
  <c r="BS1001" i="2"/>
  <c r="BR1001" i="2"/>
  <c r="BP1001" i="2"/>
  <c r="BO1001" i="2"/>
  <c r="BM1001" i="2"/>
  <c r="BL1001" i="2"/>
  <c r="BG1001" i="2"/>
  <c r="BF1001" i="2"/>
  <c r="BD1001" i="2"/>
  <c r="BC1001" i="2"/>
  <c r="BA1001" i="2"/>
  <c r="AZ1001" i="2"/>
  <c r="AX1001" i="2"/>
  <c r="AW1001" i="2"/>
  <c r="AU1001" i="2"/>
  <c r="AT1001" i="2"/>
  <c r="M1001" i="2"/>
  <c r="U1001" i="2" s="1"/>
  <c r="L1001" i="2"/>
  <c r="R1001" i="2" s="1"/>
  <c r="B1001" i="2"/>
  <c r="BV1000" i="2"/>
  <c r="BU1000" i="2"/>
  <c r="BS1000" i="2"/>
  <c r="BR1000" i="2"/>
  <c r="BP1000" i="2"/>
  <c r="BO1000" i="2"/>
  <c r="BM1000" i="2"/>
  <c r="BL1000" i="2"/>
  <c r="BG1000" i="2"/>
  <c r="BF1000" i="2"/>
  <c r="BD1000" i="2"/>
  <c r="BC1000" i="2"/>
  <c r="BA1000" i="2"/>
  <c r="AZ1000" i="2"/>
  <c r="AX1000" i="2"/>
  <c r="AW1000" i="2"/>
  <c r="AU1000" i="2"/>
  <c r="AT1000" i="2"/>
  <c r="M1000" i="2"/>
  <c r="U1000" i="2" s="1"/>
  <c r="L1000" i="2"/>
  <c r="R1000" i="2" s="1"/>
  <c r="B1000" i="2"/>
  <c r="BV999" i="2"/>
  <c r="BU999" i="2"/>
  <c r="BS999" i="2"/>
  <c r="BR999" i="2"/>
  <c r="BP999" i="2"/>
  <c r="BO999" i="2"/>
  <c r="BM999" i="2"/>
  <c r="BL999" i="2"/>
  <c r="BI999" i="2"/>
  <c r="BG999" i="2"/>
  <c r="BF999" i="2"/>
  <c r="BD999" i="2"/>
  <c r="BC999" i="2"/>
  <c r="BA999" i="2"/>
  <c r="AZ999" i="2"/>
  <c r="AX999" i="2"/>
  <c r="AW999" i="2"/>
  <c r="AU999" i="2"/>
  <c r="AT999" i="2"/>
  <c r="T999" i="2"/>
  <c r="R999" i="2"/>
  <c r="M999" i="2"/>
  <c r="U999" i="2" s="1"/>
  <c r="L999" i="2"/>
  <c r="B999" i="2"/>
  <c r="BV998" i="2"/>
  <c r="BU998" i="2"/>
  <c r="BS998" i="2"/>
  <c r="BR998" i="2"/>
  <c r="BP998" i="2"/>
  <c r="BO998" i="2"/>
  <c r="BM998" i="2"/>
  <c r="BL998" i="2"/>
  <c r="BI998" i="2"/>
  <c r="BG998" i="2"/>
  <c r="BF998" i="2"/>
  <c r="BD998" i="2"/>
  <c r="BC998" i="2"/>
  <c r="BA998" i="2"/>
  <c r="AZ998" i="2"/>
  <c r="AX998" i="2"/>
  <c r="AW998" i="2"/>
  <c r="AU998" i="2"/>
  <c r="AT998" i="2"/>
  <c r="U998" i="2"/>
  <c r="R998" i="2"/>
  <c r="M998" i="2"/>
  <c r="L998" i="2"/>
  <c r="B998" i="2"/>
  <c r="BV997" i="2"/>
  <c r="BU997" i="2"/>
  <c r="BS997" i="2"/>
  <c r="BR997" i="2"/>
  <c r="BP997" i="2"/>
  <c r="BO997" i="2"/>
  <c r="BM997" i="2"/>
  <c r="BL997" i="2"/>
  <c r="BG997" i="2"/>
  <c r="BF997" i="2"/>
  <c r="BD997" i="2"/>
  <c r="BC997" i="2"/>
  <c r="BA997" i="2"/>
  <c r="AZ997" i="2"/>
  <c r="AX997" i="2"/>
  <c r="AW997" i="2"/>
  <c r="AU997" i="2"/>
  <c r="AT997" i="2"/>
  <c r="M997" i="2"/>
  <c r="U997" i="2" s="1"/>
  <c r="L997" i="2"/>
  <c r="R997" i="2" s="1"/>
  <c r="B997" i="2"/>
  <c r="BV996" i="2"/>
  <c r="BU996" i="2"/>
  <c r="BS996" i="2"/>
  <c r="BR996" i="2"/>
  <c r="BP996" i="2"/>
  <c r="BO996" i="2"/>
  <c r="BM996" i="2"/>
  <c r="BL996" i="2"/>
  <c r="BG996" i="2"/>
  <c r="BF996" i="2"/>
  <c r="BD996" i="2"/>
  <c r="BC996" i="2"/>
  <c r="BA996" i="2"/>
  <c r="AZ996" i="2"/>
  <c r="AX996" i="2"/>
  <c r="AW996" i="2"/>
  <c r="AU996" i="2"/>
  <c r="AT996" i="2"/>
  <c r="M996" i="2"/>
  <c r="U996" i="2" s="1"/>
  <c r="L996" i="2"/>
  <c r="R996" i="2" s="1"/>
  <c r="B996" i="2"/>
  <c r="BV995" i="2"/>
  <c r="BU995" i="2"/>
  <c r="BS995" i="2"/>
  <c r="BR995" i="2"/>
  <c r="BP995" i="2"/>
  <c r="BO995" i="2"/>
  <c r="BM995" i="2"/>
  <c r="BL995" i="2"/>
  <c r="BI995" i="2"/>
  <c r="BG995" i="2"/>
  <c r="BF995" i="2"/>
  <c r="BD995" i="2"/>
  <c r="BC995" i="2"/>
  <c r="BA995" i="2"/>
  <c r="AZ995" i="2"/>
  <c r="AX995" i="2"/>
  <c r="AW995" i="2"/>
  <c r="AU995" i="2"/>
  <c r="AT995" i="2"/>
  <c r="T995" i="2"/>
  <c r="R995" i="2"/>
  <c r="M995" i="2"/>
  <c r="U995" i="2" s="1"/>
  <c r="L995" i="2"/>
  <c r="B995" i="2"/>
  <c r="BV994" i="2"/>
  <c r="BU994" i="2"/>
  <c r="BS994" i="2"/>
  <c r="BR994" i="2"/>
  <c r="BP994" i="2"/>
  <c r="BO994" i="2"/>
  <c r="BM994" i="2"/>
  <c r="BL994" i="2"/>
  <c r="BI994" i="2"/>
  <c r="BG994" i="2"/>
  <c r="BF994" i="2"/>
  <c r="BD994" i="2"/>
  <c r="BC994" i="2"/>
  <c r="BA994" i="2"/>
  <c r="AZ994" i="2"/>
  <c r="AX994" i="2"/>
  <c r="AW994" i="2"/>
  <c r="AU994" i="2"/>
  <c r="AT994" i="2"/>
  <c r="U994" i="2"/>
  <c r="R994" i="2"/>
  <c r="M994" i="2"/>
  <c r="L994" i="2"/>
  <c r="B994" i="2"/>
  <c r="BV993" i="2"/>
  <c r="BU993" i="2"/>
  <c r="BS993" i="2"/>
  <c r="BR993" i="2"/>
  <c r="BP993" i="2"/>
  <c r="BO993" i="2"/>
  <c r="BM993" i="2"/>
  <c r="BL993" i="2"/>
  <c r="BG993" i="2"/>
  <c r="BF993" i="2"/>
  <c r="BD993" i="2"/>
  <c r="BC993" i="2"/>
  <c r="BA993" i="2"/>
  <c r="AZ993" i="2"/>
  <c r="AX993" i="2"/>
  <c r="AW993" i="2"/>
  <c r="AU993" i="2"/>
  <c r="AT993" i="2"/>
  <c r="M993" i="2"/>
  <c r="U993" i="2" s="1"/>
  <c r="L993" i="2"/>
  <c r="R993" i="2" s="1"/>
  <c r="B993" i="2"/>
  <c r="BV992" i="2"/>
  <c r="BU992" i="2"/>
  <c r="BS992" i="2"/>
  <c r="BR992" i="2"/>
  <c r="BP992" i="2"/>
  <c r="BO992" i="2"/>
  <c r="BM992" i="2"/>
  <c r="BL992" i="2"/>
  <c r="BG992" i="2"/>
  <c r="BF992" i="2"/>
  <c r="BD992" i="2"/>
  <c r="BC992" i="2"/>
  <c r="BA992" i="2"/>
  <c r="AZ992" i="2"/>
  <c r="AX992" i="2"/>
  <c r="AW992" i="2"/>
  <c r="AU992" i="2"/>
  <c r="AT992" i="2"/>
  <c r="M992" i="2"/>
  <c r="U992" i="2" s="1"/>
  <c r="L992" i="2"/>
  <c r="R992" i="2" s="1"/>
  <c r="B992" i="2"/>
  <c r="BV991" i="2"/>
  <c r="BU991" i="2"/>
  <c r="BS991" i="2"/>
  <c r="BR991" i="2"/>
  <c r="BP991" i="2"/>
  <c r="BO991" i="2"/>
  <c r="BM991" i="2"/>
  <c r="BL991" i="2"/>
  <c r="BI991" i="2"/>
  <c r="BG991" i="2"/>
  <c r="BF991" i="2"/>
  <c r="BD991" i="2"/>
  <c r="BC991" i="2"/>
  <c r="BA991" i="2"/>
  <c r="AZ991" i="2"/>
  <c r="AX991" i="2"/>
  <c r="AW991" i="2"/>
  <c r="AU991" i="2"/>
  <c r="AT991" i="2"/>
  <c r="T991" i="2"/>
  <c r="R991" i="2"/>
  <c r="M991" i="2"/>
  <c r="U991" i="2" s="1"/>
  <c r="L991" i="2"/>
  <c r="B991" i="2"/>
  <c r="BV990" i="2"/>
  <c r="BU990" i="2"/>
  <c r="BS990" i="2"/>
  <c r="BR990" i="2"/>
  <c r="BP990" i="2"/>
  <c r="BO990" i="2"/>
  <c r="BM990" i="2"/>
  <c r="BL990" i="2"/>
  <c r="BI990" i="2"/>
  <c r="BG990" i="2"/>
  <c r="BF990" i="2"/>
  <c r="BD990" i="2"/>
  <c r="BC990" i="2"/>
  <c r="BA990" i="2"/>
  <c r="AZ990" i="2"/>
  <c r="AX990" i="2"/>
  <c r="AW990" i="2"/>
  <c r="AU990" i="2"/>
  <c r="AT990" i="2"/>
  <c r="U990" i="2"/>
  <c r="R990" i="2"/>
  <c r="M990" i="2"/>
  <c r="L990" i="2"/>
  <c r="B990" i="2"/>
  <c r="BV989" i="2"/>
  <c r="BU989" i="2"/>
  <c r="BS989" i="2"/>
  <c r="BR989" i="2"/>
  <c r="BP989" i="2"/>
  <c r="BO989" i="2"/>
  <c r="BM989" i="2"/>
  <c r="BL989" i="2"/>
  <c r="BG989" i="2"/>
  <c r="BF989" i="2"/>
  <c r="BD989" i="2"/>
  <c r="BC989" i="2"/>
  <c r="BA989" i="2"/>
  <c r="AZ989" i="2"/>
  <c r="AX989" i="2"/>
  <c r="AW989" i="2"/>
  <c r="AU989" i="2"/>
  <c r="AT989" i="2"/>
  <c r="M989" i="2"/>
  <c r="U989" i="2" s="1"/>
  <c r="L989" i="2"/>
  <c r="R989" i="2" s="1"/>
  <c r="B989" i="2"/>
  <c r="BV988" i="2"/>
  <c r="BU988" i="2"/>
  <c r="BS988" i="2"/>
  <c r="BR988" i="2"/>
  <c r="BP988" i="2"/>
  <c r="BO988" i="2"/>
  <c r="BM988" i="2"/>
  <c r="BL988" i="2"/>
  <c r="BG988" i="2"/>
  <c r="BF988" i="2"/>
  <c r="BD988" i="2"/>
  <c r="BC988" i="2"/>
  <c r="BA988" i="2"/>
  <c r="AZ988" i="2"/>
  <c r="AX988" i="2"/>
  <c r="AW988" i="2"/>
  <c r="AU988" i="2"/>
  <c r="AT988" i="2"/>
  <c r="M988" i="2"/>
  <c r="U988" i="2" s="1"/>
  <c r="L988" i="2"/>
  <c r="R988" i="2" s="1"/>
  <c r="B988" i="2"/>
  <c r="BV987" i="2"/>
  <c r="BU987" i="2"/>
  <c r="BS987" i="2"/>
  <c r="BR987" i="2"/>
  <c r="BP987" i="2"/>
  <c r="BO987" i="2"/>
  <c r="BM987" i="2"/>
  <c r="BL987" i="2"/>
  <c r="BI987" i="2"/>
  <c r="BG987" i="2"/>
  <c r="BF987" i="2"/>
  <c r="BD987" i="2"/>
  <c r="BC987" i="2"/>
  <c r="BA987" i="2"/>
  <c r="AZ987" i="2"/>
  <c r="AX987" i="2"/>
  <c r="AW987" i="2"/>
  <c r="AU987" i="2"/>
  <c r="AT987" i="2"/>
  <c r="T987" i="2"/>
  <c r="R987" i="2"/>
  <c r="M987" i="2"/>
  <c r="U987" i="2" s="1"/>
  <c r="L987" i="2"/>
  <c r="B987" i="2"/>
  <c r="BV986" i="2"/>
  <c r="BU986" i="2"/>
  <c r="BS986" i="2"/>
  <c r="BR986" i="2"/>
  <c r="BP986" i="2"/>
  <c r="BO986" i="2"/>
  <c r="BM986" i="2"/>
  <c r="BL986" i="2"/>
  <c r="BI986" i="2"/>
  <c r="BG986" i="2"/>
  <c r="BF986" i="2"/>
  <c r="BD986" i="2"/>
  <c r="BC986" i="2"/>
  <c r="BA986" i="2"/>
  <c r="AZ986" i="2"/>
  <c r="AX986" i="2"/>
  <c r="AW986" i="2"/>
  <c r="AU986" i="2"/>
  <c r="AT986" i="2"/>
  <c r="U986" i="2"/>
  <c r="R986" i="2"/>
  <c r="M986" i="2"/>
  <c r="L986" i="2"/>
  <c r="B986" i="2"/>
  <c r="BV985" i="2"/>
  <c r="BU985" i="2"/>
  <c r="BS985" i="2"/>
  <c r="BR985" i="2"/>
  <c r="BP985" i="2"/>
  <c r="BO985" i="2"/>
  <c r="BM985" i="2"/>
  <c r="BL985" i="2"/>
  <c r="BG985" i="2"/>
  <c r="BF985" i="2"/>
  <c r="BD985" i="2"/>
  <c r="BC985" i="2"/>
  <c r="BA985" i="2"/>
  <c r="AZ985" i="2"/>
  <c r="AX985" i="2"/>
  <c r="AW985" i="2"/>
  <c r="AU985" i="2"/>
  <c r="AT985" i="2"/>
  <c r="M985" i="2"/>
  <c r="U985" i="2" s="1"/>
  <c r="L985" i="2"/>
  <c r="R985" i="2" s="1"/>
  <c r="B985" i="2"/>
  <c r="BV984" i="2"/>
  <c r="BU984" i="2"/>
  <c r="BS984" i="2"/>
  <c r="BR984" i="2"/>
  <c r="BP984" i="2"/>
  <c r="BO984" i="2"/>
  <c r="BM984" i="2"/>
  <c r="BL984" i="2"/>
  <c r="BG984" i="2"/>
  <c r="BF984" i="2"/>
  <c r="BD984" i="2"/>
  <c r="BC984" i="2"/>
  <c r="BA984" i="2"/>
  <c r="AZ984" i="2"/>
  <c r="AX984" i="2"/>
  <c r="AW984" i="2"/>
  <c r="AU984" i="2"/>
  <c r="AT984" i="2"/>
  <c r="M984" i="2"/>
  <c r="U984" i="2" s="1"/>
  <c r="L984" i="2"/>
  <c r="R984" i="2" s="1"/>
  <c r="B984" i="2"/>
  <c r="BV983" i="2"/>
  <c r="BU983" i="2"/>
  <c r="BS983" i="2"/>
  <c r="BR983" i="2"/>
  <c r="BP983" i="2"/>
  <c r="BO983" i="2"/>
  <c r="BM983" i="2"/>
  <c r="BL983" i="2"/>
  <c r="BI983" i="2"/>
  <c r="BG983" i="2"/>
  <c r="BF983" i="2"/>
  <c r="BD983" i="2"/>
  <c r="BC983" i="2"/>
  <c r="BA983" i="2"/>
  <c r="AZ983" i="2"/>
  <c r="AX983" i="2"/>
  <c r="AW983" i="2"/>
  <c r="AU983" i="2"/>
  <c r="AT983" i="2"/>
  <c r="T983" i="2"/>
  <c r="R983" i="2"/>
  <c r="M983" i="2"/>
  <c r="U983" i="2" s="1"/>
  <c r="L983" i="2"/>
  <c r="B983" i="2"/>
  <c r="BV982" i="2"/>
  <c r="BU982" i="2"/>
  <c r="BS982" i="2"/>
  <c r="BR982" i="2"/>
  <c r="BP982" i="2"/>
  <c r="BO982" i="2"/>
  <c r="BM982" i="2"/>
  <c r="BL982" i="2"/>
  <c r="BI982" i="2"/>
  <c r="BG982" i="2"/>
  <c r="BF982" i="2"/>
  <c r="BD982" i="2"/>
  <c r="BC982" i="2"/>
  <c r="BA982" i="2"/>
  <c r="AZ982" i="2"/>
  <c r="AX982" i="2"/>
  <c r="AW982" i="2"/>
  <c r="AU982" i="2"/>
  <c r="AT982" i="2"/>
  <c r="U982" i="2"/>
  <c r="R982" i="2"/>
  <c r="M982" i="2"/>
  <c r="L982" i="2"/>
  <c r="B982" i="2"/>
  <c r="BV981" i="2"/>
  <c r="BU981" i="2"/>
  <c r="BS981" i="2"/>
  <c r="BR981" i="2"/>
  <c r="BP981" i="2"/>
  <c r="BO981" i="2"/>
  <c r="BM981" i="2"/>
  <c r="BL981" i="2"/>
  <c r="BG981" i="2"/>
  <c r="BF981" i="2"/>
  <c r="BD981" i="2"/>
  <c r="BC981" i="2"/>
  <c r="BA981" i="2"/>
  <c r="AZ981" i="2"/>
  <c r="AX981" i="2"/>
  <c r="AW981" i="2"/>
  <c r="AU981" i="2"/>
  <c r="AT981" i="2"/>
  <c r="M981" i="2"/>
  <c r="U981" i="2" s="1"/>
  <c r="L981" i="2"/>
  <c r="R981" i="2" s="1"/>
  <c r="B981" i="2"/>
  <c r="BV980" i="2"/>
  <c r="BU980" i="2"/>
  <c r="BS980" i="2"/>
  <c r="BR980" i="2"/>
  <c r="BP980" i="2"/>
  <c r="BO980" i="2"/>
  <c r="BM980" i="2"/>
  <c r="BL980" i="2"/>
  <c r="BG980" i="2"/>
  <c r="BF980" i="2"/>
  <c r="BD980" i="2"/>
  <c r="BC980" i="2"/>
  <c r="BA980" i="2"/>
  <c r="AZ980" i="2"/>
  <c r="AX980" i="2"/>
  <c r="AW980" i="2"/>
  <c r="AU980" i="2"/>
  <c r="AT980" i="2"/>
  <c r="M980" i="2"/>
  <c r="U980" i="2" s="1"/>
  <c r="L980" i="2"/>
  <c r="R980" i="2" s="1"/>
  <c r="B980" i="2"/>
  <c r="BV979" i="2"/>
  <c r="BU979" i="2"/>
  <c r="BS979" i="2"/>
  <c r="BR979" i="2"/>
  <c r="BP979" i="2"/>
  <c r="BO979" i="2"/>
  <c r="BM979" i="2"/>
  <c r="BL979" i="2"/>
  <c r="BI979" i="2"/>
  <c r="BG979" i="2"/>
  <c r="BF979" i="2"/>
  <c r="BD979" i="2"/>
  <c r="BC979" i="2"/>
  <c r="BA979" i="2"/>
  <c r="AZ979" i="2"/>
  <c r="AX979" i="2"/>
  <c r="AW979" i="2"/>
  <c r="AU979" i="2"/>
  <c r="AT979" i="2"/>
  <c r="T979" i="2"/>
  <c r="R979" i="2"/>
  <c r="M979" i="2"/>
  <c r="U979" i="2" s="1"/>
  <c r="L979" i="2"/>
  <c r="B979" i="2"/>
  <c r="BV978" i="2"/>
  <c r="BU978" i="2"/>
  <c r="BS978" i="2"/>
  <c r="BR978" i="2"/>
  <c r="BP978" i="2"/>
  <c r="BO978" i="2"/>
  <c r="BM978" i="2"/>
  <c r="BL978" i="2"/>
  <c r="BI978" i="2"/>
  <c r="BG978" i="2"/>
  <c r="BF978" i="2"/>
  <c r="BD978" i="2"/>
  <c r="BC978" i="2"/>
  <c r="BA978" i="2"/>
  <c r="AZ978" i="2"/>
  <c r="AX978" i="2"/>
  <c r="AW978" i="2"/>
  <c r="AU978" i="2"/>
  <c r="AT978" i="2"/>
  <c r="U978" i="2"/>
  <c r="R978" i="2"/>
  <c r="M978" i="2"/>
  <c r="L978" i="2"/>
  <c r="B978" i="2"/>
  <c r="BV977" i="2"/>
  <c r="BU977" i="2"/>
  <c r="BS977" i="2"/>
  <c r="BR977" i="2"/>
  <c r="BP977" i="2"/>
  <c r="BO977" i="2"/>
  <c r="BM977" i="2"/>
  <c r="BL977" i="2"/>
  <c r="BG977" i="2"/>
  <c r="BF977" i="2"/>
  <c r="BD977" i="2"/>
  <c r="BC977" i="2"/>
  <c r="BA977" i="2"/>
  <c r="AZ977" i="2"/>
  <c r="AX977" i="2"/>
  <c r="AW977" i="2"/>
  <c r="AU977" i="2"/>
  <c r="AT977" i="2"/>
  <c r="M977" i="2"/>
  <c r="U977" i="2" s="1"/>
  <c r="L977" i="2"/>
  <c r="R977" i="2" s="1"/>
  <c r="B977" i="2"/>
  <c r="BV976" i="2"/>
  <c r="BU976" i="2"/>
  <c r="BS976" i="2"/>
  <c r="BR976" i="2"/>
  <c r="BP976" i="2"/>
  <c r="BO976" i="2"/>
  <c r="BM976" i="2"/>
  <c r="BL976" i="2"/>
  <c r="BG976" i="2"/>
  <c r="BF976" i="2"/>
  <c r="BD976" i="2"/>
  <c r="BC976" i="2"/>
  <c r="BA976" i="2"/>
  <c r="AZ976" i="2"/>
  <c r="AX976" i="2"/>
  <c r="AW976" i="2"/>
  <c r="AU976" i="2"/>
  <c r="AT976" i="2"/>
  <c r="M976" i="2"/>
  <c r="U976" i="2" s="1"/>
  <c r="L976" i="2"/>
  <c r="R976" i="2" s="1"/>
  <c r="B976" i="2"/>
  <c r="BV975" i="2"/>
  <c r="BU975" i="2"/>
  <c r="BS975" i="2"/>
  <c r="BR975" i="2"/>
  <c r="BP975" i="2"/>
  <c r="BO975" i="2"/>
  <c r="BM975" i="2"/>
  <c r="BL975" i="2"/>
  <c r="BI975" i="2"/>
  <c r="BG975" i="2"/>
  <c r="BF975" i="2"/>
  <c r="BD975" i="2"/>
  <c r="BC975" i="2"/>
  <c r="BA975" i="2"/>
  <c r="AZ975" i="2"/>
  <c r="AX975" i="2"/>
  <c r="AW975" i="2"/>
  <c r="AU975" i="2"/>
  <c r="AT975" i="2"/>
  <c r="T975" i="2"/>
  <c r="R975" i="2"/>
  <c r="M975" i="2"/>
  <c r="U975" i="2" s="1"/>
  <c r="L975" i="2"/>
  <c r="B975" i="2"/>
  <c r="BV974" i="2"/>
  <c r="BU974" i="2"/>
  <c r="BS974" i="2"/>
  <c r="BR974" i="2"/>
  <c r="BP974" i="2"/>
  <c r="BO974" i="2"/>
  <c r="BM974" i="2"/>
  <c r="BL974" i="2"/>
  <c r="BI974" i="2"/>
  <c r="BG974" i="2"/>
  <c r="BF974" i="2"/>
  <c r="BD974" i="2"/>
  <c r="BC974" i="2"/>
  <c r="BA974" i="2"/>
  <c r="AZ974" i="2"/>
  <c r="AX974" i="2"/>
  <c r="AW974" i="2"/>
  <c r="AU974" i="2"/>
  <c r="AT974" i="2"/>
  <c r="U974" i="2"/>
  <c r="R974" i="2"/>
  <c r="M974" i="2"/>
  <c r="L974" i="2"/>
  <c r="B974" i="2"/>
  <c r="BV973" i="2"/>
  <c r="BU973" i="2"/>
  <c r="BS973" i="2"/>
  <c r="BR973" i="2"/>
  <c r="BP973" i="2"/>
  <c r="BO973" i="2"/>
  <c r="BM973" i="2"/>
  <c r="BL973" i="2"/>
  <c r="BJ973" i="2"/>
  <c r="BI973" i="2"/>
  <c r="BD973" i="2"/>
  <c r="BC973" i="2"/>
  <c r="BA973" i="2"/>
  <c r="AZ973" i="2"/>
  <c r="AX973" i="2"/>
  <c r="AW973" i="2"/>
  <c r="AU973" i="2"/>
  <c r="AT973" i="2"/>
  <c r="M973" i="2"/>
  <c r="U973" i="2" s="1"/>
  <c r="L973" i="2"/>
  <c r="R973" i="2" s="1"/>
  <c r="B973" i="2"/>
  <c r="BV972" i="2"/>
  <c r="BU972" i="2"/>
  <c r="BS972" i="2"/>
  <c r="BR972" i="2"/>
  <c r="BP972" i="2"/>
  <c r="BO972" i="2"/>
  <c r="BM972" i="2"/>
  <c r="BL972" i="2"/>
  <c r="BJ972" i="2"/>
  <c r="BI972" i="2"/>
  <c r="BD972" i="2"/>
  <c r="BC972" i="2"/>
  <c r="BA972" i="2"/>
  <c r="AZ972" i="2"/>
  <c r="AX972" i="2"/>
  <c r="AW972" i="2"/>
  <c r="AU972" i="2"/>
  <c r="AT972" i="2"/>
  <c r="M972" i="2"/>
  <c r="U972" i="2" s="1"/>
  <c r="L972" i="2"/>
  <c r="R972" i="2" s="1"/>
  <c r="B972" i="2"/>
  <c r="BV971" i="2"/>
  <c r="BU971" i="2"/>
  <c r="BS971" i="2"/>
  <c r="BR971" i="2"/>
  <c r="BP971" i="2"/>
  <c r="BO971" i="2"/>
  <c r="BM971" i="2"/>
  <c r="BL971" i="2"/>
  <c r="BJ971" i="2"/>
  <c r="BI971" i="2"/>
  <c r="BD971" i="2"/>
  <c r="BC971" i="2"/>
  <c r="BA971" i="2"/>
  <c r="AZ971" i="2"/>
  <c r="AX971" i="2"/>
  <c r="AW971" i="2"/>
  <c r="AU971" i="2"/>
  <c r="AT971" i="2"/>
  <c r="T971" i="2"/>
  <c r="R971" i="2"/>
  <c r="BF971" i="2" s="1"/>
  <c r="M971" i="2"/>
  <c r="U971" i="2" s="1"/>
  <c r="L971" i="2"/>
  <c r="B971" i="2"/>
  <c r="BV970" i="2"/>
  <c r="BU970" i="2"/>
  <c r="BS970" i="2"/>
  <c r="BR970" i="2"/>
  <c r="BP970" i="2"/>
  <c r="BO970" i="2"/>
  <c r="BM970" i="2"/>
  <c r="BL970" i="2"/>
  <c r="BJ970" i="2"/>
  <c r="BI970" i="2"/>
  <c r="BD970" i="2"/>
  <c r="BC970" i="2"/>
  <c r="BA970" i="2"/>
  <c r="AZ970" i="2"/>
  <c r="AX970" i="2"/>
  <c r="AW970" i="2"/>
  <c r="AU970" i="2"/>
  <c r="AT970" i="2"/>
  <c r="U970" i="2"/>
  <c r="R970" i="2"/>
  <c r="M970" i="2"/>
  <c r="L970" i="2"/>
  <c r="B970" i="2"/>
  <c r="BV969" i="2"/>
  <c r="BU969" i="2"/>
  <c r="BS969" i="2"/>
  <c r="BR969" i="2"/>
  <c r="BP969" i="2"/>
  <c r="BO969" i="2"/>
  <c r="BM969" i="2"/>
  <c r="BL969" i="2"/>
  <c r="BJ969" i="2"/>
  <c r="BI969" i="2"/>
  <c r="BD969" i="2"/>
  <c r="BC969" i="2"/>
  <c r="BA969" i="2"/>
  <c r="AZ969" i="2"/>
  <c r="AX969" i="2"/>
  <c r="AW969" i="2"/>
  <c r="AU969" i="2"/>
  <c r="AT969" i="2"/>
  <c r="M969" i="2"/>
  <c r="U969" i="2" s="1"/>
  <c r="L969" i="2"/>
  <c r="R969" i="2" s="1"/>
  <c r="B969" i="2"/>
  <c r="BV968" i="2"/>
  <c r="BU968" i="2"/>
  <c r="BS968" i="2"/>
  <c r="BR968" i="2"/>
  <c r="BP968" i="2"/>
  <c r="BO968" i="2"/>
  <c r="BM968" i="2"/>
  <c r="BL968" i="2"/>
  <c r="BJ968" i="2"/>
  <c r="BI968" i="2"/>
  <c r="BD968" i="2"/>
  <c r="BC968" i="2"/>
  <c r="BA968" i="2"/>
  <c r="AZ968" i="2"/>
  <c r="AX968" i="2"/>
  <c r="AW968" i="2"/>
  <c r="AU968" i="2"/>
  <c r="AT968" i="2"/>
  <c r="M968" i="2"/>
  <c r="U968" i="2" s="1"/>
  <c r="L968" i="2"/>
  <c r="R968" i="2" s="1"/>
  <c r="B968" i="2"/>
  <c r="BV967" i="2"/>
  <c r="BU967" i="2"/>
  <c r="BS967" i="2"/>
  <c r="BR967" i="2"/>
  <c r="BP967" i="2"/>
  <c r="BO967" i="2"/>
  <c r="BM967" i="2"/>
  <c r="BL967" i="2"/>
  <c r="BJ967" i="2"/>
  <c r="BI967" i="2"/>
  <c r="BD967" i="2"/>
  <c r="BC967" i="2"/>
  <c r="BA967" i="2"/>
  <c r="AZ967" i="2"/>
  <c r="AX967" i="2"/>
  <c r="AW967" i="2"/>
  <c r="AU967" i="2"/>
  <c r="AT967" i="2"/>
  <c r="T967" i="2"/>
  <c r="R967" i="2"/>
  <c r="BF967" i="2" s="1"/>
  <c r="M967" i="2"/>
  <c r="U967" i="2" s="1"/>
  <c r="L967" i="2"/>
  <c r="B967" i="2"/>
  <c r="BV966" i="2"/>
  <c r="BU966" i="2"/>
  <c r="BS966" i="2"/>
  <c r="BR966" i="2"/>
  <c r="BP966" i="2"/>
  <c r="BO966" i="2"/>
  <c r="BM966" i="2"/>
  <c r="BL966" i="2"/>
  <c r="BJ966" i="2"/>
  <c r="BI966" i="2"/>
  <c r="BD966" i="2"/>
  <c r="BC966" i="2"/>
  <c r="BA966" i="2"/>
  <c r="AZ966" i="2"/>
  <c r="AX966" i="2"/>
  <c r="AW966" i="2"/>
  <c r="AU966" i="2"/>
  <c r="AT966" i="2"/>
  <c r="U966" i="2"/>
  <c r="R966" i="2"/>
  <c r="M966" i="2"/>
  <c r="L966" i="2"/>
  <c r="B966" i="2"/>
  <c r="BV965" i="2"/>
  <c r="BU965" i="2"/>
  <c r="BS965" i="2"/>
  <c r="BR965" i="2"/>
  <c r="BP965" i="2"/>
  <c r="BO965" i="2"/>
  <c r="BM965" i="2"/>
  <c r="BL965" i="2"/>
  <c r="BJ965" i="2"/>
  <c r="BI965" i="2"/>
  <c r="BD965" i="2"/>
  <c r="BC965" i="2"/>
  <c r="BA965" i="2"/>
  <c r="AZ965" i="2"/>
  <c r="AX965" i="2"/>
  <c r="AW965" i="2"/>
  <c r="AU965" i="2"/>
  <c r="AT965" i="2"/>
  <c r="M965" i="2"/>
  <c r="U965" i="2" s="1"/>
  <c r="L965" i="2"/>
  <c r="R965" i="2" s="1"/>
  <c r="B965" i="2"/>
  <c r="BV964" i="2"/>
  <c r="BU964" i="2"/>
  <c r="BS964" i="2"/>
  <c r="BR964" i="2"/>
  <c r="BP964" i="2"/>
  <c r="BO964" i="2"/>
  <c r="BM964" i="2"/>
  <c r="BL964" i="2"/>
  <c r="BJ964" i="2"/>
  <c r="BI964" i="2"/>
  <c r="BD964" i="2"/>
  <c r="BC964" i="2"/>
  <c r="BA964" i="2"/>
  <c r="AZ964" i="2"/>
  <c r="AX964" i="2"/>
  <c r="AW964" i="2"/>
  <c r="AU964" i="2"/>
  <c r="AT964" i="2"/>
  <c r="M964" i="2"/>
  <c r="U964" i="2" s="1"/>
  <c r="L964" i="2"/>
  <c r="R964" i="2" s="1"/>
  <c r="B964" i="2"/>
  <c r="BV963" i="2"/>
  <c r="BU963" i="2"/>
  <c r="BS963" i="2"/>
  <c r="BR963" i="2"/>
  <c r="BP963" i="2"/>
  <c r="BO963" i="2"/>
  <c r="BM963" i="2"/>
  <c r="BL963" i="2"/>
  <c r="BJ963" i="2"/>
  <c r="BI963" i="2"/>
  <c r="BD963" i="2"/>
  <c r="BC963" i="2"/>
  <c r="BA963" i="2"/>
  <c r="AZ963" i="2"/>
  <c r="AX963" i="2"/>
  <c r="AW963" i="2"/>
  <c r="AU963" i="2"/>
  <c r="AT963" i="2"/>
  <c r="T963" i="2"/>
  <c r="R963" i="2"/>
  <c r="BF963" i="2" s="1"/>
  <c r="M963" i="2"/>
  <c r="U963" i="2" s="1"/>
  <c r="L963" i="2"/>
  <c r="B963" i="2"/>
  <c r="BV962" i="2"/>
  <c r="BU962" i="2"/>
  <c r="BS962" i="2"/>
  <c r="BR962" i="2"/>
  <c r="BP962" i="2"/>
  <c r="BO962" i="2"/>
  <c r="BM962" i="2"/>
  <c r="BL962" i="2"/>
  <c r="BJ962" i="2"/>
  <c r="BI962" i="2"/>
  <c r="BD962" i="2"/>
  <c r="BC962" i="2"/>
  <c r="BA962" i="2"/>
  <c r="AZ962" i="2"/>
  <c r="AX962" i="2"/>
  <c r="AW962" i="2"/>
  <c r="AU962" i="2"/>
  <c r="AT962" i="2"/>
  <c r="U962" i="2"/>
  <c r="R962" i="2"/>
  <c r="M962" i="2"/>
  <c r="L962" i="2"/>
  <c r="B962" i="2"/>
  <c r="BV961" i="2"/>
  <c r="BU961" i="2"/>
  <c r="BS961" i="2"/>
  <c r="BR961" i="2"/>
  <c r="BP961" i="2"/>
  <c r="BO961" i="2"/>
  <c r="BM961" i="2"/>
  <c r="BL961" i="2"/>
  <c r="BJ961" i="2"/>
  <c r="BI961" i="2"/>
  <c r="BD961" i="2"/>
  <c r="BC961" i="2"/>
  <c r="BA961" i="2"/>
  <c r="AZ961" i="2"/>
  <c r="AX961" i="2"/>
  <c r="AW961" i="2"/>
  <c r="AU961" i="2"/>
  <c r="AT961" i="2"/>
  <c r="M961" i="2"/>
  <c r="U961" i="2" s="1"/>
  <c r="L961" i="2"/>
  <c r="R961" i="2" s="1"/>
  <c r="B961" i="2"/>
  <c r="BV960" i="2"/>
  <c r="BU960" i="2"/>
  <c r="BS960" i="2"/>
  <c r="BR960" i="2"/>
  <c r="BP960" i="2"/>
  <c r="BO960" i="2"/>
  <c r="BM960" i="2"/>
  <c r="BL960" i="2"/>
  <c r="BJ960" i="2"/>
  <c r="BI960" i="2"/>
  <c r="BD960" i="2"/>
  <c r="BC960" i="2"/>
  <c r="BA960" i="2"/>
  <c r="AZ960" i="2"/>
  <c r="AX960" i="2"/>
  <c r="AW960" i="2"/>
  <c r="AU960" i="2"/>
  <c r="AT960" i="2"/>
  <c r="M960" i="2"/>
  <c r="U960" i="2" s="1"/>
  <c r="L960" i="2"/>
  <c r="R960" i="2" s="1"/>
  <c r="B960" i="2"/>
  <c r="BV959" i="2"/>
  <c r="BU959" i="2"/>
  <c r="BS959" i="2"/>
  <c r="BR959" i="2"/>
  <c r="BP959" i="2"/>
  <c r="BO959" i="2"/>
  <c r="BM959" i="2"/>
  <c r="BL959" i="2"/>
  <c r="BJ959" i="2"/>
  <c r="BI959" i="2"/>
  <c r="BD959" i="2"/>
  <c r="BC959" i="2"/>
  <c r="BA959" i="2"/>
  <c r="AZ959" i="2"/>
  <c r="AX959" i="2"/>
  <c r="AW959" i="2"/>
  <c r="AU959" i="2"/>
  <c r="AT959" i="2"/>
  <c r="T959" i="2"/>
  <c r="R959" i="2"/>
  <c r="BF959" i="2" s="1"/>
  <c r="M959" i="2"/>
  <c r="U959" i="2" s="1"/>
  <c r="L959" i="2"/>
  <c r="B959" i="2"/>
  <c r="BV958" i="2"/>
  <c r="BU958" i="2"/>
  <c r="BS958" i="2"/>
  <c r="BR958" i="2"/>
  <c r="BP958" i="2"/>
  <c r="BO958" i="2"/>
  <c r="BM958" i="2"/>
  <c r="BL958" i="2"/>
  <c r="BJ958" i="2"/>
  <c r="BI958" i="2"/>
  <c r="BD958" i="2"/>
  <c r="BC958" i="2"/>
  <c r="BA958" i="2"/>
  <c r="AZ958" i="2"/>
  <c r="AX958" i="2"/>
  <c r="AW958" i="2"/>
  <c r="AU958" i="2"/>
  <c r="AT958" i="2"/>
  <c r="U958" i="2"/>
  <c r="R958" i="2"/>
  <c r="M958" i="2"/>
  <c r="L958" i="2"/>
  <c r="B958" i="2"/>
  <c r="BV957" i="2"/>
  <c r="BU957" i="2"/>
  <c r="BS957" i="2"/>
  <c r="BR957" i="2"/>
  <c r="BP957" i="2"/>
  <c r="BO957" i="2"/>
  <c r="BM957" i="2"/>
  <c r="BL957" i="2"/>
  <c r="BJ957" i="2"/>
  <c r="BI957" i="2"/>
  <c r="BD957" i="2"/>
  <c r="BC957" i="2"/>
  <c r="BA957" i="2"/>
  <c r="AZ957" i="2"/>
  <c r="AX957" i="2"/>
  <c r="AW957" i="2"/>
  <c r="AU957" i="2"/>
  <c r="AT957" i="2"/>
  <c r="M957" i="2"/>
  <c r="U957" i="2" s="1"/>
  <c r="L957" i="2"/>
  <c r="R957" i="2" s="1"/>
  <c r="B957" i="2"/>
  <c r="BV956" i="2"/>
  <c r="BU956" i="2"/>
  <c r="BS956" i="2"/>
  <c r="BR956" i="2"/>
  <c r="BP956" i="2"/>
  <c r="BO956" i="2"/>
  <c r="BM956" i="2"/>
  <c r="BL956" i="2"/>
  <c r="BJ956" i="2"/>
  <c r="BI956" i="2"/>
  <c r="BD956" i="2"/>
  <c r="BC956" i="2"/>
  <c r="BA956" i="2"/>
  <c r="AZ956" i="2"/>
  <c r="AX956" i="2"/>
  <c r="AW956" i="2"/>
  <c r="AU956" i="2"/>
  <c r="AT956" i="2"/>
  <c r="M956" i="2"/>
  <c r="U956" i="2" s="1"/>
  <c r="L956" i="2"/>
  <c r="R956" i="2" s="1"/>
  <c r="B956" i="2"/>
  <c r="BV955" i="2"/>
  <c r="BU955" i="2"/>
  <c r="BS955" i="2"/>
  <c r="BR955" i="2"/>
  <c r="BP955" i="2"/>
  <c r="BO955" i="2"/>
  <c r="BM955" i="2"/>
  <c r="BL955" i="2"/>
  <c r="BJ955" i="2"/>
  <c r="BI955" i="2"/>
  <c r="BF955" i="2"/>
  <c r="BD955" i="2"/>
  <c r="BC955" i="2"/>
  <c r="BA955" i="2"/>
  <c r="AZ955" i="2"/>
  <c r="AX955" i="2"/>
  <c r="AW955" i="2"/>
  <c r="AU955" i="2"/>
  <c r="AT955" i="2"/>
  <c r="T955" i="2"/>
  <c r="R955" i="2"/>
  <c r="M955" i="2"/>
  <c r="U955" i="2" s="1"/>
  <c r="L955" i="2"/>
  <c r="B955" i="2"/>
  <c r="BV954" i="2"/>
  <c r="BU954" i="2"/>
  <c r="BS954" i="2"/>
  <c r="BR954" i="2"/>
  <c r="BP954" i="2"/>
  <c r="BO954" i="2"/>
  <c r="BM954" i="2"/>
  <c r="BL954" i="2"/>
  <c r="BJ954" i="2"/>
  <c r="BI954" i="2"/>
  <c r="BD954" i="2"/>
  <c r="BC954" i="2"/>
  <c r="BA954" i="2"/>
  <c r="AZ954" i="2"/>
  <c r="AX954" i="2"/>
  <c r="AW954" i="2"/>
  <c r="AU954" i="2"/>
  <c r="AT954" i="2"/>
  <c r="U954" i="2"/>
  <c r="R954" i="2"/>
  <c r="M954" i="2"/>
  <c r="L954" i="2"/>
  <c r="B954" i="2"/>
  <c r="BV953" i="2"/>
  <c r="BU953" i="2"/>
  <c r="BS953" i="2"/>
  <c r="BR953" i="2"/>
  <c r="BP953" i="2"/>
  <c r="BO953" i="2"/>
  <c r="BM953" i="2"/>
  <c r="BL953" i="2"/>
  <c r="BJ953" i="2"/>
  <c r="BI953" i="2"/>
  <c r="BD953" i="2"/>
  <c r="BC953" i="2"/>
  <c r="BA953" i="2"/>
  <c r="AZ953" i="2"/>
  <c r="AX953" i="2"/>
  <c r="AW953" i="2"/>
  <c r="AU953" i="2"/>
  <c r="AT953" i="2"/>
  <c r="M953" i="2"/>
  <c r="U953" i="2" s="1"/>
  <c r="L953" i="2"/>
  <c r="R953" i="2" s="1"/>
  <c r="T934" i="2" s="1"/>
  <c r="B953" i="2"/>
  <c r="BV952" i="2"/>
  <c r="BU952" i="2"/>
  <c r="BS952" i="2"/>
  <c r="BR952" i="2"/>
  <c r="BP952" i="2"/>
  <c r="BO952" i="2"/>
  <c r="BM952" i="2"/>
  <c r="BL952" i="2"/>
  <c r="BJ952" i="2"/>
  <c r="BI952" i="2"/>
  <c r="BD952" i="2"/>
  <c r="BC952" i="2"/>
  <c r="BA952" i="2"/>
  <c r="AZ952" i="2"/>
  <c r="AX952" i="2"/>
  <c r="AW952" i="2"/>
  <c r="AU952" i="2"/>
  <c r="AT952" i="2"/>
  <c r="M952" i="2"/>
  <c r="U952" i="2" s="1"/>
  <c r="L952" i="2"/>
  <c r="R952" i="2" s="1"/>
  <c r="B952" i="2"/>
  <c r="BV951" i="2"/>
  <c r="BU951" i="2"/>
  <c r="BS951" i="2"/>
  <c r="BR951" i="2"/>
  <c r="BP951" i="2"/>
  <c r="BO951" i="2"/>
  <c r="BM951" i="2"/>
  <c r="BL951" i="2"/>
  <c r="BJ951" i="2"/>
  <c r="BI951" i="2"/>
  <c r="BF951" i="2"/>
  <c r="BD951" i="2"/>
  <c r="BC951" i="2"/>
  <c r="BA951" i="2"/>
  <c r="AZ951" i="2"/>
  <c r="AX951" i="2"/>
  <c r="AW951" i="2"/>
  <c r="AU951" i="2"/>
  <c r="AT951" i="2"/>
  <c r="T951" i="2"/>
  <c r="R951" i="2"/>
  <c r="M951" i="2"/>
  <c r="U951" i="2" s="1"/>
  <c r="L951" i="2"/>
  <c r="B951" i="2"/>
  <c r="BV950" i="2"/>
  <c r="BU950" i="2"/>
  <c r="BS950" i="2"/>
  <c r="BR950" i="2"/>
  <c r="BP950" i="2"/>
  <c r="BO950" i="2"/>
  <c r="BM950" i="2"/>
  <c r="BL950" i="2"/>
  <c r="BJ950" i="2"/>
  <c r="BI950" i="2"/>
  <c r="BD950" i="2"/>
  <c r="BC950" i="2"/>
  <c r="BA950" i="2"/>
  <c r="AZ950" i="2"/>
  <c r="AX950" i="2"/>
  <c r="AW950" i="2"/>
  <c r="AU950" i="2"/>
  <c r="AT950" i="2"/>
  <c r="U950" i="2"/>
  <c r="T950" i="2"/>
  <c r="R950" i="2"/>
  <c r="M950" i="2"/>
  <c r="L950" i="2"/>
  <c r="B950" i="2"/>
  <c r="BV949" i="2"/>
  <c r="BU949" i="2"/>
  <c r="BS949" i="2"/>
  <c r="BR949" i="2"/>
  <c r="BP949" i="2"/>
  <c r="BO949" i="2"/>
  <c r="BM949" i="2"/>
  <c r="BL949" i="2"/>
  <c r="BJ949" i="2"/>
  <c r="BI949" i="2"/>
  <c r="BD949" i="2"/>
  <c r="BC949" i="2"/>
  <c r="BA949" i="2"/>
  <c r="AZ949" i="2"/>
  <c r="AX949" i="2"/>
  <c r="AW949" i="2"/>
  <c r="AU949" i="2"/>
  <c r="AT949" i="2"/>
  <c r="M949" i="2"/>
  <c r="U949" i="2" s="1"/>
  <c r="L949" i="2"/>
  <c r="R949" i="2" s="1"/>
  <c r="T930" i="2" s="1"/>
  <c r="B949" i="2"/>
  <c r="BV948" i="2"/>
  <c r="BU948" i="2"/>
  <c r="BS948" i="2"/>
  <c r="BR948" i="2"/>
  <c r="BP948" i="2"/>
  <c r="BO948" i="2"/>
  <c r="BM948" i="2"/>
  <c r="BL948" i="2"/>
  <c r="BJ948" i="2"/>
  <c r="BI948" i="2"/>
  <c r="BD948" i="2"/>
  <c r="BC948" i="2"/>
  <c r="BA948" i="2"/>
  <c r="AZ948" i="2"/>
  <c r="AX948" i="2"/>
  <c r="AW948" i="2"/>
  <c r="AU948" i="2"/>
  <c r="AT948" i="2"/>
  <c r="M948" i="2"/>
  <c r="U948" i="2" s="1"/>
  <c r="L948" i="2"/>
  <c r="R948" i="2" s="1"/>
  <c r="B948" i="2"/>
  <c r="BV947" i="2"/>
  <c r="BU947" i="2"/>
  <c r="BS947" i="2"/>
  <c r="BR947" i="2"/>
  <c r="BP947" i="2"/>
  <c r="BO947" i="2"/>
  <c r="BM947" i="2"/>
  <c r="BL947" i="2"/>
  <c r="BJ947" i="2"/>
  <c r="BI947" i="2"/>
  <c r="BD947" i="2"/>
  <c r="BC947" i="2"/>
  <c r="BA947" i="2"/>
  <c r="AZ947" i="2"/>
  <c r="AX947" i="2"/>
  <c r="AW947" i="2"/>
  <c r="AU947" i="2"/>
  <c r="AT947" i="2"/>
  <c r="R947" i="2"/>
  <c r="T947" i="2" s="1"/>
  <c r="M947" i="2"/>
  <c r="U947" i="2" s="1"/>
  <c r="L947" i="2"/>
  <c r="B947" i="2"/>
  <c r="BV946" i="2"/>
  <c r="BU946" i="2"/>
  <c r="BS946" i="2"/>
  <c r="BR946" i="2"/>
  <c r="BP946" i="2"/>
  <c r="BO946" i="2"/>
  <c r="BM946" i="2"/>
  <c r="BL946" i="2"/>
  <c r="BJ946" i="2"/>
  <c r="BI946" i="2"/>
  <c r="BD946" i="2"/>
  <c r="BC946" i="2"/>
  <c r="BA946" i="2"/>
  <c r="AZ946" i="2"/>
  <c r="AX946" i="2"/>
  <c r="AW946" i="2"/>
  <c r="AU946" i="2"/>
  <c r="AT946" i="2"/>
  <c r="U946" i="2"/>
  <c r="T946" i="2"/>
  <c r="R946" i="2"/>
  <c r="M946" i="2"/>
  <c r="L946" i="2"/>
  <c r="B946" i="2"/>
  <c r="BV945" i="2"/>
  <c r="BU945" i="2"/>
  <c r="BS945" i="2"/>
  <c r="BR945" i="2"/>
  <c r="BP945" i="2"/>
  <c r="BO945" i="2"/>
  <c r="BM945" i="2"/>
  <c r="BL945" i="2"/>
  <c r="BJ945" i="2"/>
  <c r="BI945" i="2"/>
  <c r="BD945" i="2"/>
  <c r="BC945" i="2"/>
  <c r="BA945" i="2"/>
  <c r="AZ945" i="2"/>
  <c r="AX945" i="2"/>
  <c r="AW945" i="2"/>
  <c r="AU945" i="2"/>
  <c r="AT945" i="2"/>
  <c r="M945" i="2"/>
  <c r="U945" i="2" s="1"/>
  <c r="L945" i="2"/>
  <c r="R945" i="2" s="1"/>
  <c r="B945" i="2"/>
  <c r="BV944" i="2"/>
  <c r="BU944" i="2"/>
  <c r="BS944" i="2"/>
  <c r="BR944" i="2"/>
  <c r="BP944" i="2"/>
  <c r="BO944" i="2"/>
  <c r="BM944" i="2"/>
  <c r="BL944" i="2"/>
  <c r="BJ944" i="2"/>
  <c r="BI944" i="2"/>
  <c r="BD944" i="2"/>
  <c r="BC944" i="2"/>
  <c r="BA944" i="2"/>
  <c r="AZ944" i="2"/>
  <c r="AX944" i="2"/>
  <c r="AW944" i="2"/>
  <c r="AU944" i="2"/>
  <c r="AT944" i="2"/>
  <c r="M944" i="2"/>
  <c r="U944" i="2" s="1"/>
  <c r="L944" i="2"/>
  <c r="R944" i="2" s="1"/>
  <c r="B944" i="2"/>
  <c r="BV943" i="2"/>
  <c r="BU943" i="2"/>
  <c r="BS943" i="2"/>
  <c r="BR943" i="2"/>
  <c r="BP943" i="2"/>
  <c r="BO943" i="2"/>
  <c r="BM943" i="2"/>
  <c r="BL943" i="2"/>
  <c r="BJ943" i="2"/>
  <c r="BI943" i="2"/>
  <c r="BD943" i="2"/>
  <c r="BC943" i="2"/>
  <c r="BA943" i="2"/>
  <c r="AZ943" i="2"/>
  <c r="AX943" i="2"/>
  <c r="AW943" i="2"/>
  <c r="AU943" i="2"/>
  <c r="AT943" i="2"/>
  <c r="R943" i="2"/>
  <c r="BF943" i="2" s="1"/>
  <c r="M943" i="2"/>
  <c r="U943" i="2" s="1"/>
  <c r="L943" i="2"/>
  <c r="B943" i="2"/>
  <c r="BV942" i="2"/>
  <c r="BU942" i="2"/>
  <c r="BS942" i="2"/>
  <c r="BR942" i="2"/>
  <c r="BP942" i="2"/>
  <c r="BO942" i="2"/>
  <c r="BM942" i="2"/>
  <c r="BL942" i="2"/>
  <c r="BJ942" i="2"/>
  <c r="BI942" i="2"/>
  <c r="BD942" i="2"/>
  <c r="BC942" i="2"/>
  <c r="BA942" i="2"/>
  <c r="AZ942" i="2"/>
  <c r="AX942" i="2"/>
  <c r="AW942" i="2"/>
  <c r="AU942" i="2"/>
  <c r="AT942" i="2"/>
  <c r="U942" i="2"/>
  <c r="T942" i="2"/>
  <c r="R942" i="2"/>
  <c r="BF942" i="2" s="1"/>
  <c r="M942" i="2"/>
  <c r="L942" i="2"/>
  <c r="B942" i="2"/>
  <c r="BV941" i="2"/>
  <c r="BU941" i="2"/>
  <c r="BS941" i="2"/>
  <c r="BR941" i="2"/>
  <c r="BP941" i="2"/>
  <c r="BO941" i="2"/>
  <c r="BM941" i="2"/>
  <c r="BL941" i="2"/>
  <c r="BJ941" i="2"/>
  <c r="BI941" i="2"/>
  <c r="BD941" i="2"/>
  <c r="BC941" i="2"/>
  <c r="BA941" i="2"/>
  <c r="AZ941" i="2"/>
  <c r="AX941" i="2"/>
  <c r="AW941" i="2"/>
  <c r="AU941" i="2"/>
  <c r="AT941" i="2"/>
  <c r="M941" i="2"/>
  <c r="U941" i="2" s="1"/>
  <c r="L941" i="2"/>
  <c r="R941" i="2" s="1"/>
  <c r="T922" i="2" s="1"/>
  <c r="B941" i="2"/>
  <c r="BV940" i="2"/>
  <c r="BU940" i="2"/>
  <c r="BS940" i="2"/>
  <c r="BR940" i="2"/>
  <c r="BP940" i="2"/>
  <c r="BO940" i="2"/>
  <c r="BM940" i="2"/>
  <c r="BL940" i="2"/>
  <c r="BJ940" i="2"/>
  <c r="BI940" i="2"/>
  <c r="BD940" i="2"/>
  <c r="BC940" i="2"/>
  <c r="BA940" i="2"/>
  <c r="AZ940" i="2"/>
  <c r="AX940" i="2"/>
  <c r="AW940" i="2"/>
  <c r="AU940" i="2"/>
  <c r="AT940" i="2"/>
  <c r="T940" i="2"/>
  <c r="M940" i="2"/>
  <c r="U940" i="2" s="1"/>
  <c r="L940" i="2"/>
  <c r="R940" i="2" s="1"/>
  <c r="B940" i="2"/>
  <c r="BV939" i="2"/>
  <c r="BU939" i="2"/>
  <c r="BS939" i="2"/>
  <c r="BR939" i="2"/>
  <c r="BP939" i="2"/>
  <c r="BO939" i="2"/>
  <c r="BM939" i="2"/>
  <c r="BL939" i="2"/>
  <c r="BJ939" i="2"/>
  <c r="BI939" i="2"/>
  <c r="BF939" i="2"/>
  <c r="BD939" i="2"/>
  <c r="BC939" i="2"/>
  <c r="BA939" i="2"/>
  <c r="AZ939" i="2"/>
  <c r="AX939" i="2"/>
  <c r="AW939" i="2"/>
  <c r="AU939" i="2"/>
  <c r="AT939" i="2"/>
  <c r="T939" i="2"/>
  <c r="R939" i="2"/>
  <c r="M939" i="2"/>
  <c r="U939" i="2" s="1"/>
  <c r="L939" i="2"/>
  <c r="B939" i="2"/>
  <c r="BV938" i="2"/>
  <c r="BU938" i="2"/>
  <c r="BS938" i="2"/>
  <c r="BR938" i="2"/>
  <c r="BP938" i="2"/>
  <c r="BO938" i="2"/>
  <c r="BM938" i="2"/>
  <c r="BL938" i="2"/>
  <c r="BJ938" i="2"/>
  <c r="BI938" i="2"/>
  <c r="BD938" i="2"/>
  <c r="BC938" i="2"/>
  <c r="BA938" i="2"/>
  <c r="AZ938" i="2"/>
  <c r="AX938" i="2"/>
  <c r="AW938" i="2"/>
  <c r="AU938" i="2"/>
  <c r="AT938" i="2"/>
  <c r="U938" i="2"/>
  <c r="R938" i="2"/>
  <c r="M938" i="2"/>
  <c r="L938" i="2"/>
  <c r="B938" i="2"/>
  <c r="BV937" i="2"/>
  <c r="BU937" i="2"/>
  <c r="BS937" i="2"/>
  <c r="BR937" i="2"/>
  <c r="BP937" i="2"/>
  <c r="BO937" i="2"/>
  <c r="BM937" i="2"/>
  <c r="BL937" i="2"/>
  <c r="BJ937" i="2"/>
  <c r="BI937" i="2"/>
  <c r="BD937" i="2"/>
  <c r="BC937" i="2"/>
  <c r="BA937" i="2"/>
  <c r="AZ937" i="2"/>
  <c r="AX937" i="2"/>
  <c r="AW937" i="2"/>
  <c r="AU937" i="2"/>
  <c r="AT937" i="2"/>
  <c r="U937" i="2"/>
  <c r="M937" i="2"/>
  <c r="L937" i="2"/>
  <c r="R937" i="2" s="1"/>
  <c r="B937" i="2"/>
  <c r="BV936" i="2"/>
  <c r="BU936" i="2"/>
  <c r="BS936" i="2"/>
  <c r="BR936" i="2"/>
  <c r="BP936" i="2"/>
  <c r="BO936" i="2"/>
  <c r="BM936" i="2"/>
  <c r="BL936" i="2"/>
  <c r="BJ936" i="2"/>
  <c r="BI936" i="2"/>
  <c r="BD936" i="2"/>
  <c r="BC936" i="2"/>
  <c r="BA936" i="2"/>
  <c r="AZ936" i="2"/>
  <c r="AX936" i="2"/>
  <c r="AW936" i="2"/>
  <c r="AU936" i="2"/>
  <c r="AT936" i="2"/>
  <c r="M936" i="2"/>
  <c r="U936" i="2" s="1"/>
  <c r="L936" i="2"/>
  <c r="R936" i="2" s="1"/>
  <c r="B936" i="2"/>
  <c r="BV935" i="2"/>
  <c r="BU935" i="2"/>
  <c r="BS935" i="2"/>
  <c r="BR935" i="2"/>
  <c r="BP935" i="2"/>
  <c r="BO935" i="2"/>
  <c r="BM935" i="2"/>
  <c r="BL935" i="2"/>
  <c r="BJ935" i="2"/>
  <c r="BI935" i="2"/>
  <c r="BD935" i="2"/>
  <c r="BC935" i="2"/>
  <c r="BA935" i="2"/>
  <c r="AZ935" i="2"/>
  <c r="AX935" i="2"/>
  <c r="AW935" i="2"/>
  <c r="AU935" i="2"/>
  <c r="AT935" i="2"/>
  <c r="R935" i="2"/>
  <c r="T935" i="2" s="1"/>
  <c r="M935" i="2"/>
  <c r="U935" i="2" s="1"/>
  <c r="L935" i="2"/>
  <c r="B935" i="2"/>
  <c r="BV934" i="2"/>
  <c r="BU934" i="2"/>
  <c r="BS934" i="2"/>
  <c r="BR934" i="2"/>
  <c r="BP934" i="2"/>
  <c r="BO934" i="2"/>
  <c r="BM934" i="2"/>
  <c r="BL934" i="2"/>
  <c r="BJ934" i="2"/>
  <c r="BI934" i="2"/>
  <c r="BF934" i="2"/>
  <c r="BD934" i="2"/>
  <c r="BC934" i="2"/>
  <c r="BA934" i="2"/>
  <c r="AZ934" i="2"/>
  <c r="AX934" i="2"/>
  <c r="AW934" i="2"/>
  <c r="AU934" i="2"/>
  <c r="AT934" i="2"/>
  <c r="U934" i="2"/>
  <c r="R934" i="2"/>
  <c r="M934" i="2"/>
  <c r="L934" i="2"/>
  <c r="B934" i="2"/>
  <c r="BV933" i="2"/>
  <c r="BU933" i="2"/>
  <c r="BS933" i="2"/>
  <c r="BR933" i="2"/>
  <c r="BP933" i="2"/>
  <c r="BO933" i="2"/>
  <c r="BM933" i="2"/>
  <c r="BL933" i="2"/>
  <c r="BJ933" i="2"/>
  <c r="BI933" i="2"/>
  <c r="BD933" i="2"/>
  <c r="BC933" i="2"/>
  <c r="BA933" i="2"/>
  <c r="AZ933" i="2"/>
  <c r="AX933" i="2"/>
  <c r="AW933" i="2"/>
  <c r="AU933" i="2"/>
  <c r="AT933" i="2"/>
  <c r="U933" i="2"/>
  <c r="M933" i="2"/>
  <c r="L933" i="2"/>
  <c r="R933" i="2" s="1"/>
  <c r="B933" i="2"/>
  <c r="BV932" i="2"/>
  <c r="BU932" i="2"/>
  <c r="BS932" i="2"/>
  <c r="BR932" i="2"/>
  <c r="BP932" i="2"/>
  <c r="BO932" i="2"/>
  <c r="BM932" i="2"/>
  <c r="BL932" i="2"/>
  <c r="BJ932" i="2"/>
  <c r="BI932" i="2"/>
  <c r="BD932" i="2"/>
  <c r="BC932" i="2"/>
  <c r="BA932" i="2"/>
  <c r="AZ932" i="2"/>
  <c r="AX932" i="2"/>
  <c r="AW932" i="2"/>
  <c r="AU932" i="2"/>
  <c r="AT932" i="2"/>
  <c r="M932" i="2"/>
  <c r="U932" i="2" s="1"/>
  <c r="L932" i="2"/>
  <c r="R932" i="2" s="1"/>
  <c r="B932" i="2"/>
  <c r="BV931" i="2"/>
  <c r="BU931" i="2"/>
  <c r="BS931" i="2"/>
  <c r="BR931" i="2"/>
  <c r="BP931" i="2"/>
  <c r="BO931" i="2"/>
  <c r="BM931" i="2"/>
  <c r="BL931" i="2"/>
  <c r="BJ931" i="2"/>
  <c r="BI931" i="2"/>
  <c r="BD931" i="2"/>
  <c r="BC931" i="2"/>
  <c r="BA931" i="2"/>
  <c r="AZ931" i="2"/>
  <c r="AX931" i="2"/>
  <c r="AW931" i="2"/>
  <c r="AU931" i="2"/>
  <c r="AT931" i="2"/>
  <c r="R931" i="2"/>
  <c r="T931" i="2" s="1"/>
  <c r="M931" i="2"/>
  <c r="U931" i="2" s="1"/>
  <c r="L931" i="2"/>
  <c r="B931" i="2"/>
  <c r="BV930" i="2"/>
  <c r="BU930" i="2"/>
  <c r="BS930" i="2"/>
  <c r="BR930" i="2"/>
  <c r="BP930" i="2"/>
  <c r="BO930" i="2"/>
  <c r="BM930" i="2"/>
  <c r="BL930" i="2"/>
  <c r="BJ930" i="2"/>
  <c r="BI930" i="2"/>
  <c r="BD930" i="2"/>
  <c r="BC930" i="2"/>
  <c r="BA930" i="2"/>
  <c r="AZ930" i="2"/>
  <c r="AX930" i="2"/>
  <c r="AW930" i="2"/>
  <c r="AU930" i="2"/>
  <c r="AT930" i="2"/>
  <c r="U930" i="2"/>
  <c r="R930" i="2"/>
  <c r="BF930" i="2" s="1"/>
  <c r="M930" i="2"/>
  <c r="L930" i="2"/>
  <c r="B930" i="2"/>
  <c r="BV929" i="2"/>
  <c r="BU929" i="2"/>
  <c r="BS929" i="2"/>
  <c r="BR929" i="2"/>
  <c r="BP929" i="2"/>
  <c r="BO929" i="2"/>
  <c r="BM929" i="2"/>
  <c r="BL929" i="2"/>
  <c r="BJ929" i="2"/>
  <c r="BI929" i="2"/>
  <c r="BD929" i="2"/>
  <c r="BC929" i="2"/>
  <c r="BA929" i="2"/>
  <c r="AZ929" i="2"/>
  <c r="AX929" i="2"/>
  <c r="AW929" i="2"/>
  <c r="AU929" i="2"/>
  <c r="AT929" i="2"/>
  <c r="M929" i="2"/>
  <c r="U929" i="2" s="1"/>
  <c r="L929" i="2"/>
  <c r="R929" i="2" s="1"/>
  <c r="B929" i="2"/>
  <c r="BV928" i="2"/>
  <c r="BU928" i="2"/>
  <c r="BS928" i="2"/>
  <c r="BR928" i="2"/>
  <c r="BP928" i="2"/>
  <c r="BO928" i="2"/>
  <c r="BM928" i="2"/>
  <c r="BL928" i="2"/>
  <c r="BJ928" i="2"/>
  <c r="BI928" i="2"/>
  <c r="BD928" i="2"/>
  <c r="BC928" i="2"/>
  <c r="BA928" i="2"/>
  <c r="AZ928" i="2"/>
  <c r="AX928" i="2"/>
  <c r="AW928" i="2"/>
  <c r="AU928" i="2"/>
  <c r="AT928" i="2"/>
  <c r="M928" i="2"/>
  <c r="U928" i="2" s="1"/>
  <c r="L928" i="2"/>
  <c r="R928" i="2" s="1"/>
  <c r="BF928" i="2" s="1"/>
  <c r="B928" i="2"/>
  <c r="BV927" i="2"/>
  <c r="BU927" i="2"/>
  <c r="BS927" i="2"/>
  <c r="BR927" i="2"/>
  <c r="BP927" i="2"/>
  <c r="BO927" i="2"/>
  <c r="BM927" i="2"/>
  <c r="BL927" i="2"/>
  <c r="BJ927" i="2"/>
  <c r="BI927" i="2"/>
  <c r="BD927" i="2"/>
  <c r="BC927" i="2"/>
  <c r="BA927" i="2"/>
  <c r="AZ927" i="2"/>
  <c r="AX927" i="2"/>
  <c r="AW927" i="2"/>
  <c r="AU927" i="2"/>
  <c r="AT927" i="2"/>
  <c r="R927" i="2"/>
  <c r="T927" i="2" s="1"/>
  <c r="M927" i="2"/>
  <c r="U927" i="2" s="1"/>
  <c r="L927" i="2"/>
  <c r="B927" i="2"/>
  <c r="BV926" i="2"/>
  <c r="BU926" i="2"/>
  <c r="BS926" i="2"/>
  <c r="BR926" i="2"/>
  <c r="BP926" i="2"/>
  <c r="BO926" i="2"/>
  <c r="BM926" i="2"/>
  <c r="BL926" i="2"/>
  <c r="BJ926" i="2"/>
  <c r="BI926" i="2"/>
  <c r="BF926" i="2"/>
  <c r="BD926" i="2"/>
  <c r="BC926" i="2"/>
  <c r="BA926" i="2"/>
  <c r="AZ926" i="2"/>
  <c r="AX926" i="2"/>
  <c r="AW926" i="2"/>
  <c r="AU926" i="2"/>
  <c r="AT926" i="2"/>
  <c r="U926" i="2"/>
  <c r="R926" i="2"/>
  <c r="M926" i="2"/>
  <c r="L926" i="2"/>
  <c r="B926" i="2"/>
  <c r="BV925" i="2"/>
  <c r="BU925" i="2"/>
  <c r="BS925" i="2"/>
  <c r="BR925" i="2"/>
  <c r="BP925" i="2"/>
  <c r="BO925" i="2"/>
  <c r="BM925" i="2"/>
  <c r="BL925" i="2"/>
  <c r="BJ925" i="2"/>
  <c r="BI925" i="2"/>
  <c r="BD925" i="2"/>
  <c r="BC925" i="2"/>
  <c r="BA925" i="2"/>
  <c r="AZ925" i="2"/>
  <c r="AX925" i="2"/>
  <c r="AW925" i="2"/>
  <c r="AU925" i="2"/>
  <c r="AT925" i="2"/>
  <c r="U925" i="2"/>
  <c r="M925" i="2"/>
  <c r="L925" i="2"/>
  <c r="R925" i="2" s="1"/>
  <c r="B925" i="2"/>
  <c r="BV924" i="2"/>
  <c r="BU924" i="2"/>
  <c r="BS924" i="2"/>
  <c r="BR924" i="2"/>
  <c r="BP924" i="2"/>
  <c r="BO924" i="2"/>
  <c r="BM924" i="2"/>
  <c r="BL924" i="2"/>
  <c r="BJ924" i="2"/>
  <c r="BI924" i="2"/>
  <c r="BG924" i="2"/>
  <c r="BF924" i="2"/>
  <c r="BA924" i="2"/>
  <c r="AZ924" i="2"/>
  <c r="AX924" i="2"/>
  <c r="AW924" i="2"/>
  <c r="AU924" i="2"/>
  <c r="AT924" i="2"/>
  <c r="M924" i="2"/>
  <c r="U924" i="2" s="1"/>
  <c r="L924" i="2"/>
  <c r="R924" i="2" s="1"/>
  <c r="BC924" i="2" s="1"/>
  <c r="B924" i="2"/>
  <c r="BV923" i="2"/>
  <c r="BU923" i="2"/>
  <c r="BS923" i="2"/>
  <c r="BR923" i="2"/>
  <c r="BP923" i="2"/>
  <c r="BO923" i="2"/>
  <c r="BM923" i="2"/>
  <c r="BL923" i="2"/>
  <c r="BJ923" i="2"/>
  <c r="BI923" i="2"/>
  <c r="BG923" i="2"/>
  <c r="BF923" i="2"/>
  <c r="BA923" i="2"/>
  <c r="AZ923" i="2"/>
  <c r="AX923" i="2"/>
  <c r="AW923" i="2"/>
  <c r="AU923" i="2"/>
  <c r="AT923" i="2"/>
  <c r="T923" i="2"/>
  <c r="R923" i="2"/>
  <c r="BC923" i="2" s="1"/>
  <c r="M923" i="2"/>
  <c r="U923" i="2" s="1"/>
  <c r="L923" i="2"/>
  <c r="B923" i="2"/>
  <c r="BV922" i="2"/>
  <c r="BU922" i="2"/>
  <c r="BS922" i="2"/>
  <c r="BR922" i="2"/>
  <c r="BP922" i="2"/>
  <c r="BO922" i="2"/>
  <c r="BM922" i="2"/>
  <c r="BL922" i="2"/>
  <c r="BJ922" i="2"/>
  <c r="BI922" i="2"/>
  <c r="BG922" i="2"/>
  <c r="BF922" i="2"/>
  <c r="BA922" i="2"/>
  <c r="AZ922" i="2"/>
  <c r="AX922" i="2"/>
  <c r="AW922" i="2"/>
  <c r="AU922" i="2"/>
  <c r="AT922" i="2"/>
  <c r="U922" i="2"/>
  <c r="R922" i="2"/>
  <c r="M922" i="2"/>
  <c r="L922" i="2"/>
  <c r="B922" i="2"/>
  <c r="BV921" i="2"/>
  <c r="BU921" i="2"/>
  <c r="BS921" i="2"/>
  <c r="BR921" i="2"/>
  <c r="BP921" i="2"/>
  <c r="BO921" i="2"/>
  <c r="BM921" i="2"/>
  <c r="BL921" i="2"/>
  <c r="BJ921" i="2"/>
  <c r="BI921" i="2"/>
  <c r="BG921" i="2"/>
  <c r="BF921" i="2"/>
  <c r="BA921" i="2"/>
  <c r="AZ921" i="2"/>
  <c r="AX921" i="2"/>
  <c r="AW921" i="2"/>
  <c r="AU921" i="2"/>
  <c r="AT921" i="2"/>
  <c r="M921" i="2"/>
  <c r="U921" i="2" s="1"/>
  <c r="L921" i="2"/>
  <c r="R921" i="2" s="1"/>
  <c r="BC921" i="2" s="1"/>
  <c r="B921" i="2"/>
  <c r="BV920" i="2"/>
  <c r="BU920" i="2"/>
  <c r="BS920" i="2"/>
  <c r="BR920" i="2"/>
  <c r="BP920" i="2"/>
  <c r="BO920" i="2"/>
  <c r="BM920" i="2"/>
  <c r="BL920" i="2"/>
  <c r="BJ920" i="2"/>
  <c r="BI920" i="2"/>
  <c r="BG920" i="2"/>
  <c r="BF920" i="2"/>
  <c r="BA920" i="2"/>
  <c r="AZ920" i="2"/>
  <c r="AX920" i="2"/>
  <c r="AW920" i="2"/>
  <c r="AU920" i="2"/>
  <c r="AT920" i="2"/>
  <c r="M920" i="2"/>
  <c r="U920" i="2" s="1"/>
  <c r="L920" i="2"/>
  <c r="R920" i="2" s="1"/>
  <c r="BC920" i="2" s="1"/>
  <c r="B920" i="2"/>
  <c r="BV919" i="2"/>
  <c r="BU919" i="2"/>
  <c r="BS919" i="2"/>
  <c r="BR919" i="2"/>
  <c r="BP919" i="2"/>
  <c r="BO919" i="2"/>
  <c r="BM919" i="2"/>
  <c r="BL919" i="2"/>
  <c r="BJ919" i="2"/>
  <c r="BI919" i="2"/>
  <c r="BG919" i="2"/>
  <c r="BF919" i="2"/>
  <c r="BA919" i="2"/>
  <c r="AZ919" i="2"/>
  <c r="AX919" i="2"/>
  <c r="AW919" i="2"/>
  <c r="AU919" i="2"/>
  <c r="AT919" i="2"/>
  <c r="R919" i="2"/>
  <c r="BC919" i="2" s="1"/>
  <c r="M919" i="2"/>
  <c r="U919" i="2" s="1"/>
  <c r="L919" i="2"/>
  <c r="B919" i="2"/>
  <c r="BV918" i="2"/>
  <c r="BU918" i="2"/>
  <c r="BS918" i="2"/>
  <c r="BR918" i="2"/>
  <c r="BP918" i="2"/>
  <c r="BO918" i="2"/>
  <c r="BM918" i="2"/>
  <c r="BL918" i="2"/>
  <c r="BJ918" i="2"/>
  <c r="BI918" i="2"/>
  <c r="BG918" i="2"/>
  <c r="BF918" i="2"/>
  <c r="BA918" i="2"/>
  <c r="AZ918" i="2"/>
  <c r="AX918" i="2"/>
  <c r="AW918" i="2"/>
  <c r="AU918" i="2"/>
  <c r="AU1055" i="2" s="1"/>
  <c r="AU1054" i="2" s="1"/>
  <c r="AT918" i="2"/>
  <c r="U918" i="2"/>
  <c r="AR918" i="2" s="1"/>
  <c r="R918" i="2"/>
  <c r="BC918" i="2" s="1"/>
  <c r="M918" i="2"/>
  <c r="L918" i="2"/>
  <c r="B918" i="2"/>
  <c r="AQ915" i="2"/>
  <c r="BV901" i="2"/>
  <c r="BU901" i="2"/>
  <c r="BS901" i="2"/>
  <c r="BR901" i="2"/>
  <c r="BP901" i="2"/>
  <c r="BO901" i="2"/>
  <c r="BM901" i="2"/>
  <c r="BL901" i="2"/>
  <c r="BG901" i="2"/>
  <c r="BF901" i="2"/>
  <c r="BD901" i="2"/>
  <c r="BC901" i="2"/>
  <c r="BA901" i="2"/>
  <c r="AZ901" i="2"/>
  <c r="AX901" i="2"/>
  <c r="AW901" i="2"/>
  <c r="AU901" i="2"/>
  <c r="AT901" i="2"/>
  <c r="U901" i="2"/>
  <c r="R901" i="2"/>
  <c r="M901" i="2"/>
  <c r="L901" i="2"/>
  <c r="J1413" i="2" s="1"/>
  <c r="R1413" i="2" s="1"/>
  <c r="B901" i="2"/>
  <c r="BV900" i="2"/>
  <c r="BU900" i="2"/>
  <c r="BS900" i="2"/>
  <c r="BR900" i="2"/>
  <c r="BP900" i="2"/>
  <c r="BO900" i="2"/>
  <c r="BM900" i="2"/>
  <c r="BL900" i="2"/>
  <c r="BI900" i="2"/>
  <c r="BG900" i="2"/>
  <c r="BF900" i="2"/>
  <c r="BD900" i="2"/>
  <c r="BC900" i="2"/>
  <c r="BA900" i="2"/>
  <c r="AZ900" i="2"/>
  <c r="AX900" i="2"/>
  <c r="AW900" i="2"/>
  <c r="AU900" i="2"/>
  <c r="AT900" i="2"/>
  <c r="T900" i="2"/>
  <c r="R900" i="2"/>
  <c r="M900" i="2"/>
  <c r="U900" i="2" s="1"/>
  <c r="L900" i="2"/>
  <c r="J1412" i="2" s="1"/>
  <c r="R1412" i="2" s="1"/>
  <c r="B900" i="2"/>
  <c r="BV899" i="2"/>
  <c r="BU899" i="2"/>
  <c r="BS899" i="2"/>
  <c r="BR899" i="2"/>
  <c r="BP899" i="2"/>
  <c r="BO899" i="2"/>
  <c r="BM899" i="2"/>
  <c r="BL899" i="2"/>
  <c r="BG899" i="2"/>
  <c r="BF899" i="2"/>
  <c r="BD899" i="2"/>
  <c r="BC899" i="2"/>
  <c r="BA899" i="2"/>
  <c r="AZ899" i="2"/>
  <c r="AX899" i="2"/>
  <c r="AW899" i="2"/>
  <c r="AU899" i="2"/>
  <c r="AT899" i="2"/>
  <c r="M899" i="2"/>
  <c r="U899" i="2" s="1"/>
  <c r="L899" i="2"/>
  <c r="J1411" i="2" s="1"/>
  <c r="R1411" i="2" s="1"/>
  <c r="B899" i="2"/>
  <c r="BV898" i="2"/>
  <c r="BU898" i="2"/>
  <c r="BS898" i="2"/>
  <c r="BR898" i="2"/>
  <c r="BP898" i="2"/>
  <c r="BO898" i="2"/>
  <c r="BM898" i="2"/>
  <c r="BL898" i="2"/>
  <c r="BG898" i="2"/>
  <c r="BF898" i="2"/>
  <c r="BD898" i="2"/>
  <c r="BC898" i="2"/>
  <c r="BA898" i="2"/>
  <c r="AZ898" i="2"/>
  <c r="AX898" i="2"/>
  <c r="AW898" i="2"/>
  <c r="AU898" i="2"/>
  <c r="AT898" i="2"/>
  <c r="U898" i="2"/>
  <c r="R898" i="2"/>
  <c r="BI898" i="2" s="1"/>
  <c r="M898" i="2"/>
  <c r="L898" i="2"/>
  <c r="J1410" i="2" s="1"/>
  <c r="R1410" i="2" s="1"/>
  <c r="B898" i="2"/>
  <c r="BV897" i="2"/>
  <c r="BU897" i="2"/>
  <c r="BS897" i="2"/>
  <c r="BR897" i="2"/>
  <c r="BP897" i="2"/>
  <c r="BO897" i="2"/>
  <c r="BM897" i="2"/>
  <c r="BL897" i="2"/>
  <c r="BG897" i="2"/>
  <c r="BF897" i="2"/>
  <c r="BD897" i="2"/>
  <c r="BC897" i="2"/>
  <c r="BA897" i="2"/>
  <c r="AZ897" i="2"/>
  <c r="AX897" i="2"/>
  <c r="AW897" i="2"/>
  <c r="AU897" i="2"/>
  <c r="AT897" i="2"/>
  <c r="R897" i="2"/>
  <c r="M897" i="2"/>
  <c r="U897" i="2" s="1"/>
  <c r="L897" i="2"/>
  <c r="J1409" i="2" s="1"/>
  <c r="R1409" i="2" s="1"/>
  <c r="B897" i="2"/>
  <c r="BV896" i="2"/>
  <c r="BU896" i="2"/>
  <c r="BS896" i="2"/>
  <c r="BR896" i="2"/>
  <c r="BP896" i="2"/>
  <c r="BO896" i="2"/>
  <c r="BM896" i="2"/>
  <c r="BL896" i="2"/>
  <c r="BI896" i="2"/>
  <c r="BG896" i="2"/>
  <c r="BF896" i="2"/>
  <c r="BD896" i="2"/>
  <c r="BC896" i="2"/>
  <c r="BA896" i="2"/>
  <c r="AZ896" i="2"/>
  <c r="AX896" i="2"/>
  <c r="AW896" i="2"/>
  <c r="AU896" i="2"/>
  <c r="AT896" i="2"/>
  <c r="T896" i="2"/>
  <c r="R896" i="2"/>
  <c r="M896" i="2"/>
  <c r="U896" i="2" s="1"/>
  <c r="L896" i="2"/>
  <c r="J1408" i="2" s="1"/>
  <c r="R1408" i="2" s="1"/>
  <c r="B896" i="2"/>
  <c r="BV895" i="2"/>
  <c r="BU895" i="2"/>
  <c r="BS895" i="2"/>
  <c r="BR895" i="2"/>
  <c r="BP895" i="2"/>
  <c r="BO895" i="2"/>
  <c r="BM895" i="2"/>
  <c r="BL895" i="2"/>
  <c r="BI895" i="2"/>
  <c r="BG895" i="2"/>
  <c r="BF895" i="2"/>
  <c r="BD895" i="2"/>
  <c r="BC895" i="2"/>
  <c r="BA895" i="2"/>
  <c r="AZ895" i="2"/>
  <c r="AX895" i="2"/>
  <c r="AW895" i="2"/>
  <c r="AU895" i="2"/>
  <c r="AT895" i="2"/>
  <c r="T895" i="2"/>
  <c r="R895" i="2"/>
  <c r="M895" i="2"/>
  <c r="U895" i="2" s="1"/>
  <c r="L895" i="2"/>
  <c r="J1407" i="2" s="1"/>
  <c r="R1407" i="2" s="1"/>
  <c r="B895" i="2"/>
  <c r="BV894" i="2"/>
  <c r="BU894" i="2"/>
  <c r="BS894" i="2"/>
  <c r="BR894" i="2"/>
  <c r="BP894" i="2"/>
  <c r="BO894" i="2"/>
  <c r="BM894" i="2"/>
  <c r="BL894" i="2"/>
  <c r="BG894" i="2"/>
  <c r="BF894" i="2"/>
  <c r="BD894" i="2"/>
  <c r="BC894" i="2"/>
  <c r="BA894" i="2"/>
  <c r="AZ894" i="2"/>
  <c r="AX894" i="2"/>
  <c r="AW894" i="2"/>
  <c r="AU894" i="2"/>
  <c r="AT894" i="2"/>
  <c r="U894" i="2"/>
  <c r="M894" i="2"/>
  <c r="L894" i="2"/>
  <c r="J1406" i="2" s="1"/>
  <c r="R1406" i="2" s="1"/>
  <c r="B894" i="2"/>
  <c r="BV893" i="2"/>
  <c r="BU893" i="2"/>
  <c r="BS893" i="2"/>
  <c r="BR893" i="2"/>
  <c r="BP893" i="2"/>
  <c r="BO893" i="2"/>
  <c r="BM893" i="2"/>
  <c r="BL893" i="2"/>
  <c r="BG893" i="2"/>
  <c r="BF893" i="2"/>
  <c r="BD893" i="2"/>
  <c r="BC893" i="2"/>
  <c r="BA893" i="2"/>
  <c r="AZ893" i="2"/>
  <c r="AX893" i="2"/>
  <c r="AW893" i="2"/>
  <c r="AU893" i="2"/>
  <c r="AT893" i="2"/>
  <c r="R893" i="2"/>
  <c r="M893" i="2"/>
  <c r="U893" i="2" s="1"/>
  <c r="L893" i="2"/>
  <c r="J1405" i="2" s="1"/>
  <c r="R1405" i="2" s="1"/>
  <c r="B893" i="2"/>
  <c r="BV892" i="2"/>
  <c r="BU892" i="2"/>
  <c r="BS892" i="2"/>
  <c r="BR892" i="2"/>
  <c r="BP892" i="2"/>
  <c r="BO892" i="2"/>
  <c r="BM892" i="2"/>
  <c r="BL892" i="2"/>
  <c r="BG892" i="2"/>
  <c r="BF892" i="2"/>
  <c r="BD892" i="2"/>
  <c r="BC892" i="2"/>
  <c r="BA892" i="2"/>
  <c r="AZ892" i="2"/>
  <c r="AX892" i="2"/>
  <c r="AW892" i="2"/>
  <c r="AU892" i="2"/>
  <c r="AT892" i="2"/>
  <c r="U892" i="2"/>
  <c r="M892" i="2"/>
  <c r="L892" i="2"/>
  <c r="J1404" i="2" s="1"/>
  <c r="R1404" i="2" s="1"/>
  <c r="B892" i="2"/>
  <c r="BV891" i="2"/>
  <c r="BU891" i="2"/>
  <c r="BS891" i="2"/>
  <c r="BR891" i="2"/>
  <c r="BP891" i="2"/>
  <c r="BO891" i="2"/>
  <c r="BM891" i="2"/>
  <c r="BL891" i="2"/>
  <c r="BG891" i="2"/>
  <c r="BF891" i="2"/>
  <c r="BD891" i="2"/>
  <c r="BC891" i="2"/>
  <c r="BA891" i="2"/>
  <c r="AZ891" i="2"/>
  <c r="AX891" i="2"/>
  <c r="AW891" i="2"/>
  <c r="AU891" i="2"/>
  <c r="AT891" i="2"/>
  <c r="R891" i="2"/>
  <c r="BI891" i="2" s="1"/>
  <c r="M891" i="2"/>
  <c r="U891" i="2" s="1"/>
  <c r="L891" i="2"/>
  <c r="J1403" i="2" s="1"/>
  <c r="R1403" i="2" s="1"/>
  <c r="B891" i="2"/>
  <c r="BV890" i="2"/>
  <c r="BU890" i="2"/>
  <c r="BS890" i="2"/>
  <c r="BR890" i="2"/>
  <c r="BP890" i="2"/>
  <c r="BO890" i="2"/>
  <c r="BM890" i="2"/>
  <c r="BL890" i="2"/>
  <c r="BI890" i="2"/>
  <c r="BG890" i="2"/>
  <c r="BF890" i="2"/>
  <c r="BD890" i="2"/>
  <c r="BC890" i="2"/>
  <c r="BA890" i="2"/>
  <c r="AZ890" i="2"/>
  <c r="AX890" i="2"/>
  <c r="AW890" i="2"/>
  <c r="AU890" i="2"/>
  <c r="AT890" i="2"/>
  <c r="U890" i="2"/>
  <c r="T890" i="2"/>
  <c r="R890" i="2"/>
  <c r="M890" i="2"/>
  <c r="L890" i="2"/>
  <c r="J1402" i="2" s="1"/>
  <c r="R1402" i="2" s="1"/>
  <c r="B890" i="2"/>
  <c r="BV889" i="2"/>
  <c r="BU889" i="2"/>
  <c r="BS889" i="2"/>
  <c r="BR889" i="2"/>
  <c r="BP889" i="2"/>
  <c r="BO889" i="2"/>
  <c r="BM889" i="2"/>
  <c r="BL889" i="2"/>
  <c r="BG889" i="2"/>
  <c r="BF889" i="2"/>
  <c r="BD889" i="2"/>
  <c r="BC889" i="2"/>
  <c r="BA889" i="2"/>
  <c r="AZ889" i="2"/>
  <c r="AX889" i="2"/>
  <c r="AW889" i="2"/>
  <c r="AU889" i="2"/>
  <c r="AT889" i="2"/>
  <c r="U889" i="2"/>
  <c r="R889" i="2"/>
  <c r="M889" i="2"/>
  <c r="L889" i="2"/>
  <c r="J1401" i="2" s="1"/>
  <c r="R1401" i="2" s="1"/>
  <c r="B889" i="2"/>
  <c r="BV888" i="2"/>
  <c r="BU888" i="2"/>
  <c r="BS888" i="2"/>
  <c r="BR888" i="2"/>
  <c r="BP888" i="2"/>
  <c r="BO888" i="2"/>
  <c r="BM888" i="2"/>
  <c r="BL888" i="2"/>
  <c r="BG888" i="2"/>
  <c r="BF888" i="2"/>
  <c r="BD888" i="2"/>
  <c r="BC888" i="2"/>
  <c r="BA888" i="2"/>
  <c r="AZ888" i="2"/>
  <c r="AX888" i="2"/>
  <c r="AW888" i="2"/>
  <c r="AU888" i="2"/>
  <c r="AT888" i="2"/>
  <c r="U888" i="2"/>
  <c r="M888" i="2"/>
  <c r="L888" i="2"/>
  <c r="J1400" i="2" s="1"/>
  <c r="R1400" i="2" s="1"/>
  <c r="B888" i="2"/>
  <c r="BV887" i="2"/>
  <c r="BU887" i="2"/>
  <c r="BS887" i="2"/>
  <c r="BR887" i="2"/>
  <c r="BP887" i="2"/>
  <c r="BO887" i="2"/>
  <c r="BM887" i="2"/>
  <c r="BL887" i="2"/>
  <c r="BG887" i="2"/>
  <c r="BF887" i="2"/>
  <c r="BD887" i="2"/>
  <c r="BC887" i="2"/>
  <c r="BA887" i="2"/>
  <c r="AZ887" i="2"/>
  <c r="AX887" i="2"/>
  <c r="AW887" i="2"/>
  <c r="AU887" i="2"/>
  <c r="AT887" i="2"/>
  <c r="M887" i="2"/>
  <c r="U887" i="2" s="1"/>
  <c r="L887" i="2"/>
  <c r="J1399" i="2" s="1"/>
  <c r="R1399" i="2" s="1"/>
  <c r="B887" i="2"/>
  <c r="BV886" i="2"/>
  <c r="BU886" i="2"/>
  <c r="BS886" i="2"/>
  <c r="BR886" i="2"/>
  <c r="BP886" i="2"/>
  <c r="BO886" i="2"/>
  <c r="BM886" i="2"/>
  <c r="BL886" i="2"/>
  <c r="BG886" i="2"/>
  <c r="BF886" i="2"/>
  <c r="BD886" i="2"/>
  <c r="BC886" i="2"/>
  <c r="BA886" i="2"/>
  <c r="AZ886" i="2"/>
  <c r="AX886" i="2"/>
  <c r="AW886" i="2"/>
  <c r="AU886" i="2"/>
  <c r="AT886" i="2"/>
  <c r="U886" i="2"/>
  <c r="R886" i="2"/>
  <c r="BI886" i="2" s="1"/>
  <c r="M886" i="2"/>
  <c r="L886" i="2"/>
  <c r="J1398" i="2" s="1"/>
  <c r="R1398" i="2" s="1"/>
  <c r="B886" i="2"/>
  <c r="BV885" i="2"/>
  <c r="BU885" i="2"/>
  <c r="BS885" i="2"/>
  <c r="BR885" i="2"/>
  <c r="BP885" i="2"/>
  <c r="BO885" i="2"/>
  <c r="BM885" i="2"/>
  <c r="BL885" i="2"/>
  <c r="BG885" i="2"/>
  <c r="BF885" i="2"/>
  <c r="BD885" i="2"/>
  <c r="BC885" i="2"/>
  <c r="BA885" i="2"/>
  <c r="AZ885" i="2"/>
  <c r="AX885" i="2"/>
  <c r="AW885" i="2"/>
  <c r="AU885" i="2"/>
  <c r="AT885" i="2"/>
  <c r="U885" i="2"/>
  <c r="R885" i="2"/>
  <c r="M885" i="2"/>
  <c r="L885" i="2"/>
  <c r="J1397" i="2" s="1"/>
  <c r="R1397" i="2" s="1"/>
  <c r="B885" i="2"/>
  <c r="BV884" i="2"/>
  <c r="BU884" i="2"/>
  <c r="BS884" i="2"/>
  <c r="BR884" i="2"/>
  <c r="BP884" i="2"/>
  <c r="BO884" i="2"/>
  <c r="BM884" i="2"/>
  <c r="BL884" i="2"/>
  <c r="BI884" i="2"/>
  <c r="BG884" i="2"/>
  <c r="BF884" i="2"/>
  <c r="BD884" i="2"/>
  <c r="BC884" i="2"/>
  <c r="BA884" i="2"/>
  <c r="AZ884" i="2"/>
  <c r="AX884" i="2"/>
  <c r="AW884" i="2"/>
  <c r="AU884" i="2"/>
  <c r="AT884" i="2"/>
  <c r="T884" i="2"/>
  <c r="R884" i="2"/>
  <c r="M884" i="2"/>
  <c r="U884" i="2" s="1"/>
  <c r="L884" i="2"/>
  <c r="J1396" i="2" s="1"/>
  <c r="R1396" i="2" s="1"/>
  <c r="B884" i="2"/>
  <c r="BV883" i="2"/>
  <c r="BU883" i="2"/>
  <c r="BS883" i="2"/>
  <c r="BR883" i="2"/>
  <c r="BP883" i="2"/>
  <c r="BO883" i="2"/>
  <c r="BM883" i="2"/>
  <c r="BL883" i="2"/>
  <c r="BG883" i="2"/>
  <c r="BF883" i="2"/>
  <c r="BD883" i="2"/>
  <c r="BC883" i="2"/>
  <c r="BA883" i="2"/>
  <c r="AZ883" i="2"/>
  <c r="AX883" i="2"/>
  <c r="AW883" i="2"/>
  <c r="AU883" i="2"/>
  <c r="AT883" i="2"/>
  <c r="M883" i="2"/>
  <c r="U883" i="2" s="1"/>
  <c r="L883" i="2"/>
  <c r="J1395" i="2" s="1"/>
  <c r="R1395" i="2" s="1"/>
  <c r="B883" i="2"/>
  <c r="BV882" i="2"/>
  <c r="BU882" i="2"/>
  <c r="BS882" i="2"/>
  <c r="BR882" i="2"/>
  <c r="BP882" i="2"/>
  <c r="BO882" i="2"/>
  <c r="BM882" i="2"/>
  <c r="BL882" i="2"/>
  <c r="BG882" i="2"/>
  <c r="BF882" i="2"/>
  <c r="BD882" i="2"/>
  <c r="BC882" i="2"/>
  <c r="BA882" i="2"/>
  <c r="AZ882" i="2"/>
  <c r="AX882" i="2"/>
  <c r="AW882" i="2"/>
  <c r="AU882" i="2"/>
  <c r="AT882" i="2"/>
  <c r="M882" i="2"/>
  <c r="U882" i="2" s="1"/>
  <c r="L882" i="2"/>
  <c r="J1394" i="2" s="1"/>
  <c r="R1394" i="2" s="1"/>
  <c r="B882" i="2"/>
  <c r="BV881" i="2"/>
  <c r="BU881" i="2"/>
  <c r="BS881" i="2"/>
  <c r="BR881" i="2"/>
  <c r="BP881" i="2"/>
  <c r="BO881" i="2"/>
  <c r="BM881" i="2"/>
  <c r="BL881" i="2"/>
  <c r="BG881" i="2"/>
  <c r="BF881" i="2"/>
  <c r="BD881" i="2"/>
  <c r="BC881" i="2"/>
  <c r="BA881" i="2"/>
  <c r="AZ881" i="2"/>
  <c r="AX881" i="2"/>
  <c r="AW881" i="2"/>
  <c r="AU881" i="2"/>
  <c r="AT881" i="2"/>
  <c r="U881" i="2"/>
  <c r="R881" i="2"/>
  <c r="BI881" i="2" s="1"/>
  <c r="M881" i="2"/>
  <c r="L881" i="2"/>
  <c r="J1393" i="2" s="1"/>
  <c r="R1393" i="2" s="1"/>
  <c r="B881" i="2"/>
  <c r="BV880" i="2"/>
  <c r="BU880" i="2"/>
  <c r="BS880" i="2"/>
  <c r="BR880" i="2"/>
  <c r="BP880" i="2"/>
  <c r="BO880" i="2"/>
  <c r="BM880" i="2"/>
  <c r="BL880" i="2"/>
  <c r="BI880" i="2"/>
  <c r="BG880" i="2"/>
  <c r="BF880" i="2"/>
  <c r="BD880" i="2"/>
  <c r="BC880" i="2"/>
  <c r="BA880" i="2"/>
  <c r="AZ880" i="2"/>
  <c r="AX880" i="2"/>
  <c r="AW880" i="2"/>
  <c r="AU880" i="2"/>
  <c r="AT880" i="2"/>
  <c r="T880" i="2"/>
  <c r="R880" i="2"/>
  <c r="M880" i="2"/>
  <c r="U880" i="2" s="1"/>
  <c r="L880" i="2"/>
  <c r="J1392" i="2" s="1"/>
  <c r="R1392" i="2" s="1"/>
  <c r="B880" i="2"/>
  <c r="BV879" i="2"/>
  <c r="BU879" i="2"/>
  <c r="BS879" i="2"/>
  <c r="BR879" i="2"/>
  <c r="BP879" i="2"/>
  <c r="BO879" i="2"/>
  <c r="BM879" i="2"/>
  <c r="BL879" i="2"/>
  <c r="BG879" i="2"/>
  <c r="BF879" i="2"/>
  <c r="BD879" i="2"/>
  <c r="BC879" i="2"/>
  <c r="BA879" i="2"/>
  <c r="AZ879" i="2"/>
  <c r="AX879" i="2"/>
  <c r="AW879" i="2"/>
  <c r="AU879" i="2"/>
  <c r="AT879" i="2"/>
  <c r="M879" i="2"/>
  <c r="U879" i="2" s="1"/>
  <c r="L879" i="2"/>
  <c r="J1391" i="2" s="1"/>
  <c r="R1391" i="2" s="1"/>
  <c r="B879" i="2"/>
  <c r="BV878" i="2"/>
  <c r="BU878" i="2"/>
  <c r="BS878" i="2"/>
  <c r="BR878" i="2"/>
  <c r="BP878" i="2"/>
  <c r="BO878" i="2"/>
  <c r="BM878" i="2"/>
  <c r="BL878" i="2"/>
  <c r="BG878" i="2"/>
  <c r="BF878" i="2"/>
  <c r="BD878" i="2"/>
  <c r="BC878" i="2"/>
  <c r="BA878" i="2"/>
  <c r="AZ878" i="2"/>
  <c r="AX878" i="2"/>
  <c r="AW878" i="2"/>
  <c r="AU878" i="2"/>
  <c r="AT878" i="2"/>
  <c r="M878" i="2"/>
  <c r="U878" i="2" s="1"/>
  <c r="L878" i="2"/>
  <c r="J1390" i="2" s="1"/>
  <c r="R1390" i="2" s="1"/>
  <c r="B878" i="2"/>
  <c r="BV877" i="2"/>
  <c r="BU877" i="2"/>
  <c r="BS877" i="2"/>
  <c r="BR877" i="2"/>
  <c r="BP877" i="2"/>
  <c r="BO877" i="2"/>
  <c r="BM877" i="2"/>
  <c r="BL877" i="2"/>
  <c r="BG877" i="2"/>
  <c r="BF877" i="2"/>
  <c r="BD877" i="2"/>
  <c r="BC877" i="2"/>
  <c r="BA877" i="2"/>
  <c r="AZ877" i="2"/>
  <c r="AX877" i="2"/>
  <c r="AW877" i="2"/>
  <c r="AU877" i="2"/>
  <c r="AT877" i="2"/>
  <c r="R877" i="2"/>
  <c r="BI877" i="2" s="1"/>
  <c r="M877" i="2"/>
  <c r="U877" i="2" s="1"/>
  <c r="L877" i="2"/>
  <c r="J1389" i="2" s="1"/>
  <c r="R1389" i="2" s="1"/>
  <c r="B877" i="2"/>
  <c r="BV876" i="2"/>
  <c r="BU876" i="2"/>
  <c r="BS876" i="2"/>
  <c r="BR876" i="2"/>
  <c r="BP876" i="2"/>
  <c r="BO876" i="2"/>
  <c r="BM876" i="2"/>
  <c r="BL876" i="2"/>
  <c r="BI876" i="2"/>
  <c r="BG876" i="2"/>
  <c r="BF876" i="2"/>
  <c r="BD876" i="2"/>
  <c r="BC876" i="2"/>
  <c r="BA876" i="2"/>
  <c r="AZ876" i="2"/>
  <c r="AX876" i="2"/>
  <c r="AW876" i="2"/>
  <c r="AU876" i="2"/>
  <c r="AT876" i="2"/>
  <c r="R876" i="2"/>
  <c r="M876" i="2"/>
  <c r="U876" i="2" s="1"/>
  <c r="L876" i="2"/>
  <c r="J1388" i="2" s="1"/>
  <c r="R1388" i="2" s="1"/>
  <c r="B876" i="2"/>
  <c r="BV875" i="2"/>
  <c r="BU875" i="2"/>
  <c r="BS875" i="2"/>
  <c r="BR875" i="2"/>
  <c r="BP875" i="2"/>
  <c r="BO875" i="2"/>
  <c r="BM875" i="2"/>
  <c r="BL875" i="2"/>
  <c r="BG875" i="2"/>
  <c r="BF875" i="2"/>
  <c r="BD875" i="2"/>
  <c r="BC875" i="2"/>
  <c r="BA875" i="2"/>
  <c r="AZ875" i="2"/>
  <c r="AX875" i="2"/>
  <c r="AW875" i="2"/>
  <c r="AU875" i="2"/>
  <c r="AT875" i="2"/>
  <c r="M875" i="2"/>
  <c r="U875" i="2" s="1"/>
  <c r="L875" i="2"/>
  <c r="J1387" i="2" s="1"/>
  <c r="R1387" i="2" s="1"/>
  <c r="B875" i="2"/>
  <c r="BV874" i="2"/>
  <c r="BU874" i="2"/>
  <c r="BS874" i="2"/>
  <c r="BR874" i="2"/>
  <c r="BP874" i="2"/>
  <c r="BO874" i="2"/>
  <c r="BM874" i="2"/>
  <c r="BL874" i="2"/>
  <c r="BG874" i="2"/>
  <c r="BF874" i="2"/>
  <c r="BD874" i="2"/>
  <c r="BC874" i="2"/>
  <c r="BA874" i="2"/>
  <c r="AZ874" i="2"/>
  <c r="AX874" i="2"/>
  <c r="AW874" i="2"/>
  <c r="AU874" i="2"/>
  <c r="AT874" i="2"/>
  <c r="M874" i="2"/>
  <c r="U874" i="2" s="1"/>
  <c r="L874" i="2"/>
  <c r="J1386" i="2" s="1"/>
  <c r="R1386" i="2" s="1"/>
  <c r="B874" i="2"/>
  <c r="BV873" i="2"/>
  <c r="BU873" i="2"/>
  <c r="BS873" i="2"/>
  <c r="BR873" i="2"/>
  <c r="BP873" i="2"/>
  <c r="BO873" i="2"/>
  <c r="BM873" i="2"/>
  <c r="BL873" i="2"/>
  <c r="BJ873" i="2"/>
  <c r="BI873" i="2"/>
  <c r="BD873" i="2"/>
  <c r="BC873" i="2"/>
  <c r="BA873" i="2"/>
  <c r="AZ873" i="2"/>
  <c r="AX873" i="2"/>
  <c r="AW873" i="2"/>
  <c r="AU873" i="2"/>
  <c r="AT873" i="2"/>
  <c r="R873" i="2"/>
  <c r="BF873" i="2" s="1"/>
  <c r="M873" i="2"/>
  <c r="U873" i="2" s="1"/>
  <c r="L873" i="2"/>
  <c r="J1385" i="2" s="1"/>
  <c r="R1385" i="2" s="1"/>
  <c r="B873" i="2"/>
  <c r="BV872" i="2"/>
  <c r="BU872" i="2"/>
  <c r="BS872" i="2"/>
  <c r="BR872" i="2"/>
  <c r="BP872" i="2"/>
  <c r="BO872" i="2"/>
  <c r="BM872" i="2"/>
  <c r="BL872" i="2"/>
  <c r="BJ872" i="2"/>
  <c r="BI872" i="2"/>
  <c r="BD872" i="2"/>
  <c r="BC872" i="2"/>
  <c r="BA872" i="2"/>
  <c r="AZ872" i="2"/>
  <c r="AX872" i="2"/>
  <c r="AW872" i="2"/>
  <c r="AU872" i="2"/>
  <c r="AT872" i="2"/>
  <c r="R872" i="2"/>
  <c r="BF872" i="2" s="1"/>
  <c r="M872" i="2"/>
  <c r="U872" i="2" s="1"/>
  <c r="L872" i="2"/>
  <c r="J1384" i="2" s="1"/>
  <c r="R1384" i="2" s="1"/>
  <c r="B872" i="2"/>
  <c r="BV871" i="2"/>
  <c r="BU871" i="2"/>
  <c r="BS871" i="2"/>
  <c r="BR871" i="2"/>
  <c r="BP871" i="2"/>
  <c r="BO871" i="2"/>
  <c r="BM871" i="2"/>
  <c r="BL871" i="2"/>
  <c r="BJ871" i="2"/>
  <c r="BI871" i="2"/>
  <c r="BD871" i="2"/>
  <c r="BC871" i="2"/>
  <c r="BA871" i="2"/>
  <c r="AZ871" i="2"/>
  <c r="AX871" i="2"/>
  <c r="AW871" i="2"/>
  <c r="AU871" i="2"/>
  <c r="AT871" i="2"/>
  <c r="M871" i="2"/>
  <c r="U871" i="2" s="1"/>
  <c r="L871" i="2"/>
  <c r="J1383" i="2" s="1"/>
  <c r="R1383" i="2" s="1"/>
  <c r="B871" i="2"/>
  <c r="BV870" i="2"/>
  <c r="BU870" i="2"/>
  <c r="BS870" i="2"/>
  <c r="BR870" i="2"/>
  <c r="BP870" i="2"/>
  <c r="BO870" i="2"/>
  <c r="BM870" i="2"/>
  <c r="BL870" i="2"/>
  <c r="BJ870" i="2"/>
  <c r="BI870" i="2"/>
  <c r="BD870" i="2"/>
  <c r="BC870" i="2"/>
  <c r="BA870" i="2"/>
  <c r="AZ870" i="2"/>
  <c r="AX870" i="2"/>
  <c r="AW870" i="2"/>
  <c r="AU870" i="2"/>
  <c r="AT870" i="2"/>
  <c r="M870" i="2"/>
  <c r="U870" i="2" s="1"/>
  <c r="L870" i="2"/>
  <c r="J1382" i="2" s="1"/>
  <c r="R1382" i="2" s="1"/>
  <c r="B870" i="2"/>
  <c r="BV869" i="2"/>
  <c r="BU869" i="2"/>
  <c r="BS869" i="2"/>
  <c r="BR869" i="2"/>
  <c r="BP869" i="2"/>
  <c r="BO869" i="2"/>
  <c r="BM869" i="2"/>
  <c r="BL869" i="2"/>
  <c r="BJ869" i="2"/>
  <c r="BI869" i="2"/>
  <c r="BD869" i="2"/>
  <c r="BC869" i="2"/>
  <c r="BA869" i="2"/>
  <c r="AZ869" i="2"/>
  <c r="AX869" i="2"/>
  <c r="AW869" i="2"/>
  <c r="AU869" i="2"/>
  <c r="AT869" i="2"/>
  <c r="R869" i="2"/>
  <c r="BF869" i="2" s="1"/>
  <c r="M869" i="2"/>
  <c r="U869" i="2" s="1"/>
  <c r="L869" i="2"/>
  <c r="J1381" i="2" s="1"/>
  <c r="R1381" i="2" s="1"/>
  <c r="B869" i="2"/>
  <c r="BV868" i="2"/>
  <c r="BU868" i="2"/>
  <c r="BS868" i="2"/>
  <c r="BR868" i="2"/>
  <c r="BP868" i="2"/>
  <c r="BO868" i="2"/>
  <c r="BM868" i="2"/>
  <c r="BL868" i="2"/>
  <c r="BJ868" i="2"/>
  <c r="BI868" i="2"/>
  <c r="BD868" i="2"/>
  <c r="BC868" i="2"/>
  <c r="BA868" i="2"/>
  <c r="AZ868" i="2"/>
  <c r="AX868" i="2"/>
  <c r="AW868" i="2"/>
  <c r="AU868" i="2"/>
  <c r="AT868" i="2"/>
  <c r="T868" i="2"/>
  <c r="R868" i="2"/>
  <c r="BF868" i="2" s="1"/>
  <c r="M868" i="2"/>
  <c r="U868" i="2" s="1"/>
  <c r="L868" i="2"/>
  <c r="B868" i="2"/>
  <c r="BV867" i="2"/>
  <c r="BU867" i="2"/>
  <c r="BS867" i="2"/>
  <c r="BR867" i="2"/>
  <c r="BP867" i="2"/>
  <c r="BO867" i="2"/>
  <c r="BM867" i="2"/>
  <c r="BL867" i="2"/>
  <c r="BJ867" i="2"/>
  <c r="BI867" i="2"/>
  <c r="BD867" i="2"/>
  <c r="BC867" i="2"/>
  <c r="BA867" i="2"/>
  <c r="AZ867" i="2"/>
  <c r="AX867" i="2"/>
  <c r="AW867" i="2"/>
  <c r="AU867" i="2"/>
  <c r="AT867" i="2"/>
  <c r="M867" i="2"/>
  <c r="U867" i="2" s="1"/>
  <c r="L867" i="2"/>
  <c r="J1379" i="2" s="1"/>
  <c r="R1379" i="2" s="1"/>
  <c r="B867" i="2"/>
  <c r="BV866" i="2"/>
  <c r="BU866" i="2"/>
  <c r="BS866" i="2"/>
  <c r="BR866" i="2"/>
  <c r="BP866" i="2"/>
  <c r="BO866" i="2"/>
  <c r="BM866" i="2"/>
  <c r="BL866" i="2"/>
  <c r="BJ866" i="2"/>
  <c r="BI866" i="2"/>
  <c r="BD866" i="2"/>
  <c r="BC866" i="2"/>
  <c r="BA866" i="2"/>
  <c r="AZ866" i="2"/>
  <c r="AX866" i="2"/>
  <c r="AW866" i="2"/>
  <c r="AU866" i="2"/>
  <c r="AT866" i="2"/>
  <c r="M866" i="2"/>
  <c r="U866" i="2" s="1"/>
  <c r="L866" i="2"/>
  <c r="J1378" i="2" s="1"/>
  <c r="R1378" i="2" s="1"/>
  <c r="B866" i="2"/>
  <c r="BV865" i="2"/>
  <c r="BU865" i="2"/>
  <c r="BS865" i="2"/>
  <c r="BR865" i="2"/>
  <c r="BP865" i="2"/>
  <c r="BO865" i="2"/>
  <c r="BM865" i="2"/>
  <c r="BL865" i="2"/>
  <c r="BJ865" i="2"/>
  <c r="BI865" i="2"/>
  <c r="BD865" i="2"/>
  <c r="BC865" i="2"/>
  <c r="BA865" i="2"/>
  <c r="AZ865" i="2"/>
  <c r="AX865" i="2"/>
  <c r="AW865" i="2"/>
  <c r="AU865" i="2"/>
  <c r="AT865" i="2"/>
  <c r="R865" i="2"/>
  <c r="BF865" i="2" s="1"/>
  <c r="M865" i="2"/>
  <c r="U865" i="2" s="1"/>
  <c r="L865" i="2"/>
  <c r="J1377" i="2" s="1"/>
  <c r="R1377" i="2" s="1"/>
  <c r="B865" i="2"/>
  <c r="BV864" i="2"/>
  <c r="BU864" i="2"/>
  <c r="BS864" i="2"/>
  <c r="BR864" i="2"/>
  <c r="BP864" i="2"/>
  <c r="BO864" i="2"/>
  <c r="BM864" i="2"/>
  <c r="BL864" i="2"/>
  <c r="BJ864" i="2"/>
  <c r="BI864" i="2"/>
  <c r="BD864" i="2"/>
  <c r="BC864" i="2"/>
  <c r="BA864" i="2"/>
  <c r="AZ864" i="2"/>
  <c r="AX864" i="2"/>
  <c r="AW864" i="2"/>
  <c r="AU864" i="2"/>
  <c r="AT864" i="2"/>
  <c r="T864" i="2"/>
  <c r="R864" i="2"/>
  <c r="BF864" i="2" s="1"/>
  <c r="M864" i="2"/>
  <c r="U864" i="2" s="1"/>
  <c r="L864" i="2"/>
  <c r="J1376" i="2" s="1"/>
  <c r="R1376" i="2" s="1"/>
  <c r="B864" i="2"/>
  <c r="BV863" i="2"/>
  <c r="BU863" i="2"/>
  <c r="BS863" i="2"/>
  <c r="BR863" i="2"/>
  <c r="BP863" i="2"/>
  <c r="BO863" i="2"/>
  <c r="BM863" i="2"/>
  <c r="BL863" i="2"/>
  <c r="BJ863" i="2"/>
  <c r="BI863" i="2"/>
  <c r="BD863" i="2"/>
  <c r="BC863" i="2"/>
  <c r="BA863" i="2"/>
  <c r="AZ863" i="2"/>
  <c r="AX863" i="2"/>
  <c r="AW863" i="2"/>
  <c r="AU863" i="2"/>
  <c r="AT863" i="2"/>
  <c r="M863" i="2"/>
  <c r="U863" i="2" s="1"/>
  <c r="L863" i="2"/>
  <c r="J1375" i="2" s="1"/>
  <c r="R1375" i="2" s="1"/>
  <c r="B863" i="2"/>
  <c r="BV862" i="2"/>
  <c r="BU862" i="2"/>
  <c r="BS862" i="2"/>
  <c r="BR862" i="2"/>
  <c r="BP862" i="2"/>
  <c r="BO862" i="2"/>
  <c r="BM862" i="2"/>
  <c r="BL862" i="2"/>
  <c r="BJ862" i="2"/>
  <c r="BI862" i="2"/>
  <c r="BD862" i="2"/>
  <c r="BC862" i="2"/>
  <c r="BA862" i="2"/>
  <c r="AZ862" i="2"/>
  <c r="AX862" i="2"/>
  <c r="AW862" i="2"/>
  <c r="AU862" i="2"/>
  <c r="AT862" i="2"/>
  <c r="M862" i="2"/>
  <c r="U862" i="2" s="1"/>
  <c r="L862" i="2"/>
  <c r="J1374" i="2" s="1"/>
  <c r="R1374" i="2" s="1"/>
  <c r="B862" i="2"/>
  <c r="BV861" i="2"/>
  <c r="BU861" i="2"/>
  <c r="BS861" i="2"/>
  <c r="BR861" i="2"/>
  <c r="BP861" i="2"/>
  <c r="BO861" i="2"/>
  <c r="BM861" i="2"/>
  <c r="BL861" i="2"/>
  <c r="BJ861" i="2"/>
  <c r="BI861" i="2"/>
  <c r="BD861" i="2"/>
  <c r="BC861" i="2"/>
  <c r="BA861" i="2"/>
  <c r="AZ861" i="2"/>
  <c r="AX861" i="2"/>
  <c r="AW861" i="2"/>
  <c r="AU861" i="2"/>
  <c r="AT861" i="2"/>
  <c r="R861" i="2"/>
  <c r="BF861" i="2" s="1"/>
  <c r="M861" i="2"/>
  <c r="U861" i="2" s="1"/>
  <c r="L861" i="2"/>
  <c r="J1373" i="2" s="1"/>
  <c r="R1373" i="2" s="1"/>
  <c r="B861" i="2"/>
  <c r="BV860" i="2"/>
  <c r="BU860" i="2"/>
  <c r="BS860" i="2"/>
  <c r="BR860" i="2"/>
  <c r="BP860" i="2"/>
  <c r="BO860" i="2"/>
  <c r="BM860" i="2"/>
  <c r="BL860" i="2"/>
  <c r="BJ860" i="2"/>
  <c r="BI860" i="2"/>
  <c r="BD860" i="2"/>
  <c r="BC860" i="2"/>
  <c r="BA860" i="2"/>
  <c r="AZ860" i="2"/>
  <c r="AX860" i="2"/>
  <c r="AW860" i="2"/>
  <c r="AU860" i="2"/>
  <c r="AT860" i="2"/>
  <c r="T860" i="2"/>
  <c r="R860" i="2"/>
  <c r="BF860" i="2" s="1"/>
  <c r="M860" i="2"/>
  <c r="U860" i="2" s="1"/>
  <c r="L860" i="2"/>
  <c r="B860" i="2"/>
  <c r="BV859" i="2"/>
  <c r="BU859" i="2"/>
  <c r="BS859" i="2"/>
  <c r="BR859" i="2"/>
  <c r="BP859" i="2"/>
  <c r="BO859" i="2"/>
  <c r="BM859" i="2"/>
  <c r="BL859" i="2"/>
  <c r="BJ859" i="2"/>
  <c r="BI859" i="2"/>
  <c r="BD859" i="2"/>
  <c r="BC859" i="2"/>
  <c r="BA859" i="2"/>
  <c r="AZ859" i="2"/>
  <c r="AX859" i="2"/>
  <c r="AW859" i="2"/>
  <c r="AU859" i="2"/>
  <c r="AT859" i="2"/>
  <c r="M859" i="2"/>
  <c r="U859" i="2" s="1"/>
  <c r="L859" i="2"/>
  <c r="J1371" i="2" s="1"/>
  <c r="R1371" i="2" s="1"/>
  <c r="B859" i="2"/>
  <c r="BV858" i="2"/>
  <c r="BU858" i="2"/>
  <c r="BS858" i="2"/>
  <c r="BR858" i="2"/>
  <c r="BP858" i="2"/>
  <c r="BO858" i="2"/>
  <c r="BM858" i="2"/>
  <c r="BL858" i="2"/>
  <c r="BJ858" i="2"/>
  <c r="BI858" i="2"/>
  <c r="BD858" i="2"/>
  <c r="BC858" i="2"/>
  <c r="BA858" i="2"/>
  <c r="AZ858" i="2"/>
  <c r="AX858" i="2"/>
  <c r="AW858" i="2"/>
  <c r="AU858" i="2"/>
  <c r="AT858" i="2"/>
  <c r="M858" i="2"/>
  <c r="U858" i="2" s="1"/>
  <c r="L858" i="2"/>
  <c r="J1370" i="2" s="1"/>
  <c r="R1370" i="2" s="1"/>
  <c r="B858" i="2"/>
  <c r="BV857" i="2"/>
  <c r="BU857" i="2"/>
  <c r="BS857" i="2"/>
  <c r="BR857" i="2"/>
  <c r="BP857" i="2"/>
  <c r="BO857" i="2"/>
  <c r="BM857" i="2"/>
  <c r="BL857" i="2"/>
  <c r="BJ857" i="2"/>
  <c r="BI857" i="2"/>
  <c r="BD857" i="2"/>
  <c r="BC857" i="2"/>
  <c r="BA857" i="2"/>
  <c r="AZ857" i="2"/>
  <c r="AX857" i="2"/>
  <c r="AW857" i="2"/>
  <c r="AU857" i="2"/>
  <c r="AT857" i="2"/>
  <c r="R857" i="2"/>
  <c r="BF857" i="2" s="1"/>
  <c r="M857" i="2"/>
  <c r="U857" i="2" s="1"/>
  <c r="L857" i="2"/>
  <c r="J1369" i="2" s="1"/>
  <c r="R1369" i="2" s="1"/>
  <c r="B857" i="2"/>
  <c r="BV856" i="2"/>
  <c r="BU856" i="2"/>
  <c r="BS856" i="2"/>
  <c r="BR856" i="2"/>
  <c r="BP856" i="2"/>
  <c r="BO856" i="2"/>
  <c r="BM856" i="2"/>
  <c r="BL856" i="2"/>
  <c r="BJ856" i="2"/>
  <c r="BI856" i="2"/>
  <c r="BD856" i="2"/>
  <c r="BC856" i="2"/>
  <c r="BA856" i="2"/>
  <c r="AZ856" i="2"/>
  <c r="AX856" i="2"/>
  <c r="AW856" i="2"/>
  <c r="AU856" i="2"/>
  <c r="AT856" i="2"/>
  <c r="T856" i="2"/>
  <c r="R856" i="2"/>
  <c r="BF856" i="2" s="1"/>
  <c r="M856" i="2"/>
  <c r="U856" i="2" s="1"/>
  <c r="L856" i="2"/>
  <c r="J1368" i="2" s="1"/>
  <c r="R1368" i="2" s="1"/>
  <c r="B856" i="2"/>
  <c r="BV855" i="2"/>
  <c r="BU855" i="2"/>
  <c r="BS855" i="2"/>
  <c r="BR855" i="2"/>
  <c r="BP855" i="2"/>
  <c r="BO855" i="2"/>
  <c r="BM855" i="2"/>
  <c r="BL855" i="2"/>
  <c r="BJ855" i="2"/>
  <c r="BI855" i="2"/>
  <c r="BD855" i="2"/>
  <c r="BC855" i="2"/>
  <c r="BA855" i="2"/>
  <c r="AZ855" i="2"/>
  <c r="AX855" i="2"/>
  <c r="AW855" i="2"/>
  <c r="AU855" i="2"/>
  <c r="AT855" i="2"/>
  <c r="M855" i="2"/>
  <c r="U855" i="2" s="1"/>
  <c r="L855" i="2"/>
  <c r="J1367" i="2" s="1"/>
  <c r="R1367" i="2" s="1"/>
  <c r="B855" i="2"/>
  <c r="BV854" i="2"/>
  <c r="BU854" i="2"/>
  <c r="BS854" i="2"/>
  <c r="BR854" i="2"/>
  <c r="BP854" i="2"/>
  <c r="BO854" i="2"/>
  <c r="BM854" i="2"/>
  <c r="BL854" i="2"/>
  <c r="BJ854" i="2"/>
  <c r="BI854" i="2"/>
  <c r="BD854" i="2"/>
  <c r="BC854" i="2"/>
  <c r="BA854" i="2"/>
  <c r="AZ854" i="2"/>
  <c r="AX854" i="2"/>
  <c r="AW854" i="2"/>
  <c r="AU854" i="2"/>
  <c r="AT854" i="2"/>
  <c r="M854" i="2"/>
  <c r="U854" i="2" s="1"/>
  <c r="L854" i="2"/>
  <c r="J1366" i="2" s="1"/>
  <c r="R1366" i="2" s="1"/>
  <c r="B854" i="2"/>
  <c r="BV853" i="2"/>
  <c r="BU853" i="2"/>
  <c r="BS853" i="2"/>
  <c r="BR853" i="2"/>
  <c r="BP853" i="2"/>
  <c r="BO853" i="2"/>
  <c r="BM853" i="2"/>
  <c r="BL853" i="2"/>
  <c r="BJ853" i="2"/>
  <c r="BI853" i="2"/>
  <c r="BD853" i="2"/>
  <c r="BC853" i="2"/>
  <c r="BA853" i="2"/>
  <c r="AZ853" i="2"/>
  <c r="AX853" i="2"/>
  <c r="AW853" i="2"/>
  <c r="AU853" i="2"/>
  <c r="AT853" i="2"/>
  <c r="R853" i="2"/>
  <c r="BF853" i="2" s="1"/>
  <c r="M853" i="2"/>
  <c r="U853" i="2" s="1"/>
  <c r="L853" i="2"/>
  <c r="J1365" i="2" s="1"/>
  <c r="R1365" i="2" s="1"/>
  <c r="B853" i="2"/>
  <c r="BV852" i="2"/>
  <c r="BU852" i="2"/>
  <c r="BS852" i="2"/>
  <c r="BR852" i="2"/>
  <c r="BP852" i="2"/>
  <c r="BO852" i="2"/>
  <c r="BM852" i="2"/>
  <c r="BL852" i="2"/>
  <c r="BJ852" i="2"/>
  <c r="BI852" i="2"/>
  <c r="BD852" i="2"/>
  <c r="BC852" i="2"/>
  <c r="BA852" i="2"/>
  <c r="AZ852" i="2"/>
  <c r="AX852" i="2"/>
  <c r="AW852" i="2"/>
  <c r="AU852" i="2"/>
  <c r="AT852" i="2"/>
  <c r="T852" i="2"/>
  <c r="R852" i="2"/>
  <c r="BF852" i="2" s="1"/>
  <c r="M852" i="2"/>
  <c r="U852" i="2" s="1"/>
  <c r="L852" i="2"/>
  <c r="J1364" i="2" s="1"/>
  <c r="R1364" i="2" s="1"/>
  <c r="B852" i="2"/>
  <c r="BV851" i="2"/>
  <c r="BU851" i="2"/>
  <c r="BS851" i="2"/>
  <c r="BR851" i="2"/>
  <c r="BP851" i="2"/>
  <c r="BO851" i="2"/>
  <c r="BM851" i="2"/>
  <c r="BL851" i="2"/>
  <c r="BJ851" i="2"/>
  <c r="BI851" i="2"/>
  <c r="BD851" i="2"/>
  <c r="BC851" i="2"/>
  <c r="BA851" i="2"/>
  <c r="AZ851" i="2"/>
  <c r="AX851" i="2"/>
  <c r="AW851" i="2"/>
  <c r="AU851" i="2"/>
  <c r="AT851" i="2"/>
  <c r="M851" i="2"/>
  <c r="U851" i="2" s="1"/>
  <c r="L851" i="2"/>
  <c r="J1363" i="2" s="1"/>
  <c r="R1363" i="2" s="1"/>
  <c r="B851" i="2"/>
  <c r="BV850" i="2"/>
  <c r="BU850" i="2"/>
  <c r="BS850" i="2"/>
  <c r="BR850" i="2"/>
  <c r="BP850" i="2"/>
  <c r="BO850" i="2"/>
  <c r="BM850" i="2"/>
  <c r="BL850" i="2"/>
  <c r="BJ850" i="2"/>
  <c r="BI850" i="2"/>
  <c r="BD850" i="2"/>
  <c r="BC850" i="2"/>
  <c r="BA850" i="2"/>
  <c r="AZ850" i="2"/>
  <c r="AX850" i="2"/>
  <c r="AW850" i="2"/>
  <c r="AU850" i="2"/>
  <c r="AT850" i="2"/>
  <c r="M850" i="2"/>
  <c r="U850" i="2" s="1"/>
  <c r="L850" i="2"/>
  <c r="J1362" i="2" s="1"/>
  <c r="R1362" i="2" s="1"/>
  <c r="B850" i="2"/>
  <c r="BV849" i="2"/>
  <c r="BU849" i="2"/>
  <c r="BS849" i="2"/>
  <c r="BR849" i="2"/>
  <c r="BP849" i="2"/>
  <c r="BO849" i="2"/>
  <c r="BM849" i="2"/>
  <c r="BL849" i="2"/>
  <c r="BJ849" i="2"/>
  <c r="BI849" i="2"/>
  <c r="BD849" i="2"/>
  <c r="BC849" i="2"/>
  <c r="BA849" i="2"/>
  <c r="AZ849" i="2"/>
  <c r="AX849" i="2"/>
  <c r="AW849" i="2"/>
  <c r="AU849" i="2"/>
  <c r="AT849" i="2"/>
  <c r="R849" i="2"/>
  <c r="BF849" i="2" s="1"/>
  <c r="M849" i="2"/>
  <c r="U849" i="2" s="1"/>
  <c r="L849" i="2"/>
  <c r="J1361" i="2" s="1"/>
  <c r="R1361" i="2" s="1"/>
  <c r="B849" i="2"/>
  <c r="BV848" i="2"/>
  <c r="BU848" i="2"/>
  <c r="BS848" i="2"/>
  <c r="BR848" i="2"/>
  <c r="BP848" i="2"/>
  <c r="BO848" i="2"/>
  <c r="BM848" i="2"/>
  <c r="BL848" i="2"/>
  <c r="BJ848" i="2"/>
  <c r="BI848" i="2"/>
  <c r="BD848" i="2"/>
  <c r="BC848" i="2"/>
  <c r="BA848" i="2"/>
  <c r="AZ848" i="2"/>
  <c r="AX848" i="2"/>
  <c r="AW848" i="2"/>
  <c r="AU848" i="2"/>
  <c r="AT848" i="2"/>
  <c r="T848" i="2"/>
  <c r="R848" i="2"/>
  <c r="BF848" i="2" s="1"/>
  <c r="M848" i="2"/>
  <c r="U848" i="2" s="1"/>
  <c r="L848" i="2"/>
  <c r="J1360" i="2" s="1"/>
  <c r="R1360" i="2" s="1"/>
  <c r="B848" i="2"/>
  <c r="BV847" i="2"/>
  <c r="BU847" i="2"/>
  <c r="BS847" i="2"/>
  <c r="BR847" i="2"/>
  <c r="BP847" i="2"/>
  <c r="BO847" i="2"/>
  <c r="BM847" i="2"/>
  <c r="BL847" i="2"/>
  <c r="BJ847" i="2"/>
  <c r="BI847" i="2"/>
  <c r="BD847" i="2"/>
  <c r="BC847" i="2"/>
  <c r="BA847" i="2"/>
  <c r="AZ847" i="2"/>
  <c r="AX847" i="2"/>
  <c r="AW847" i="2"/>
  <c r="AU847" i="2"/>
  <c r="AT847" i="2"/>
  <c r="M847" i="2"/>
  <c r="U847" i="2" s="1"/>
  <c r="L847" i="2"/>
  <c r="J1359" i="2" s="1"/>
  <c r="R1359" i="2" s="1"/>
  <c r="B847" i="2"/>
  <c r="BV846" i="2"/>
  <c r="BU846" i="2"/>
  <c r="BS846" i="2"/>
  <c r="BR846" i="2"/>
  <c r="BP846" i="2"/>
  <c r="BO846" i="2"/>
  <c r="BM846" i="2"/>
  <c r="BL846" i="2"/>
  <c r="BJ846" i="2"/>
  <c r="BI846" i="2"/>
  <c r="BD846" i="2"/>
  <c r="BC846" i="2"/>
  <c r="BA846" i="2"/>
  <c r="AZ846" i="2"/>
  <c r="AX846" i="2"/>
  <c r="AW846" i="2"/>
  <c r="AU846" i="2"/>
  <c r="AT846" i="2"/>
  <c r="M846" i="2"/>
  <c r="U846" i="2" s="1"/>
  <c r="L846" i="2"/>
  <c r="J1358" i="2" s="1"/>
  <c r="R1358" i="2" s="1"/>
  <c r="B846" i="2"/>
  <c r="BV845" i="2"/>
  <c r="BU845" i="2"/>
  <c r="BS845" i="2"/>
  <c r="BR845" i="2"/>
  <c r="BP845" i="2"/>
  <c r="BO845" i="2"/>
  <c r="BM845" i="2"/>
  <c r="BL845" i="2"/>
  <c r="BJ845" i="2"/>
  <c r="BI845" i="2"/>
  <c r="BD845" i="2"/>
  <c r="BC845" i="2"/>
  <c r="BA845" i="2"/>
  <c r="AZ845" i="2"/>
  <c r="AX845" i="2"/>
  <c r="AW845" i="2"/>
  <c r="AU845" i="2"/>
  <c r="AT845" i="2"/>
  <c r="R845" i="2"/>
  <c r="BF845" i="2" s="1"/>
  <c r="M845" i="2"/>
  <c r="U845" i="2" s="1"/>
  <c r="L845" i="2"/>
  <c r="J1357" i="2" s="1"/>
  <c r="R1357" i="2" s="1"/>
  <c r="B845" i="2"/>
  <c r="BV844" i="2"/>
  <c r="BU844" i="2"/>
  <c r="BS844" i="2"/>
  <c r="BR844" i="2"/>
  <c r="BP844" i="2"/>
  <c r="BO844" i="2"/>
  <c r="BM844" i="2"/>
  <c r="BL844" i="2"/>
  <c r="BJ844" i="2"/>
  <c r="BI844" i="2"/>
  <c r="BD844" i="2"/>
  <c r="BC844" i="2"/>
  <c r="BA844" i="2"/>
  <c r="AZ844" i="2"/>
  <c r="AX844" i="2"/>
  <c r="AW844" i="2"/>
  <c r="AU844" i="2"/>
  <c r="AT844" i="2"/>
  <c r="R844" i="2"/>
  <c r="BF844" i="2" s="1"/>
  <c r="M844" i="2"/>
  <c r="U844" i="2" s="1"/>
  <c r="L844" i="2"/>
  <c r="B844" i="2"/>
  <c r="BV843" i="2"/>
  <c r="BU843" i="2"/>
  <c r="BS843" i="2"/>
  <c r="BR843" i="2"/>
  <c r="BP843" i="2"/>
  <c r="BO843" i="2"/>
  <c r="BM843" i="2"/>
  <c r="BL843" i="2"/>
  <c r="BJ843" i="2"/>
  <c r="BI843" i="2"/>
  <c r="BD843" i="2"/>
  <c r="BC843" i="2"/>
  <c r="BA843" i="2"/>
  <c r="AZ843" i="2"/>
  <c r="AX843" i="2"/>
  <c r="AW843" i="2"/>
  <c r="AU843" i="2"/>
  <c r="AT843" i="2"/>
  <c r="M843" i="2"/>
  <c r="U843" i="2" s="1"/>
  <c r="L843" i="2"/>
  <c r="J1355" i="2" s="1"/>
  <c r="R1355" i="2" s="1"/>
  <c r="B843" i="2"/>
  <c r="BV842" i="2"/>
  <c r="BU842" i="2"/>
  <c r="BS842" i="2"/>
  <c r="BR842" i="2"/>
  <c r="BP842" i="2"/>
  <c r="BO842" i="2"/>
  <c r="BM842" i="2"/>
  <c r="BL842" i="2"/>
  <c r="BJ842" i="2"/>
  <c r="BI842" i="2"/>
  <c r="BD842" i="2"/>
  <c r="BC842" i="2"/>
  <c r="BA842" i="2"/>
  <c r="AZ842" i="2"/>
  <c r="AX842" i="2"/>
  <c r="AW842" i="2"/>
  <c r="AU842" i="2"/>
  <c r="AT842" i="2"/>
  <c r="M842" i="2"/>
  <c r="U842" i="2" s="1"/>
  <c r="L842" i="2"/>
  <c r="J1354" i="2" s="1"/>
  <c r="R1354" i="2" s="1"/>
  <c r="B842" i="2"/>
  <c r="BV841" i="2"/>
  <c r="BU841" i="2"/>
  <c r="BS841" i="2"/>
  <c r="BR841" i="2"/>
  <c r="BP841" i="2"/>
  <c r="BO841" i="2"/>
  <c r="BM841" i="2"/>
  <c r="BL841" i="2"/>
  <c r="BJ841" i="2"/>
  <c r="BI841" i="2"/>
  <c r="BD841" i="2"/>
  <c r="BC841" i="2"/>
  <c r="BA841" i="2"/>
  <c r="AZ841" i="2"/>
  <c r="AX841" i="2"/>
  <c r="AW841" i="2"/>
  <c r="AU841" i="2"/>
  <c r="AT841" i="2"/>
  <c r="R841" i="2"/>
  <c r="BF841" i="2" s="1"/>
  <c r="M841" i="2"/>
  <c r="U841" i="2" s="1"/>
  <c r="L841" i="2"/>
  <c r="J1353" i="2" s="1"/>
  <c r="R1353" i="2" s="1"/>
  <c r="B841" i="2"/>
  <c r="BV840" i="2"/>
  <c r="BU840" i="2"/>
  <c r="BS840" i="2"/>
  <c r="BR840" i="2"/>
  <c r="BP840" i="2"/>
  <c r="BO840" i="2"/>
  <c r="BM840" i="2"/>
  <c r="BL840" i="2"/>
  <c r="BJ840" i="2"/>
  <c r="BI840" i="2"/>
  <c r="BD840" i="2"/>
  <c r="BC840" i="2"/>
  <c r="BA840" i="2"/>
  <c r="AZ840" i="2"/>
  <c r="AX840" i="2"/>
  <c r="AW840" i="2"/>
  <c r="AU840" i="2"/>
  <c r="AT840" i="2"/>
  <c r="R840" i="2"/>
  <c r="BF840" i="2" s="1"/>
  <c r="M840" i="2"/>
  <c r="U840" i="2" s="1"/>
  <c r="L840" i="2"/>
  <c r="J1352" i="2" s="1"/>
  <c r="R1352" i="2" s="1"/>
  <c r="B840" i="2"/>
  <c r="BV839" i="2"/>
  <c r="BU839" i="2"/>
  <c r="BS839" i="2"/>
  <c r="BR839" i="2"/>
  <c r="BP839" i="2"/>
  <c r="BO839" i="2"/>
  <c r="BM839" i="2"/>
  <c r="BL839" i="2"/>
  <c r="BJ839" i="2"/>
  <c r="BI839" i="2"/>
  <c r="BD839" i="2"/>
  <c r="BC839" i="2"/>
  <c r="BA839" i="2"/>
  <c r="AZ839" i="2"/>
  <c r="AX839" i="2"/>
  <c r="AW839" i="2"/>
  <c r="AU839" i="2"/>
  <c r="AT839" i="2"/>
  <c r="M839" i="2"/>
  <c r="U839" i="2" s="1"/>
  <c r="L839" i="2"/>
  <c r="J1351" i="2" s="1"/>
  <c r="R1351" i="2" s="1"/>
  <c r="B839" i="2"/>
  <c r="BV838" i="2"/>
  <c r="BU838" i="2"/>
  <c r="BS838" i="2"/>
  <c r="BR838" i="2"/>
  <c r="BP838" i="2"/>
  <c r="BO838" i="2"/>
  <c r="BM838" i="2"/>
  <c r="BL838" i="2"/>
  <c r="BJ838" i="2"/>
  <c r="BI838" i="2"/>
  <c r="BD838" i="2"/>
  <c r="BC838" i="2"/>
  <c r="BA838" i="2"/>
  <c r="AZ838" i="2"/>
  <c r="AX838" i="2"/>
  <c r="AW838" i="2"/>
  <c r="AU838" i="2"/>
  <c r="AT838" i="2"/>
  <c r="M838" i="2"/>
  <c r="U838" i="2" s="1"/>
  <c r="L838" i="2"/>
  <c r="J1350" i="2" s="1"/>
  <c r="R1350" i="2" s="1"/>
  <c r="B838" i="2"/>
  <c r="BV837" i="2"/>
  <c r="BU837" i="2"/>
  <c r="BS837" i="2"/>
  <c r="BR837" i="2"/>
  <c r="BP837" i="2"/>
  <c r="BO837" i="2"/>
  <c r="BM837" i="2"/>
  <c r="BL837" i="2"/>
  <c r="BJ837" i="2"/>
  <c r="BI837" i="2"/>
  <c r="BD837" i="2"/>
  <c r="BC837" i="2"/>
  <c r="BA837" i="2"/>
  <c r="AZ837" i="2"/>
  <c r="AX837" i="2"/>
  <c r="AW837" i="2"/>
  <c r="AU837" i="2"/>
  <c r="AT837" i="2"/>
  <c r="R837" i="2"/>
  <c r="BF837" i="2" s="1"/>
  <c r="M837" i="2"/>
  <c r="U837" i="2" s="1"/>
  <c r="L837" i="2"/>
  <c r="J1349" i="2" s="1"/>
  <c r="R1349" i="2" s="1"/>
  <c r="B837" i="2"/>
  <c r="BV836" i="2"/>
  <c r="BU836" i="2"/>
  <c r="BS836" i="2"/>
  <c r="BR836" i="2"/>
  <c r="BP836" i="2"/>
  <c r="BO836" i="2"/>
  <c r="BM836" i="2"/>
  <c r="BL836" i="2"/>
  <c r="BJ836" i="2"/>
  <c r="BI836" i="2"/>
  <c r="BD836" i="2"/>
  <c r="BC836" i="2"/>
  <c r="BA836" i="2"/>
  <c r="AZ836" i="2"/>
  <c r="AX836" i="2"/>
  <c r="AW836" i="2"/>
  <c r="AU836" i="2"/>
  <c r="AT836" i="2"/>
  <c r="T836" i="2"/>
  <c r="R836" i="2"/>
  <c r="BF836" i="2" s="1"/>
  <c r="M836" i="2"/>
  <c r="U836" i="2" s="1"/>
  <c r="L836" i="2"/>
  <c r="J1348" i="2" s="1"/>
  <c r="R1348" i="2" s="1"/>
  <c r="B836" i="2"/>
  <c r="BV835" i="2"/>
  <c r="BU835" i="2"/>
  <c r="BS835" i="2"/>
  <c r="BR835" i="2"/>
  <c r="BP835" i="2"/>
  <c r="BO835" i="2"/>
  <c r="BM835" i="2"/>
  <c r="BL835" i="2"/>
  <c r="BJ835" i="2"/>
  <c r="BI835" i="2"/>
  <c r="BD835" i="2"/>
  <c r="BC835" i="2"/>
  <c r="BA835" i="2"/>
  <c r="AZ835" i="2"/>
  <c r="AX835" i="2"/>
  <c r="AW835" i="2"/>
  <c r="AU835" i="2"/>
  <c r="AT835" i="2"/>
  <c r="M835" i="2"/>
  <c r="U835" i="2" s="1"/>
  <c r="L835" i="2"/>
  <c r="J1347" i="2" s="1"/>
  <c r="R1347" i="2" s="1"/>
  <c r="B835" i="2"/>
  <c r="BV834" i="2"/>
  <c r="BU834" i="2"/>
  <c r="BS834" i="2"/>
  <c r="BR834" i="2"/>
  <c r="BP834" i="2"/>
  <c r="BO834" i="2"/>
  <c r="BM834" i="2"/>
  <c r="BL834" i="2"/>
  <c r="BJ834" i="2"/>
  <c r="BI834" i="2"/>
  <c r="BD834" i="2"/>
  <c r="BC834" i="2"/>
  <c r="BA834" i="2"/>
  <c r="AZ834" i="2"/>
  <c r="AX834" i="2"/>
  <c r="AW834" i="2"/>
  <c r="AU834" i="2"/>
  <c r="AT834" i="2"/>
  <c r="M834" i="2"/>
  <c r="U834" i="2" s="1"/>
  <c r="L834" i="2"/>
  <c r="J1346" i="2" s="1"/>
  <c r="R1346" i="2" s="1"/>
  <c r="B834" i="2"/>
  <c r="BV833" i="2"/>
  <c r="BU833" i="2"/>
  <c r="BS833" i="2"/>
  <c r="BR833" i="2"/>
  <c r="BP833" i="2"/>
  <c r="BO833" i="2"/>
  <c r="BM833" i="2"/>
  <c r="BL833" i="2"/>
  <c r="BJ833" i="2"/>
  <c r="BI833" i="2"/>
  <c r="BD833" i="2"/>
  <c r="BC833" i="2"/>
  <c r="BA833" i="2"/>
  <c r="AZ833" i="2"/>
  <c r="AX833" i="2"/>
  <c r="AW833" i="2"/>
  <c r="AU833" i="2"/>
  <c r="AT833" i="2"/>
  <c r="R833" i="2"/>
  <c r="BF833" i="2" s="1"/>
  <c r="M833" i="2"/>
  <c r="U833" i="2" s="1"/>
  <c r="L833" i="2"/>
  <c r="J1345" i="2" s="1"/>
  <c r="R1345" i="2" s="1"/>
  <c r="B833" i="2"/>
  <c r="BV832" i="2"/>
  <c r="BU832" i="2"/>
  <c r="BS832" i="2"/>
  <c r="BR832" i="2"/>
  <c r="BP832" i="2"/>
  <c r="BO832" i="2"/>
  <c r="BM832" i="2"/>
  <c r="BL832" i="2"/>
  <c r="BJ832" i="2"/>
  <c r="BI832" i="2"/>
  <c r="BD832" i="2"/>
  <c r="BC832" i="2"/>
  <c r="BA832" i="2"/>
  <c r="AZ832" i="2"/>
  <c r="AX832" i="2"/>
  <c r="AW832" i="2"/>
  <c r="AU832" i="2"/>
  <c r="AT832" i="2"/>
  <c r="T832" i="2"/>
  <c r="R832" i="2"/>
  <c r="BF832" i="2" s="1"/>
  <c r="M832" i="2"/>
  <c r="U832" i="2" s="1"/>
  <c r="L832" i="2"/>
  <c r="J1344" i="2" s="1"/>
  <c r="R1344" i="2" s="1"/>
  <c r="B832" i="2"/>
  <c r="BV831" i="2"/>
  <c r="BU831" i="2"/>
  <c r="BS831" i="2"/>
  <c r="BR831" i="2"/>
  <c r="BP831" i="2"/>
  <c r="BO831" i="2"/>
  <c r="BM831" i="2"/>
  <c r="BL831" i="2"/>
  <c r="BJ831" i="2"/>
  <c r="BI831" i="2"/>
  <c r="BD831" i="2"/>
  <c r="BC831" i="2"/>
  <c r="BA831" i="2"/>
  <c r="AZ831" i="2"/>
  <c r="AX831" i="2"/>
  <c r="AW831" i="2"/>
  <c r="AU831" i="2"/>
  <c r="AT831" i="2"/>
  <c r="M831" i="2"/>
  <c r="U831" i="2" s="1"/>
  <c r="L831" i="2"/>
  <c r="J1343" i="2" s="1"/>
  <c r="R1343" i="2" s="1"/>
  <c r="B831" i="2"/>
  <c r="BV830" i="2"/>
  <c r="BU830" i="2"/>
  <c r="BS830" i="2"/>
  <c r="BR830" i="2"/>
  <c r="BP830" i="2"/>
  <c r="BO830" i="2"/>
  <c r="BM830" i="2"/>
  <c r="BL830" i="2"/>
  <c r="BJ830" i="2"/>
  <c r="BI830" i="2"/>
  <c r="BD830" i="2"/>
  <c r="BC830" i="2"/>
  <c r="BA830" i="2"/>
  <c r="AZ830" i="2"/>
  <c r="AX830" i="2"/>
  <c r="AW830" i="2"/>
  <c r="AU830" i="2"/>
  <c r="AT830" i="2"/>
  <c r="M830" i="2"/>
  <c r="U830" i="2" s="1"/>
  <c r="L830" i="2"/>
  <c r="J1342" i="2" s="1"/>
  <c r="R1342" i="2" s="1"/>
  <c r="B830" i="2"/>
  <c r="BV829" i="2"/>
  <c r="BU829" i="2"/>
  <c r="BS829" i="2"/>
  <c r="BR829" i="2"/>
  <c r="BP829" i="2"/>
  <c r="BO829" i="2"/>
  <c r="BM829" i="2"/>
  <c r="BL829" i="2"/>
  <c r="BJ829" i="2"/>
  <c r="BI829" i="2"/>
  <c r="BD829" i="2"/>
  <c r="BC829" i="2"/>
  <c r="BA829" i="2"/>
  <c r="AZ829" i="2"/>
  <c r="AX829" i="2"/>
  <c r="AW829" i="2"/>
  <c r="AU829" i="2"/>
  <c r="AT829" i="2"/>
  <c r="R829" i="2"/>
  <c r="BF829" i="2" s="1"/>
  <c r="M829" i="2"/>
  <c r="U829" i="2" s="1"/>
  <c r="L829" i="2"/>
  <c r="J1341" i="2" s="1"/>
  <c r="R1341" i="2" s="1"/>
  <c r="B829" i="2"/>
  <c r="BV828" i="2"/>
  <c r="BU828" i="2"/>
  <c r="BS828" i="2"/>
  <c r="BR828" i="2"/>
  <c r="BP828" i="2"/>
  <c r="BO828" i="2"/>
  <c r="BM828" i="2"/>
  <c r="BL828" i="2"/>
  <c r="BJ828" i="2"/>
  <c r="BI828" i="2"/>
  <c r="BD828" i="2"/>
  <c r="BC828" i="2"/>
  <c r="BA828" i="2"/>
  <c r="AZ828" i="2"/>
  <c r="AX828" i="2"/>
  <c r="AW828" i="2"/>
  <c r="AU828" i="2"/>
  <c r="AT828" i="2"/>
  <c r="T828" i="2"/>
  <c r="R828" i="2"/>
  <c r="BF828" i="2" s="1"/>
  <c r="M828" i="2"/>
  <c r="U828" i="2" s="1"/>
  <c r="L828" i="2"/>
  <c r="J1340" i="2" s="1"/>
  <c r="R1340" i="2" s="1"/>
  <c r="B828" i="2"/>
  <c r="BV827" i="2"/>
  <c r="BU827" i="2"/>
  <c r="BS827" i="2"/>
  <c r="BR827" i="2"/>
  <c r="BP827" i="2"/>
  <c r="BO827" i="2"/>
  <c r="BM827" i="2"/>
  <c r="BL827" i="2"/>
  <c r="BJ827" i="2"/>
  <c r="BI827" i="2"/>
  <c r="BD827" i="2"/>
  <c r="BC827" i="2"/>
  <c r="BA827" i="2"/>
  <c r="AZ827" i="2"/>
  <c r="AX827" i="2"/>
  <c r="AW827" i="2"/>
  <c r="AU827" i="2"/>
  <c r="AT827" i="2"/>
  <c r="M827" i="2"/>
  <c r="U827" i="2" s="1"/>
  <c r="L827" i="2"/>
  <c r="J1339" i="2" s="1"/>
  <c r="R1339" i="2" s="1"/>
  <c r="B827" i="2"/>
  <c r="BV826" i="2"/>
  <c r="BU826" i="2"/>
  <c r="BS826" i="2"/>
  <c r="BR826" i="2"/>
  <c r="BP826" i="2"/>
  <c r="BO826" i="2"/>
  <c r="BM826" i="2"/>
  <c r="BL826" i="2"/>
  <c r="BJ826" i="2"/>
  <c r="BI826" i="2"/>
  <c r="BD826" i="2"/>
  <c r="BC826" i="2"/>
  <c r="BA826" i="2"/>
  <c r="AZ826" i="2"/>
  <c r="AX826" i="2"/>
  <c r="AW826" i="2"/>
  <c r="AU826" i="2"/>
  <c r="AT826" i="2"/>
  <c r="M826" i="2"/>
  <c r="U826" i="2" s="1"/>
  <c r="L826" i="2"/>
  <c r="J1338" i="2" s="1"/>
  <c r="R1338" i="2" s="1"/>
  <c r="B826" i="2"/>
  <c r="BV825" i="2"/>
  <c r="BU825" i="2"/>
  <c r="BS825" i="2"/>
  <c r="BR825" i="2"/>
  <c r="BP825" i="2"/>
  <c r="BO825" i="2"/>
  <c r="BM825" i="2"/>
  <c r="BL825" i="2"/>
  <c r="BJ825" i="2"/>
  <c r="BI825" i="2"/>
  <c r="BD825" i="2"/>
  <c r="BC825" i="2"/>
  <c r="BA825" i="2"/>
  <c r="AZ825" i="2"/>
  <c r="AX825" i="2"/>
  <c r="AW825" i="2"/>
  <c r="AU825" i="2"/>
  <c r="AT825" i="2"/>
  <c r="R825" i="2"/>
  <c r="BF825" i="2" s="1"/>
  <c r="M825" i="2"/>
  <c r="U825" i="2" s="1"/>
  <c r="L825" i="2"/>
  <c r="J1337" i="2" s="1"/>
  <c r="R1337" i="2" s="1"/>
  <c r="B825" i="2"/>
  <c r="BV824" i="2"/>
  <c r="BU824" i="2"/>
  <c r="BS824" i="2"/>
  <c r="BR824" i="2"/>
  <c r="BP824" i="2"/>
  <c r="BO824" i="2"/>
  <c r="BM824" i="2"/>
  <c r="BL824" i="2"/>
  <c r="BJ824" i="2"/>
  <c r="BI824" i="2"/>
  <c r="BG824" i="2"/>
  <c r="BF824" i="2"/>
  <c r="BA824" i="2"/>
  <c r="AZ824" i="2"/>
  <c r="AX824" i="2"/>
  <c r="AW824" i="2"/>
  <c r="AU824" i="2"/>
  <c r="AT824" i="2"/>
  <c r="R824" i="2"/>
  <c r="BC824" i="2" s="1"/>
  <c r="M824" i="2"/>
  <c r="U824" i="2" s="1"/>
  <c r="L824" i="2"/>
  <c r="J1336" i="2" s="1"/>
  <c r="R1336" i="2" s="1"/>
  <c r="B824" i="2"/>
  <c r="BV823" i="2"/>
  <c r="BU823" i="2"/>
  <c r="BS823" i="2"/>
  <c r="BR823" i="2"/>
  <c r="BP823" i="2"/>
  <c r="BO823" i="2"/>
  <c r="BM823" i="2"/>
  <c r="BL823" i="2"/>
  <c r="BJ823" i="2"/>
  <c r="BI823" i="2"/>
  <c r="BG823" i="2"/>
  <c r="BF823" i="2"/>
  <c r="BA823" i="2"/>
  <c r="AZ823" i="2"/>
  <c r="AX823" i="2"/>
  <c r="AW823" i="2"/>
  <c r="AU823" i="2"/>
  <c r="AT823" i="2"/>
  <c r="M823" i="2"/>
  <c r="U823" i="2" s="1"/>
  <c r="L823" i="2"/>
  <c r="J1335" i="2" s="1"/>
  <c r="R1335" i="2" s="1"/>
  <c r="B823" i="2"/>
  <c r="BV822" i="2"/>
  <c r="BU822" i="2"/>
  <c r="BS822" i="2"/>
  <c r="BR822" i="2"/>
  <c r="BP822" i="2"/>
  <c r="BO822" i="2"/>
  <c r="BM822" i="2"/>
  <c r="BL822" i="2"/>
  <c r="BJ822" i="2"/>
  <c r="BI822" i="2"/>
  <c r="BG822" i="2"/>
  <c r="BF822" i="2"/>
  <c r="BA822" i="2"/>
  <c r="AZ822" i="2"/>
  <c r="AX822" i="2"/>
  <c r="AW822" i="2"/>
  <c r="AU822" i="2"/>
  <c r="AT822" i="2"/>
  <c r="M822" i="2"/>
  <c r="U822" i="2" s="1"/>
  <c r="L822" i="2"/>
  <c r="J1334" i="2" s="1"/>
  <c r="R1334" i="2" s="1"/>
  <c r="B822" i="2"/>
  <c r="BV821" i="2"/>
  <c r="BU821" i="2"/>
  <c r="BS821" i="2"/>
  <c r="BR821" i="2"/>
  <c r="BP821" i="2"/>
  <c r="BO821" i="2"/>
  <c r="BM821" i="2"/>
  <c r="BL821" i="2"/>
  <c r="BJ821" i="2"/>
  <c r="BI821" i="2"/>
  <c r="BG821" i="2"/>
  <c r="BF821" i="2"/>
  <c r="BA821" i="2"/>
  <c r="AZ821" i="2"/>
  <c r="AX821" i="2"/>
  <c r="AW821" i="2"/>
  <c r="AU821" i="2"/>
  <c r="AT821" i="2"/>
  <c r="R821" i="2"/>
  <c r="BC821" i="2" s="1"/>
  <c r="M821" i="2"/>
  <c r="U821" i="2" s="1"/>
  <c r="L821" i="2"/>
  <c r="J1333" i="2" s="1"/>
  <c r="R1333" i="2" s="1"/>
  <c r="B821" i="2"/>
  <c r="BV820" i="2"/>
  <c r="BU820" i="2"/>
  <c r="BS820" i="2"/>
  <c r="BR820" i="2"/>
  <c r="BP820" i="2"/>
  <c r="BO820" i="2"/>
  <c r="BM820" i="2"/>
  <c r="BL820" i="2"/>
  <c r="BJ820" i="2"/>
  <c r="BI820" i="2"/>
  <c r="BG820" i="2"/>
  <c r="BF820" i="2"/>
  <c r="BA820" i="2"/>
  <c r="AZ820" i="2"/>
  <c r="AX820" i="2"/>
  <c r="AW820" i="2"/>
  <c r="AU820" i="2"/>
  <c r="AT820" i="2"/>
  <c r="T820" i="2"/>
  <c r="R820" i="2"/>
  <c r="BC820" i="2" s="1"/>
  <c r="M820" i="2"/>
  <c r="U820" i="2" s="1"/>
  <c r="L820" i="2"/>
  <c r="J1332" i="2" s="1"/>
  <c r="R1332" i="2" s="1"/>
  <c r="B820" i="2"/>
  <c r="BV819" i="2"/>
  <c r="BU819" i="2"/>
  <c r="BS819" i="2"/>
  <c r="BR819" i="2"/>
  <c r="BP819" i="2"/>
  <c r="BO819" i="2"/>
  <c r="BM819" i="2"/>
  <c r="BL819" i="2"/>
  <c r="BJ819" i="2"/>
  <c r="BI819" i="2"/>
  <c r="BG819" i="2"/>
  <c r="BF819" i="2"/>
  <c r="BA819" i="2"/>
  <c r="AZ819" i="2"/>
  <c r="AX819" i="2"/>
  <c r="AW819" i="2"/>
  <c r="AU819" i="2"/>
  <c r="AT819" i="2"/>
  <c r="M819" i="2"/>
  <c r="U819" i="2" s="1"/>
  <c r="L819" i="2"/>
  <c r="J1331" i="2" s="1"/>
  <c r="R1331" i="2" s="1"/>
  <c r="B819" i="2"/>
  <c r="BV818" i="2"/>
  <c r="BU818" i="2"/>
  <c r="BS818" i="2"/>
  <c r="BR818" i="2"/>
  <c r="BP818" i="2"/>
  <c r="BO818" i="2"/>
  <c r="BM818" i="2"/>
  <c r="BL818" i="2"/>
  <c r="BJ818" i="2"/>
  <c r="BI818" i="2"/>
  <c r="BG818" i="2"/>
  <c r="BF818" i="2"/>
  <c r="BA818" i="2"/>
  <c r="AZ818" i="2"/>
  <c r="AX818" i="2"/>
  <c r="AW818" i="2"/>
  <c r="AU818" i="2"/>
  <c r="AT818" i="2"/>
  <c r="M818" i="2"/>
  <c r="U818" i="2" s="1"/>
  <c r="L818" i="2"/>
  <c r="J1330" i="2" s="1"/>
  <c r="R1330" i="2" s="1"/>
  <c r="B818" i="2"/>
  <c r="BV817" i="2"/>
  <c r="BU817" i="2"/>
  <c r="BS817" i="2"/>
  <c r="BR817" i="2"/>
  <c r="BP817" i="2"/>
  <c r="BO817" i="2"/>
  <c r="BM817" i="2"/>
  <c r="BL817" i="2"/>
  <c r="BJ817" i="2"/>
  <c r="BI817" i="2"/>
  <c r="BG817" i="2"/>
  <c r="BF817" i="2"/>
  <c r="BD817" i="2"/>
  <c r="BC817" i="2"/>
  <c r="BA817" i="2"/>
  <c r="AZ817" i="2"/>
  <c r="AU817" i="2"/>
  <c r="AT817" i="2"/>
  <c r="R817" i="2"/>
  <c r="AW817" i="2" s="1"/>
  <c r="M817" i="2"/>
  <c r="U817" i="2" s="1"/>
  <c r="L817" i="2"/>
  <c r="B817" i="2"/>
  <c r="BV816" i="2"/>
  <c r="BU816" i="2"/>
  <c r="BS816" i="2"/>
  <c r="BR816" i="2"/>
  <c r="BP816" i="2"/>
  <c r="BO816" i="2"/>
  <c r="BM816" i="2"/>
  <c r="BL816" i="2"/>
  <c r="BJ816" i="2"/>
  <c r="BI816" i="2"/>
  <c r="BD816" i="2"/>
  <c r="BC816" i="2"/>
  <c r="BA816" i="2"/>
  <c r="AZ816" i="2"/>
  <c r="AX816" i="2"/>
  <c r="AW816" i="2"/>
  <c r="AU816" i="2"/>
  <c r="AT816" i="2"/>
  <c r="M816" i="2"/>
  <c r="U816" i="2" s="1"/>
  <c r="L816" i="2"/>
  <c r="R816" i="2" s="1"/>
  <c r="B816" i="2"/>
  <c r="BV815" i="2"/>
  <c r="BU815" i="2"/>
  <c r="BS815" i="2"/>
  <c r="BR815" i="2"/>
  <c r="BP815" i="2"/>
  <c r="BO815" i="2"/>
  <c r="BM815" i="2"/>
  <c r="BL815" i="2"/>
  <c r="BJ815" i="2"/>
  <c r="BI815" i="2"/>
  <c r="BG815" i="2"/>
  <c r="BF815" i="2"/>
  <c r="BA815" i="2"/>
  <c r="AZ815" i="2"/>
  <c r="AX815" i="2"/>
  <c r="AW815" i="2"/>
  <c r="AU815" i="2"/>
  <c r="AT815" i="2"/>
  <c r="M815" i="2"/>
  <c r="U815" i="2" s="1"/>
  <c r="L815" i="2"/>
  <c r="R815" i="2" s="1"/>
  <c r="B815" i="2"/>
  <c r="BV814" i="2"/>
  <c r="BU814" i="2"/>
  <c r="BS814" i="2"/>
  <c r="BR814" i="2"/>
  <c r="BP814" i="2"/>
  <c r="BO814" i="2"/>
  <c r="BM814" i="2"/>
  <c r="BL814" i="2"/>
  <c r="BJ814" i="2"/>
  <c r="BI814" i="2"/>
  <c r="BG814" i="2"/>
  <c r="BF814" i="2"/>
  <c r="BD814" i="2"/>
  <c r="BC814" i="2"/>
  <c r="AX814" i="2"/>
  <c r="AW814" i="2"/>
  <c r="AU814" i="2"/>
  <c r="AT814" i="2"/>
  <c r="M814" i="2"/>
  <c r="U814" i="2" s="1"/>
  <c r="L814" i="2"/>
  <c r="R814" i="2" s="1"/>
  <c r="B814" i="2"/>
  <c r="BV813" i="2"/>
  <c r="BU813" i="2"/>
  <c r="BS813" i="2"/>
  <c r="BR813" i="2"/>
  <c r="BP813" i="2"/>
  <c r="BO813" i="2"/>
  <c r="BM813" i="2"/>
  <c r="BL813" i="2"/>
  <c r="BJ813" i="2"/>
  <c r="BI813" i="2"/>
  <c r="BG813" i="2"/>
  <c r="BF813" i="2"/>
  <c r="BD813" i="2"/>
  <c r="BC813" i="2"/>
  <c r="BA813" i="2"/>
  <c r="AZ813" i="2"/>
  <c r="AU813" i="2"/>
  <c r="AT813" i="2"/>
  <c r="R813" i="2"/>
  <c r="AW813" i="2" s="1"/>
  <c r="M813" i="2"/>
  <c r="U813" i="2" s="1"/>
  <c r="L813" i="2"/>
  <c r="B813" i="2"/>
  <c r="BV812" i="2"/>
  <c r="BU812" i="2"/>
  <c r="BS812" i="2"/>
  <c r="BR812" i="2"/>
  <c r="BP812" i="2"/>
  <c r="BO812" i="2"/>
  <c r="BM812" i="2"/>
  <c r="BL812" i="2"/>
  <c r="BJ812" i="2"/>
  <c r="BI812" i="2"/>
  <c r="BG812" i="2"/>
  <c r="BF812" i="2"/>
  <c r="BD812" i="2"/>
  <c r="BC812" i="2"/>
  <c r="BA812" i="2"/>
  <c r="AZ812" i="2"/>
  <c r="AW812" i="2"/>
  <c r="AU812" i="2"/>
  <c r="AT812" i="2"/>
  <c r="T812" i="2"/>
  <c r="R812" i="2"/>
  <c r="M812" i="2"/>
  <c r="U812" i="2" s="1"/>
  <c r="L812" i="2"/>
  <c r="B812" i="2"/>
  <c r="BV811" i="2"/>
  <c r="BU811" i="2"/>
  <c r="BS811" i="2"/>
  <c r="BR811" i="2"/>
  <c r="BP811" i="2"/>
  <c r="BO811" i="2"/>
  <c r="BM811" i="2"/>
  <c r="BL811" i="2"/>
  <c r="BJ811" i="2"/>
  <c r="BI811" i="2"/>
  <c r="BD811" i="2"/>
  <c r="BC811" i="2"/>
  <c r="BA811" i="2"/>
  <c r="AZ811" i="2"/>
  <c r="AX811" i="2"/>
  <c r="AW811" i="2"/>
  <c r="AU811" i="2"/>
  <c r="AT811" i="2"/>
  <c r="M811" i="2"/>
  <c r="U811" i="2" s="1"/>
  <c r="L811" i="2"/>
  <c r="R811" i="2" s="1"/>
  <c r="B811" i="2"/>
  <c r="BV810" i="2"/>
  <c r="BU810" i="2"/>
  <c r="BS810" i="2"/>
  <c r="BR810" i="2"/>
  <c r="BP810" i="2"/>
  <c r="BO810" i="2"/>
  <c r="BM810" i="2"/>
  <c r="BL810" i="2"/>
  <c r="BG810" i="2"/>
  <c r="BF810" i="2"/>
  <c r="BD810" i="2"/>
  <c r="BC810" i="2"/>
  <c r="BA810" i="2"/>
  <c r="AZ810" i="2"/>
  <c r="AX810" i="2"/>
  <c r="AW810" i="2"/>
  <c r="AU810" i="2"/>
  <c r="AT810" i="2"/>
  <c r="M810" i="2"/>
  <c r="U810" i="2" s="1"/>
  <c r="L810" i="2"/>
  <c r="R810" i="2" s="1"/>
  <c r="B810" i="2"/>
  <c r="BV809" i="2"/>
  <c r="BU809" i="2"/>
  <c r="BS809" i="2"/>
  <c r="BR809" i="2"/>
  <c r="BP809" i="2"/>
  <c r="BO809" i="2"/>
  <c r="BM809" i="2"/>
  <c r="BL809" i="2"/>
  <c r="BJ809" i="2"/>
  <c r="BI809" i="2"/>
  <c r="BG809" i="2"/>
  <c r="BF809" i="2"/>
  <c r="BD809" i="2"/>
  <c r="BC809" i="2"/>
  <c r="AZ809" i="2"/>
  <c r="AX809" i="2"/>
  <c r="AW809" i="2"/>
  <c r="AU809" i="2"/>
  <c r="AT809" i="2"/>
  <c r="R809" i="2"/>
  <c r="M809" i="2"/>
  <c r="U809" i="2" s="1"/>
  <c r="L809" i="2"/>
  <c r="B809" i="2"/>
  <c r="BV808" i="2"/>
  <c r="BU808" i="2"/>
  <c r="BS808" i="2"/>
  <c r="BR808" i="2"/>
  <c r="BP808" i="2"/>
  <c r="BO808" i="2"/>
  <c r="BM808" i="2"/>
  <c r="BL808" i="2"/>
  <c r="BJ808" i="2"/>
  <c r="BI808" i="2"/>
  <c r="BG808" i="2"/>
  <c r="BF808" i="2"/>
  <c r="BA808" i="2"/>
  <c r="AZ808" i="2"/>
  <c r="AX808" i="2"/>
  <c r="AW808" i="2"/>
  <c r="AU808" i="2"/>
  <c r="AT808" i="2"/>
  <c r="R808" i="2"/>
  <c r="BC808" i="2" s="1"/>
  <c r="M808" i="2"/>
  <c r="U808" i="2" s="1"/>
  <c r="L808" i="2"/>
  <c r="B808" i="2"/>
  <c r="BV807" i="2"/>
  <c r="BU807" i="2"/>
  <c r="BS807" i="2"/>
  <c r="BR807" i="2"/>
  <c r="BP807" i="2"/>
  <c r="BO807" i="2"/>
  <c r="BM807" i="2"/>
  <c r="BL807" i="2"/>
  <c r="BJ807" i="2"/>
  <c r="BI807" i="2"/>
  <c r="BG807" i="2"/>
  <c r="BF807" i="2"/>
  <c r="BD807" i="2"/>
  <c r="BC807" i="2"/>
  <c r="BA807" i="2"/>
  <c r="AZ807" i="2"/>
  <c r="AX807" i="2"/>
  <c r="AW807" i="2"/>
  <c r="M807" i="2"/>
  <c r="U807" i="2" s="1"/>
  <c r="L807" i="2"/>
  <c r="R807" i="2" s="1"/>
  <c r="B807" i="2"/>
  <c r="BV806" i="2"/>
  <c r="BU806" i="2"/>
  <c r="BS806" i="2"/>
  <c r="BR806" i="2"/>
  <c r="BP806" i="2"/>
  <c r="BO806" i="2"/>
  <c r="BM806" i="2"/>
  <c r="BL806" i="2"/>
  <c r="BJ806" i="2"/>
  <c r="BI806" i="2"/>
  <c r="BG806" i="2"/>
  <c r="BF806" i="2"/>
  <c r="BD806" i="2"/>
  <c r="BC806" i="2"/>
  <c r="BA806" i="2"/>
  <c r="AZ806" i="2"/>
  <c r="AU806" i="2"/>
  <c r="AT806" i="2"/>
  <c r="M806" i="2"/>
  <c r="U806" i="2" s="1"/>
  <c r="L806" i="2"/>
  <c r="R806" i="2" s="1"/>
  <c r="B806" i="2"/>
  <c r="BV805" i="2"/>
  <c r="BU805" i="2"/>
  <c r="BS805" i="2"/>
  <c r="BR805" i="2"/>
  <c r="BP805" i="2"/>
  <c r="BO805" i="2"/>
  <c r="BM805" i="2"/>
  <c r="BL805" i="2"/>
  <c r="BJ805" i="2"/>
  <c r="BI805" i="2"/>
  <c r="BD805" i="2"/>
  <c r="BC805" i="2"/>
  <c r="BA805" i="2"/>
  <c r="AZ805" i="2"/>
  <c r="AX805" i="2"/>
  <c r="AW805" i="2"/>
  <c r="AU805" i="2"/>
  <c r="AT805" i="2"/>
  <c r="R805" i="2"/>
  <c r="BF805" i="2" s="1"/>
  <c r="M805" i="2"/>
  <c r="U805" i="2" s="1"/>
  <c r="L805" i="2"/>
  <c r="B805" i="2"/>
  <c r="BV804" i="2"/>
  <c r="BU804" i="2"/>
  <c r="BS804" i="2"/>
  <c r="BR804" i="2"/>
  <c r="BP804" i="2"/>
  <c r="BO804" i="2"/>
  <c r="BM804" i="2"/>
  <c r="BL804" i="2"/>
  <c r="BJ804" i="2"/>
  <c r="BI804" i="2"/>
  <c r="BG804" i="2"/>
  <c r="BF804" i="2"/>
  <c r="BA804" i="2"/>
  <c r="AZ804" i="2"/>
  <c r="AX804" i="2"/>
  <c r="AW804" i="2"/>
  <c r="AU804" i="2"/>
  <c r="AT804" i="2"/>
  <c r="R804" i="2"/>
  <c r="BC804" i="2" s="1"/>
  <c r="M804" i="2"/>
  <c r="U804" i="2" s="1"/>
  <c r="L804" i="2"/>
  <c r="B804" i="2"/>
  <c r="BV803" i="2"/>
  <c r="BU803" i="2"/>
  <c r="BS803" i="2"/>
  <c r="BR803" i="2"/>
  <c r="BP803" i="2"/>
  <c r="BO803" i="2"/>
  <c r="BM803" i="2"/>
  <c r="BL803" i="2"/>
  <c r="BJ803" i="2"/>
  <c r="BI803" i="2"/>
  <c r="BG803" i="2"/>
  <c r="BF803" i="2"/>
  <c r="BD803" i="2"/>
  <c r="BC803" i="2"/>
  <c r="AX803" i="2"/>
  <c r="AW803" i="2"/>
  <c r="AU803" i="2"/>
  <c r="AT803" i="2"/>
  <c r="M803" i="2"/>
  <c r="U803" i="2" s="1"/>
  <c r="L803" i="2"/>
  <c r="R803" i="2" s="1"/>
  <c r="B803" i="2"/>
  <c r="BV802" i="2"/>
  <c r="BU802" i="2"/>
  <c r="BS802" i="2"/>
  <c r="BR802" i="2"/>
  <c r="BP802" i="2"/>
  <c r="BO802" i="2"/>
  <c r="BM802" i="2"/>
  <c r="BL802" i="2"/>
  <c r="BJ802" i="2"/>
  <c r="BI802" i="2"/>
  <c r="BG802" i="2"/>
  <c r="BF802" i="2"/>
  <c r="BD802" i="2"/>
  <c r="BC802" i="2"/>
  <c r="BA802" i="2"/>
  <c r="AZ802" i="2"/>
  <c r="AU802" i="2"/>
  <c r="AT802" i="2"/>
  <c r="M802" i="2"/>
  <c r="U802" i="2" s="1"/>
  <c r="L802" i="2"/>
  <c r="R802" i="2" s="1"/>
  <c r="B802" i="2"/>
  <c r="BV801" i="2"/>
  <c r="BU801" i="2"/>
  <c r="BS801" i="2"/>
  <c r="BR801" i="2"/>
  <c r="BP801" i="2"/>
  <c r="BO801" i="2"/>
  <c r="BM801" i="2"/>
  <c r="BL801" i="2"/>
  <c r="BJ801" i="2"/>
  <c r="BI801" i="2"/>
  <c r="BG801" i="2"/>
  <c r="BF801" i="2"/>
  <c r="BD801" i="2"/>
  <c r="BC801" i="2"/>
  <c r="BA801" i="2"/>
  <c r="AZ801" i="2"/>
  <c r="AU801" i="2"/>
  <c r="AT801" i="2"/>
  <c r="R801" i="2"/>
  <c r="AW801" i="2" s="1"/>
  <c r="M801" i="2"/>
  <c r="U801" i="2" s="1"/>
  <c r="L801" i="2"/>
  <c r="B801" i="2"/>
  <c r="BV800" i="2"/>
  <c r="BU800" i="2"/>
  <c r="BS800" i="2"/>
  <c r="BR800" i="2"/>
  <c r="BP800" i="2"/>
  <c r="BO800" i="2"/>
  <c r="BM800" i="2"/>
  <c r="BL800" i="2"/>
  <c r="BJ800" i="2"/>
  <c r="BI800" i="2"/>
  <c r="BD800" i="2"/>
  <c r="BC800" i="2"/>
  <c r="BA800" i="2"/>
  <c r="AZ800" i="2"/>
  <c r="AX800" i="2"/>
  <c r="AW800" i="2"/>
  <c r="AU800" i="2"/>
  <c r="AT800" i="2"/>
  <c r="T800" i="2"/>
  <c r="R800" i="2"/>
  <c r="BF800" i="2" s="1"/>
  <c r="M800" i="2"/>
  <c r="U800" i="2" s="1"/>
  <c r="L800" i="2"/>
  <c r="B800" i="2"/>
  <c r="BV799" i="2"/>
  <c r="BU799" i="2"/>
  <c r="BS799" i="2"/>
  <c r="BR799" i="2"/>
  <c r="BP799" i="2"/>
  <c r="BO799" i="2"/>
  <c r="BM799" i="2"/>
  <c r="BL799" i="2"/>
  <c r="BG799" i="2"/>
  <c r="BF799" i="2"/>
  <c r="BD799" i="2"/>
  <c r="BC799" i="2"/>
  <c r="BA799" i="2"/>
  <c r="AZ799" i="2"/>
  <c r="AX799" i="2"/>
  <c r="AW799" i="2"/>
  <c r="AU799" i="2"/>
  <c r="AT799" i="2"/>
  <c r="M799" i="2"/>
  <c r="U799" i="2" s="1"/>
  <c r="L799" i="2"/>
  <c r="R799" i="2" s="1"/>
  <c r="B799" i="2"/>
  <c r="BV798" i="2"/>
  <c r="BU798" i="2"/>
  <c r="BS798" i="2"/>
  <c r="BR798" i="2"/>
  <c r="BP798" i="2"/>
  <c r="BO798" i="2"/>
  <c r="BM798" i="2"/>
  <c r="BL798" i="2"/>
  <c r="BJ798" i="2"/>
  <c r="BI798" i="2"/>
  <c r="BG798" i="2"/>
  <c r="BF798" i="2"/>
  <c r="BD798" i="2"/>
  <c r="BC798" i="2"/>
  <c r="AX798" i="2"/>
  <c r="AW798" i="2"/>
  <c r="AU798" i="2"/>
  <c r="AT798" i="2"/>
  <c r="M798" i="2"/>
  <c r="U798" i="2" s="1"/>
  <c r="L798" i="2"/>
  <c r="R798" i="2" s="1"/>
  <c r="B798" i="2"/>
  <c r="BV797" i="2"/>
  <c r="BU797" i="2"/>
  <c r="BS797" i="2"/>
  <c r="BR797" i="2"/>
  <c r="BP797" i="2"/>
  <c r="BO797" i="2"/>
  <c r="BM797" i="2"/>
  <c r="BL797" i="2"/>
  <c r="BJ797" i="2"/>
  <c r="BI797" i="2"/>
  <c r="BG797" i="2"/>
  <c r="BF797" i="2"/>
  <c r="BA797" i="2"/>
  <c r="AZ797" i="2"/>
  <c r="AX797" i="2"/>
  <c r="AW797" i="2"/>
  <c r="AU797" i="2"/>
  <c r="AT797" i="2"/>
  <c r="R797" i="2"/>
  <c r="BC797" i="2" s="1"/>
  <c r="M797" i="2"/>
  <c r="U797" i="2" s="1"/>
  <c r="L797" i="2"/>
  <c r="B797" i="2"/>
  <c r="BV796" i="2"/>
  <c r="BU796" i="2"/>
  <c r="BS796" i="2"/>
  <c r="BR796" i="2"/>
  <c r="BP796" i="2"/>
  <c r="BO796" i="2"/>
  <c r="BM796" i="2"/>
  <c r="BL796" i="2"/>
  <c r="BJ796" i="2"/>
  <c r="BI796" i="2"/>
  <c r="BG796" i="2"/>
  <c r="BF796" i="2"/>
  <c r="BD796" i="2"/>
  <c r="BC796" i="2"/>
  <c r="BA796" i="2"/>
  <c r="AZ796" i="2"/>
  <c r="AX796" i="2"/>
  <c r="AW796" i="2"/>
  <c r="AT796" i="2"/>
  <c r="T796" i="2"/>
  <c r="R796" i="2"/>
  <c r="M796" i="2"/>
  <c r="U796" i="2" s="1"/>
  <c r="L796" i="2"/>
  <c r="B796" i="2"/>
  <c r="BV795" i="2"/>
  <c r="BU795" i="2"/>
  <c r="BS795" i="2"/>
  <c r="BR795" i="2"/>
  <c r="BP795" i="2"/>
  <c r="BO795" i="2"/>
  <c r="BM795" i="2"/>
  <c r="BL795" i="2"/>
  <c r="BJ795" i="2"/>
  <c r="BI795" i="2"/>
  <c r="BG795" i="2"/>
  <c r="BF795" i="2"/>
  <c r="BD795" i="2"/>
  <c r="BC795" i="2"/>
  <c r="BA795" i="2"/>
  <c r="AZ795" i="2"/>
  <c r="AU795" i="2"/>
  <c r="AT795" i="2"/>
  <c r="M795" i="2"/>
  <c r="U795" i="2" s="1"/>
  <c r="L795" i="2"/>
  <c r="R795" i="2" s="1"/>
  <c r="B795" i="2"/>
  <c r="BV794" i="2"/>
  <c r="BU794" i="2"/>
  <c r="BS794" i="2"/>
  <c r="BR794" i="2"/>
  <c r="BP794" i="2"/>
  <c r="BO794" i="2"/>
  <c r="BM794" i="2"/>
  <c r="BL794" i="2"/>
  <c r="BJ794" i="2"/>
  <c r="BI794" i="2"/>
  <c r="BD794" i="2"/>
  <c r="BC794" i="2"/>
  <c r="BA794" i="2"/>
  <c r="AZ794" i="2"/>
  <c r="AX794" i="2"/>
  <c r="AW794" i="2"/>
  <c r="AU794" i="2"/>
  <c r="AT794" i="2"/>
  <c r="M794" i="2"/>
  <c r="U794" i="2" s="1"/>
  <c r="L794" i="2"/>
  <c r="R794" i="2" s="1"/>
  <c r="B794" i="2"/>
  <c r="BV793" i="2"/>
  <c r="BU793" i="2"/>
  <c r="BS793" i="2"/>
  <c r="BR793" i="2"/>
  <c r="BP793" i="2"/>
  <c r="BO793" i="2"/>
  <c r="BM793" i="2"/>
  <c r="BL793" i="2"/>
  <c r="BJ793" i="2"/>
  <c r="BI793" i="2"/>
  <c r="BG793" i="2"/>
  <c r="BF793" i="2"/>
  <c r="BA793" i="2"/>
  <c r="AZ793" i="2"/>
  <c r="AX793" i="2"/>
  <c r="AW793" i="2"/>
  <c r="AU793" i="2"/>
  <c r="AT793" i="2"/>
  <c r="R793" i="2"/>
  <c r="BC793" i="2" s="1"/>
  <c r="M793" i="2"/>
  <c r="U793" i="2" s="1"/>
  <c r="L793" i="2"/>
  <c r="B793" i="2"/>
  <c r="BV792" i="2"/>
  <c r="BU792" i="2"/>
  <c r="BS792" i="2"/>
  <c r="BR792" i="2"/>
  <c r="BP792" i="2"/>
  <c r="BO792" i="2"/>
  <c r="BM792" i="2"/>
  <c r="BL792" i="2"/>
  <c r="BJ792" i="2"/>
  <c r="BI792" i="2"/>
  <c r="BG792" i="2"/>
  <c r="BF792" i="2"/>
  <c r="BD792" i="2"/>
  <c r="BC792" i="2"/>
  <c r="AZ792" i="2"/>
  <c r="AX792" i="2"/>
  <c r="AW792" i="2"/>
  <c r="AU792" i="2"/>
  <c r="AT792" i="2"/>
  <c r="T792" i="2"/>
  <c r="R792" i="2"/>
  <c r="M792" i="2"/>
  <c r="U792" i="2" s="1"/>
  <c r="L792" i="2"/>
  <c r="B792" i="2"/>
  <c r="BV791" i="2"/>
  <c r="BU791" i="2"/>
  <c r="BS791" i="2"/>
  <c r="BR791" i="2"/>
  <c r="BP791" i="2"/>
  <c r="BO791" i="2"/>
  <c r="BM791" i="2"/>
  <c r="BL791" i="2"/>
  <c r="BJ791" i="2"/>
  <c r="BI791" i="2"/>
  <c r="BG791" i="2"/>
  <c r="BF791" i="2"/>
  <c r="BD791" i="2"/>
  <c r="BC791" i="2"/>
  <c r="BA791" i="2"/>
  <c r="AZ791" i="2"/>
  <c r="AU791" i="2"/>
  <c r="AT791" i="2"/>
  <c r="T791" i="2"/>
  <c r="M791" i="2"/>
  <c r="U791" i="2" s="1"/>
  <c r="L791" i="2"/>
  <c r="R791" i="2" s="1"/>
  <c r="B791" i="2"/>
  <c r="BV790" i="2"/>
  <c r="BU790" i="2"/>
  <c r="BS790" i="2"/>
  <c r="BR790" i="2"/>
  <c r="BP790" i="2"/>
  <c r="BO790" i="2"/>
  <c r="BM790" i="2"/>
  <c r="BL790" i="2"/>
  <c r="BJ790" i="2"/>
  <c r="BI790" i="2"/>
  <c r="BG790" i="2"/>
  <c r="BF790" i="2"/>
  <c r="BD790" i="2"/>
  <c r="BC790" i="2"/>
  <c r="BA790" i="2"/>
  <c r="AZ790" i="2"/>
  <c r="AU790" i="2"/>
  <c r="AT790" i="2"/>
  <c r="M790" i="2"/>
  <c r="U790" i="2" s="1"/>
  <c r="L790" i="2"/>
  <c r="R790" i="2" s="1"/>
  <c r="B790" i="2"/>
  <c r="BV789" i="2"/>
  <c r="BU789" i="2"/>
  <c r="BS789" i="2"/>
  <c r="BR789" i="2"/>
  <c r="BP789" i="2"/>
  <c r="BO789" i="2"/>
  <c r="BM789" i="2"/>
  <c r="BL789" i="2"/>
  <c r="BJ789" i="2"/>
  <c r="BI789" i="2"/>
  <c r="BD789" i="2"/>
  <c r="BC789" i="2"/>
  <c r="BA789" i="2"/>
  <c r="AZ789" i="2"/>
  <c r="AX789" i="2"/>
  <c r="AW789" i="2"/>
  <c r="AU789" i="2"/>
  <c r="AT789" i="2"/>
  <c r="R789" i="2"/>
  <c r="BF789" i="2" s="1"/>
  <c r="M789" i="2"/>
  <c r="U789" i="2" s="1"/>
  <c r="L789" i="2"/>
  <c r="B789" i="2"/>
  <c r="BV788" i="2"/>
  <c r="BU788" i="2"/>
  <c r="BS788" i="2"/>
  <c r="BR788" i="2"/>
  <c r="BP788" i="2"/>
  <c r="BO788" i="2"/>
  <c r="BM788" i="2"/>
  <c r="BL788" i="2"/>
  <c r="BI788" i="2"/>
  <c r="BG788" i="2"/>
  <c r="BF788" i="2"/>
  <c r="BD788" i="2"/>
  <c r="BC788" i="2"/>
  <c r="BA788" i="2"/>
  <c r="AZ788" i="2"/>
  <c r="AX788" i="2"/>
  <c r="AW788" i="2"/>
  <c r="AU788" i="2"/>
  <c r="AT788" i="2"/>
  <c r="T788" i="2"/>
  <c r="R788" i="2"/>
  <c r="M788" i="2"/>
  <c r="U788" i="2" s="1"/>
  <c r="L788" i="2"/>
  <c r="B788" i="2"/>
  <c r="BV787" i="2"/>
  <c r="BU787" i="2"/>
  <c r="BS787" i="2"/>
  <c r="BR787" i="2"/>
  <c r="BP787" i="2"/>
  <c r="BO787" i="2"/>
  <c r="BM787" i="2"/>
  <c r="BL787" i="2"/>
  <c r="BJ787" i="2"/>
  <c r="BI787" i="2"/>
  <c r="BG787" i="2"/>
  <c r="BF787" i="2"/>
  <c r="BD787" i="2"/>
  <c r="BC787" i="2"/>
  <c r="AX787" i="2"/>
  <c r="AW787" i="2"/>
  <c r="AU787" i="2"/>
  <c r="AT787" i="2"/>
  <c r="M787" i="2"/>
  <c r="U787" i="2" s="1"/>
  <c r="L787" i="2"/>
  <c r="R787" i="2" s="1"/>
  <c r="B787" i="2"/>
  <c r="BV786" i="2"/>
  <c r="BU786" i="2"/>
  <c r="BS786" i="2"/>
  <c r="BR786" i="2"/>
  <c r="BP786" i="2"/>
  <c r="BO786" i="2"/>
  <c r="BM786" i="2"/>
  <c r="BL786" i="2"/>
  <c r="BJ786" i="2"/>
  <c r="BI786" i="2"/>
  <c r="BG786" i="2"/>
  <c r="BF786" i="2"/>
  <c r="BA786" i="2"/>
  <c r="AZ786" i="2"/>
  <c r="AX786" i="2"/>
  <c r="AW786" i="2"/>
  <c r="AU786" i="2"/>
  <c r="AT786" i="2"/>
  <c r="M786" i="2"/>
  <c r="U786" i="2" s="1"/>
  <c r="L786" i="2"/>
  <c r="R786" i="2" s="1"/>
  <c r="B786" i="2"/>
  <c r="BV785" i="2"/>
  <c r="BU785" i="2"/>
  <c r="BS785" i="2"/>
  <c r="BR785" i="2"/>
  <c r="BP785" i="2"/>
  <c r="BO785" i="2"/>
  <c r="BM785" i="2"/>
  <c r="BL785" i="2"/>
  <c r="BJ785" i="2"/>
  <c r="BI785" i="2"/>
  <c r="BG785" i="2"/>
  <c r="BF785" i="2"/>
  <c r="BD785" i="2"/>
  <c r="BC785" i="2"/>
  <c r="BA785" i="2"/>
  <c r="AZ785" i="2"/>
  <c r="AX785" i="2"/>
  <c r="AW785" i="2"/>
  <c r="AT785" i="2"/>
  <c r="R785" i="2"/>
  <c r="T785" i="2" s="1"/>
  <c r="M785" i="2"/>
  <c r="U785" i="2" s="1"/>
  <c r="L785" i="2"/>
  <c r="B785" i="2"/>
  <c r="BV784" i="2"/>
  <c r="BU784" i="2"/>
  <c r="BS784" i="2"/>
  <c r="BR784" i="2"/>
  <c r="BP784" i="2"/>
  <c r="BO784" i="2"/>
  <c r="BM784" i="2"/>
  <c r="BL784" i="2"/>
  <c r="BJ784" i="2"/>
  <c r="BI784" i="2"/>
  <c r="BG784" i="2"/>
  <c r="BF784" i="2"/>
  <c r="BD784" i="2"/>
  <c r="BC784" i="2"/>
  <c r="BA784" i="2"/>
  <c r="AZ784" i="2"/>
  <c r="AW784" i="2"/>
  <c r="AU784" i="2"/>
  <c r="AT784" i="2"/>
  <c r="T784" i="2"/>
  <c r="R784" i="2"/>
  <c r="M784" i="2"/>
  <c r="U784" i="2" s="1"/>
  <c r="L784" i="2"/>
  <c r="B784" i="2"/>
  <c r="BV783" i="2"/>
  <c r="BU783" i="2"/>
  <c r="BS783" i="2"/>
  <c r="BR783" i="2"/>
  <c r="BP783" i="2"/>
  <c r="BO783" i="2"/>
  <c r="BM783" i="2"/>
  <c r="BL783" i="2"/>
  <c r="BJ783" i="2"/>
  <c r="BI783" i="2"/>
  <c r="BD783" i="2"/>
  <c r="BC783" i="2"/>
  <c r="BA783" i="2"/>
  <c r="AZ783" i="2"/>
  <c r="AX783" i="2"/>
  <c r="AW783" i="2"/>
  <c r="AU783" i="2"/>
  <c r="AT783" i="2"/>
  <c r="M783" i="2"/>
  <c r="U783" i="2" s="1"/>
  <c r="L783" i="2"/>
  <c r="R783" i="2" s="1"/>
  <c r="B783" i="2"/>
  <c r="BV782" i="2"/>
  <c r="BU782" i="2"/>
  <c r="BS782" i="2"/>
  <c r="BR782" i="2"/>
  <c r="BP782" i="2"/>
  <c r="BO782" i="2"/>
  <c r="BM782" i="2"/>
  <c r="BL782" i="2"/>
  <c r="BJ782" i="2"/>
  <c r="BI782" i="2"/>
  <c r="BG782" i="2"/>
  <c r="BF782" i="2"/>
  <c r="BA782" i="2"/>
  <c r="AZ782" i="2"/>
  <c r="AX782" i="2"/>
  <c r="AW782" i="2"/>
  <c r="AU782" i="2"/>
  <c r="AT782" i="2"/>
  <c r="M782" i="2"/>
  <c r="U782" i="2" s="1"/>
  <c r="L782" i="2"/>
  <c r="R782" i="2" s="1"/>
  <c r="B782" i="2"/>
  <c r="BV781" i="2"/>
  <c r="BU781" i="2"/>
  <c r="BS781" i="2"/>
  <c r="BR781" i="2"/>
  <c r="BP781" i="2"/>
  <c r="BO781" i="2"/>
  <c r="BM781" i="2"/>
  <c r="BL781" i="2"/>
  <c r="BJ781" i="2"/>
  <c r="BI781" i="2"/>
  <c r="BG781" i="2"/>
  <c r="BF781" i="2"/>
  <c r="BD781" i="2"/>
  <c r="BC781" i="2"/>
  <c r="AZ781" i="2"/>
  <c r="AX781" i="2"/>
  <c r="AW781" i="2"/>
  <c r="AU781" i="2"/>
  <c r="AT781" i="2"/>
  <c r="R781" i="2"/>
  <c r="T781" i="2" s="1"/>
  <c r="M781" i="2"/>
  <c r="U781" i="2" s="1"/>
  <c r="L781" i="2"/>
  <c r="B781" i="2"/>
  <c r="BV780" i="2"/>
  <c r="BU780" i="2"/>
  <c r="BS780" i="2"/>
  <c r="BR780" i="2"/>
  <c r="BP780" i="2"/>
  <c r="BO780" i="2"/>
  <c r="BM780" i="2"/>
  <c r="BL780" i="2"/>
  <c r="BJ780" i="2"/>
  <c r="BI780" i="2"/>
  <c r="BG780" i="2"/>
  <c r="BF780" i="2"/>
  <c r="BD780" i="2"/>
  <c r="BC780" i="2"/>
  <c r="BA780" i="2"/>
  <c r="AZ780" i="2"/>
  <c r="AW780" i="2"/>
  <c r="AU780" i="2"/>
  <c r="AT780" i="2"/>
  <c r="T780" i="2"/>
  <c r="R780" i="2"/>
  <c r="M780" i="2"/>
  <c r="U780" i="2" s="1"/>
  <c r="L780" i="2"/>
  <c r="B780" i="2"/>
  <c r="BV779" i="2"/>
  <c r="BU779" i="2"/>
  <c r="BS779" i="2"/>
  <c r="BR779" i="2"/>
  <c r="BP779" i="2"/>
  <c r="BO779" i="2"/>
  <c r="BM779" i="2"/>
  <c r="BL779" i="2"/>
  <c r="BJ779" i="2"/>
  <c r="BI779" i="2"/>
  <c r="BG779" i="2"/>
  <c r="BF779" i="2"/>
  <c r="BD779" i="2"/>
  <c r="BC779" i="2"/>
  <c r="BA779" i="2"/>
  <c r="AZ779" i="2"/>
  <c r="AU779" i="2"/>
  <c r="AT779" i="2"/>
  <c r="T779" i="2"/>
  <c r="M779" i="2"/>
  <c r="U779" i="2" s="1"/>
  <c r="L779" i="2"/>
  <c r="R779" i="2" s="1"/>
  <c r="B779" i="2"/>
  <c r="BV778" i="2"/>
  <c r="BU778" i="2"/>
  <c r="BS778" i="2"/>
  <c r="BR778" i="2"/>
  <c r="BP778" i="2"/>
  <c r="BO778" i="2"/>
  <c r="BM778" i="2"/>
  <c r="BL778" i="2"/>
  <c r="BJ778" i="2"/>
  <c r="BI778" i="2"/>
  <c r="BD778" i="2"/>
  <c r="BC778" i="2"/>
  <c r="BA778" i="2"/>
  <c r="AZ778" i="2"/>
  <c r="AX778" i="2"/>
  <c r="AW778" i="2"/>
  <c r="AU778" i="2"/>
  <c r="AT778" i="2"/>
  <c r="M778" i="2"/>
  <c r="U778" i="2" s="1"/>
  <c r="L778" i="2"/>
  <c r="R778" i="2" s="1"/>
  <c r="B778" i="2"/>
  <c r="BV777" i="2"/>
  <c r="BU777" i="2"/>
  <c r="BS777" i="2"/>
  <c r="BR777" i="2"/>
  <c r="BP777" i="2"/>
  <c r="BO777" i="2"/>
  <c r="BM777" i="2"/>
  <c r="BL777" i="2"/>
  <c r="BG777" i="2"/>
  <c r="BF777" i="2"/>
  <c r="BD777" i="2"/>
  <c r="BC777" i="2"/>
  <c r="BA777" i="2"/>
  <c r="AZ777" i="2"/>
  <c r="AX777" i="2"/>
  <c r="AW777" i="2"/>
  <c r="AU777" i="2"/>
  <c r="AT777" i="2"/>
  <c r="M777" i="2"/>
  <c r="U777" i="2" s="1"/>
  <c r="L777" i="2"/>
  <c r="R777" i="2" s="1"/>
  <c r="B777" i="2"/>
  <c r="BV776" i="2"/>
  <c r="BU776" i="2"/>
  <c r="BS776" i="2"/>
  <c r="BR776" i="2"/>
  <c r="BP776" i="2"/>
  <c r="BO776" i="2"/>
  <c r="BM776" i="2"/>
  <c r="BL776" i="2"/>
  <c r="BJ776" i="2"/>
  <c r="BI776" i="2"/>
  <c r="BG776" i="2"/>
  <c r="BF776" i="2"/>
  <c r="BD776" i="2"/>
  <c r="BC776" i="2"/>
  <c r="AZ776" i="2"/>
  <c r="AX776" i="2"/>
  <c r="AW776" i="2"/>
  <c r="AU776" i="2"/>
  <c r="AT776" i="2"/>
  <c r="T776" i="2"/>
  <c r="R776" i="2"/>
  <c r="M776" i="2"/>
  <c r="U776" i="2" s="1"/>
  <c r="L776" i="2"/>
  <c r="B776" i="2"/>
  <c r="BV775" i="2"/>
  <c r="BU775" i="2"/>
  <c r="BS775" i="2"/>
  <c r="BR775" i="2"/>
  <c r="BP775" i="2"/>
  <c r="BO775" i="2"/>
  <c r="BM775" i="2"/>
  <c r="BL775" i="2"/>
  <c r="BJ775" i="2"/>
  <c r="BI775" i="2"/>
  <c r="BG775" i="2"/>
  <c r="BF775" i="2"/>
  <c r="BA775" i="2"/>
  <c r="AZ775" i="2"/>
  <c r="AX775" i="2"/>
  <c r="AW775" i="2"/>
  <c r="AU775" i="2"/>
  <c r="AT775" i="2"/>
  <c r="M775" i="2"/>
  <c r="U775" i="2" s="1"/>
  <c r="L775" i="2"/>
  <c r="R775" i="2" s="1"/>
  <c r="B775" i="2"/>
  <c r="BV774" i="2"/>
  <c r="BU774" i="2"/>
  <c r="BS774" i="2"/>
  <c r="BR774" i="2"/>
  <c r="BP774" i="2"/>
  <c r="BO774" i="2"/>
  <c r="BM774" i="2"/>
  <c r="BL774" i="2"/>
  <c r="BJ774" i="2"/>
  <c r="BI774" i="2"/>
  <c r="BG774" i="2"/>
  <c r="BF774" i="2"/>
  <c r="BD774" i="2"/>
  <c r="BC774" i="2"/>
  <c r="BA774" i="2"/>
  <c r="AZ774" i="2"/>
  <c r="AX774" i="2"/>
  <c r="AW774" i="2"/>
  <c r="M774" i="2"/>
  <c r="U774" i="2" s="1"/>
  <c r="L774" i="2"/>
  <c r="R774" i="2" s="1"/>
  <c r="B774" i="2"/>
  <c r="BV773" i="2"/>
  <c r="BU773" i="2"/>
  <c r="BS773" i="2"/>
  <c r="BR773" i="2"/>
  <c r="BP773" i="2"/>
  <c r="BO773" i="2"/>
  <c r="BM773" i="2"/>
  <c r="BL773" i="2"/>
  <c r="BJ773" i="2"/>
  <c r="BI773" i="2"/>
  <c r="BG773" i="2"/>
  <c r="BF773" i="2"/>
  <c r="BD773" i="2"/>
  <c r="BC773" i="2"/>
  <c r="BA773" i="2"/>
  <c r="AZ773" i="2"/>
  <c r="AU773" i="2"/>
  <c r="AT773" i="2"/>
  <c r="M773" i="2"/>
  <c r="U773" i="2" s="1"/>
  <c r="L773" i="2"/>
  <c r="R773" i="2" s="1"/>
  <c r="B773" i="2"/>
  <c r="BV772" i="2"/>
  <c r="BU772" i="2"/>
  <c r="BS772" i="2"/>
  <c r="BR772" i="2"/>
  <c r="BP772" i="2"/>
  <c r="BO772" i="2"/>
  <c r="BM772" i="2"/>
  <c r="BL772" i="2"/>
  <c r="BJ772" i="2"/>
  <c r="BI772" i="2"/>
  <c r="BD772" i="2"/>
  <c r="BC772" i="2"/>
  <c r="BA772" i="2"/>
  <c r="AZ772" i="2"/>
  <c r="AX772" i="2"/>
  <c r="AW772" i="2"/>
  <c r="AU772" i="2"/>
  <c r="AT772" i="2"/>
  <c r="R772" i="2"/>
  <c r="BF772" i="2" s="1"/>
  <c r="M772" i="2"/>
  <c r="U772" i="2" s="1"/>
  <c r="L772" i="2"/>
  <c r="B772" i="2"/>
  <c r="BV771" i="2"/>
  <c r="BU771" i="2"/>
  <c r="BS771" i="2"/>
  <c r="BR771" i="2"/>
  <c r="BP771" i="2"/>
  <c r="BO771" i="2"/>
  <c r="BM771" i="2"/>
  <c r="BL771" i="2"/>
  <c r="BJ771" i="2"/>
  <c r="BI771" i="2"/>
  <c r="BG771" i="2"/>
  <c r="BF771" i="2"/>
  <c r="BA771" i="2"/>
  <c r="AZ771" i="2"/>
  <c r="AX771" i="2"/>
  <c r="AW771" i="2"/>
  <c r="AU771" i="2"/>
  <c r="AT771" i="2"/>
  <c r="M771" i="2"/>
  <c r="U771" i="2" s="1"/>
  <c r="L771" i="2"/>
  <c r="R771" i="2" s="1"/>
  <c r="B771" i="2"/>
  <c r="BV770" i="2"/>
  <c r="BU770" i="2"/>
  <c r="BS770" i="2"/>
  <c r="BR770" i="2"/>
  <c r="BP770" i="2"/>
  <c r="BO770" i="2"/>
  <c r="BM770" i="2"/>
  <c r="BL770" i="2"/>
  <c r="BJ770" i="2"/>
  <c r="BI770" i="2"/>
  <c r="BG770" i="2"/>
  <c r="BF770" i="2"/>
  <c r="BD770" i="2"/>
  <c r="BC770" i="2"/>
  <c r="AX770" i="2"/>
  <c r="AW770" i="2"/>
  <c r="AU770" i="2"/>
  <c r="AT770" i="2"/>
  <c r="M770" i="2"/>
  <c r="U770" i="2" s="1"/>
  <c r="L770" i="2"/>
  <c r="R770" i="2" s="1"/>
  <c r="B770" i="2"/>
  <c r="BV769" i="2"/>
  <c r="BU769" i="2"/>
  <c r="BS769" i="2"/>
  <c r="BR769" i="2"/>
  <c r="BP769" i="2"/>
  <c r="BO769" i="2"/>
  <c r="BM769" i="2"/>
  <c r="BL769" i="2"/>
  <c r="BJ769" i="2"/>
  <c r="BI769" i="2"/>
  <c r="BG769" i="2"/>
  <c r="BF769" i="2"/>
  <c r="BD769" i="2"/>
  <c r="BC769" i="2"/>
  <c r="BA769" i="2"/>
  <c r="AZ769" i="2"/>
  <c r="AU769" i="2"/>
  <c r="AT769" i="2"/>
  <c r="M769" i="2"/>
  <c r="U769" i="2" s="1"/>
  <c r="L769" i="2"/>
  <c r="R769" i="2" s="1"/>
  <c r="B769" i="2"/>
  <c r="BV768" i="2"/>
  <c r="BU768" i="2"/>
  <c r="BS768" i="2"/>
  <c r="BR768" i="2"/>
  <c r="BP768" i="2"/>
  <c r="BO768" i="2"/>
  <c r="BM768" i="2"/>
  <c r="BL768" i="2"/>
  <c r="BJ768" i="2"/>
  <c r="BI768" i="2"/>
  <c r="BG768" i="2"/>
  <c r="BF768" i="2"/>
  <c r="BD768" i="2"/>
  <c r="BC768" i="2"/>
  <c r="BA768" i="2"/>
  <c r="AZ768" i="2"/>
  <c r="AW768" i="2"/>
  <c r="AU768" i="2"/>
  <c r="AT768" i="2"/>
  <c r="R768" i="2"/>
  <c r="M768" i="2"/>
  <c r="U768" i="2" s="1"/>
  <c r="L768" i="2"/>
  <c r="B768" i="2"/>
  <c r="BV767" i="2"/>
  <c r="BU767" i="2"/>
  <c r="BS767" i="2"/>
  <c r="BR767" i="2"/>
  <c r="BP767" i="2"/>
  <c r="BO767" i="2"/>
  <c r="BM767" i="2"/>
  <c r="BL767" i="2"/>
  <c r="BJ767" i="2"/>
  <c r="BI767" i="2"/>
  <c r="BD767" i="2"/>
  <c r="BC767" i="2"/>
  <c r="BA767" i="2"/>
  <c r="AZ767" i="2"/>
  <c r="AX767" i="2"/>
  <c r="AW767" i="2"/>
  <c r="AU767" i="2"/>
  <c r="AT767" i="2"/>
  <c r="M767" i="2"/>
  <c r="U767" i="2" s="1"/>
  <c r="L767" i="2"/>
  <c r="R767" i="2" s="1"/>
  <c r="B767" i="2"/>
  <c r="BV766" i="2"/>
  <c r="BU766" i="2"/>
  <c r="BS766" i="2"/>
  <c r="BR766" i="2"/>
  <c r="BP766" i="2"/>
  <c r="BO766" i="2"/>
  <c r="BM766" i="2"/>
  <c r="BL766" i="2"/>
  <c r="BG766" i="2"/>
  <c r="BF766" i="2"/>
  <c r="BD766" i="2"/>
  <c r="BC766" i="2"/>
  <c r="BA766" i="2"/>
  <c r="AZ766" i="2"/>
  <c r="AX766" i="2"/>
  <c r="AW766" i="2"/>
  <c r="AU766" i="2"/>
  <c r="AT766" i="2"/>
  <c r="M766" i="2"/>
  <c r="U766" i="2" s="1"/>
  <c r="L766" i="2"/>
  <c r="R766" i="2" s="1"/>
  <c r="B766" i="2"/>
  <c r="BV765" i="2"/>
  <c r="BU765" i="2"/>
  <c r="BS765" i="2"/>
  <c r="BR765" i="2"/>
  <c r="BP765" i="2"/>
  <c r="BO765" i="2"/>
  <c r="BM765" i="2"/>
  <c r="BL765" i="2"/>
  <c r="BJ765" i="2"/>
  <c r="BI765" i="2"/>
  <c r="BG765" i="2"/>
  <c r="BF765" i="2"/>
  <c r="BD765" i="2"/>
  <c r="BC765" i="2"/>
  <c r="AX765" i="2"/>
  <c r="AW765" i="2"/>
  <c r="AU765" i="2"/>
  <c r="AT765" i="2"/>
  <c r="M765" i="2"/>
  <c r="U765" i="2" s="1"/>
  <c r="L765" i="2"/>
  <c r="R765" i="2" s="1"/>
  <c r="T765" i="2" s="1"/>
  <c r="B765" i="2"/>
  <c r="BV764" i="2"/>
  <c r="BU764" i="2"/>
  <c r="BS764" i="2"/>
  <c r="BR764" i="2"/>
  <c r="BP764" i="2"/>
  <c r="BO764" i="2"/>
  <c r="BM764" i="2"/>
  <c r="BL764" i="2"/>
  <c r="BJ764" i="2"/>
  <c r="BI764" i="2"/>
  <c r="BG764" i="2"/>
  <c r="BF764" i="2"/>
  <c r="BA764" i="2"/>
  <c r="AZ764" i="2"/>
  <c r="AX764" i="2"/>
  <c r="AW764" i="2"/>
  <c r="AU764" i="2"/>
  <c r="AT764" i="2"/>
  <c r="T764" i="2"/>
  <c r="R764" i="2"/>
  <c r="BC764" i="2" s="1"/>
  <c r="M764" i="2"/>
  <c r="U764" i="2" s="1"/>
  <c r="L764" i="2"/>
  <c r="B764" i="2"/>
  <c r="BV763" i="2"/>
  <c r="BU763" i="2"/>
  <c r="BS763" i="2"/>
  <c r="BR763" i="2"/>
  <c r="BP763" i="2"/>
  <c r="BO763" i="2"/>
  <c r="BM763" i="2"/>
  <c r="BL763" i="2"/>
  <c r="BJ763" i="2"/>
  <c r="BI763" i="2"/>
  <c r="BG763" i="2"/>
  <c r="BF763" i="2"/>
  <c r="BD763" i="2"/>
  <c r="BC763" i="2"/>
  <c r="BA763" i="2"/>
  <c r="AZ763" i="2"/>
  <c r="AX763" i="2"/>
  <c r="AW763" i="2"/>
  <c r="T763" i="2"/>
  <c r="M763" i="2"/>
  <c r="U763" i="2" s="1"/>
  <c r="L763" i="2"/>
  <c r="R763" i="2" s="1"/>
  <c r="B763" i="2"/>
  <c r="BV762" i="2"/>
  <c r="BU762" i="2"/>
  <c r="BS762" i="2"/>
  <c r="BR762" i="2"/>
  <c r="BP762" i="2"/>
  <c r="BO762" i="2"/>
  <c r="BM762" i="2"/>
  <c r="BL762" i="2"/>
  <c r="BJ762" i="2"/>
  <c r="BI762" i="2"/>
  <c r="BG762" i="2"/>
  <c r="BF762" i="2"/>
  <c r="BD762" i="2"/>
  <c r="BC762" i="2"/>
  <c r="BA762" i="2"/>
  <c r="AZ762" i="2"/>
  <c r="AU762" i="2"/>
  <c r="AT762" i="2"/>
  <c r="M762" i="2"/>
  <c r="U762" i="2" s="1"/>
  <c r="L762" i="2"/>
  <c r="R762" i="2" s="1"/>
  <c r="B762" i="2"/>
  <c r="BV761" i="2"/>
  <c r="BU761" i="2"/>
  <c r="BS761" i="2"/>
  <c r="BR761" i="2"/>
  <c r="BP761" i="2"/>
  <c r="BO761" i="2"/>
  <c r="BM761" i="2"/>
  <c r="BL761" i="2"/>
  <c r="BJ761" i="2"/>
  <c r="BI761" i="2"/>
  <c r="BD761" i="2"/>
  <c r="BC761" i="2"/>
  <c r="BA761" i="2"/>
  <c r="AZ761" i="2"/>
  <c r="AX761" i="2"/>
  <c r="AW761" i="2"/>
  <c r="AU761" i="2"/>
  <c r="AT761" i="2"/>
  <c r="M761" i="2"/>
  <c r="U761" i="2" s="1"/>
  <c r="L761" i="2"/>
  <c r="R761" i="2" s="1"/>
  <c r="B761" i="2"/>
  <c r="BV760" i="2"/>
  <c r="BU760" i="2"/>
  <c r="BS760" i="2"/>
  <c r="BR760" i="2"/>
  <c r="BP760" i="2"/>
  <c r="BO760" i="2"/>
  <c r="BM760" i="2"/>
  <c r="BL760" i="2"/>
  <c r="BJ760" i="2"/>
  <c r="BI760" i="2"/>
  <c r="BG760" i="2"/>
  <c r="BF760" i="2"/>
  <c r="BD760" i="2"/>
  <c r="BA760" i="2"/>
  <c r="AZ760" i="2"/>
  <c r="AX760" i="2"/>
  <c r="AW760" i="2"/>
  <c r="AU760" i="2"/>
  <c r="AT760" i="2"/>
  <c r="T760" i="2"/>
  <c r="S760" i="2"/>
  <c r="R760" i="2"/>
  <c r="BC760" i="2" s="1"/>
  <c r="M760" i="2"/>
  <c r="U760" i="2" s="1"/>
  <c r="B760" i="2"/>
  <c r="BV759" i="2"/>
  <c r="BU759" i="2"/>
  <c r="BS759" i="2"/>
  <c r="BR759" i="2"/>
  <c r="BP759" i="2"/>
  <c r="BO759" i="2"/>
  <c r="BM759" i="2"/>
  <c r="BL759" i="2"/>
  <c r="BJ759" i="2"/>
  <c r="BI759" i="2"/>
  <c r="BG759" i="2"/>
  <c r="BF759" i="2"/>
  <c r="BD759" i="2"/>
  <c r="BC759" i="2"/>
  <c r="BA759" i="2"/>
  <c r="AZ759" i="2"/>
  <c r="AX759" i="2"/>
  <c r="AW759" i="2"/>
  <c r="AU759" i="2"/>
  <c r="AT759" i="2"/>
  <c r="U759" i="2"/>
  <c r="T759" i="2"/>
  <c r="S759" i="2"/>
  <c r="R759" i="2"/>
  <c r="M759" i="2"/>
  <c r="B759" i="2"/>
  <c r="BV758" i="2"/>
  <c r="BU758" i="2"/>
  <c r="BS758" i="2"/>
  <c r="BR758" i="2"/>
  <c r="BP758" i="2"/>
  <c r="BO758" i="2"/>
  <c r="BM758" i="2"/>
  <c r="BL758" i="2"/>
  <c r="BJ758" i="2"/>
  <c r="BI758" i="2"/>
  <c r="BG758" i="2"/>
  <c r="BF758" i="2"/>
  <c r="BD758" i="2"/>
  <c r="BC758" i="2"/>
  <c r="BA758" i="2"/>
  <c r="AZ758" i="2"/>
  <c r="AU758" i="2"/>
  <c r="AT758" i="2"/>
  <c r="U758" i="2"/>
  <c r="M758" i="2"/>
  <c r="L758" i="2"/>
  <c r="R758" i="2" s="1"/>
  <c r="AW758" i="2" s="1"/>
  <c r="B758" i="2"/>
  <c r="BV757" i="2"/>
  <c r="BU757" i="2"/>
  <c r="BS757" i="2"/>
  <c r="BR757" i="2"/>
  <c r="BP757" i="2"/>
  <c r="BO757" i="2"/>
  <c r="BM757" i="2"/>
  <c r="BL757" i="2"/>
  <c r="BJ757" i="2"/>
  <c r="BI757" i="2"/>
  <c r="BG757" i="2"/>
  <c r="BF757" i="2"/>
  <c r="BD757" i="2"/>
  <c r="BC757" i="2"/>
  <c r="BA757" i="2"/>
  <c r="AZ757" i="2"/>
  <c r="AU757" i="2"/>
  <c r="AT757" i="2"/>
  <c r="M757" i="2"/>
  <c r="U757" i="2" s="1"/>
  <c r="L757" i="2"/>
  <c r="R757" i="2" s="1"/>
  <c r="B757" i="2"/>
  <c r="BV756" i="2"/>
  <c r="BU756" i="2"/>
  <c r="BS756" i="2"/>
  <c r="BR756" i="2"/>
  <c r="BP756" i="2"/>
  <c r="BO756" i="2"/>
  <c r="BM756" i="2"/>
  <c r="BL756" i="2"/>
  <c r="BJ756" i="2"/>
  <c r="BI756" i="2"/>
  <c r="BD756" i="2"/>
  <c r="BC756" i="2"/>
  <c r="BA756" i="2"/>
  <c r="AZ756" i="2"/>
  <c r="AX756" i="2"/>
  <c r="AW756" i="2"/>
  <c r="AU756" i="2"/>
  <c r="AT756" i="2"/>
  <c r="T756" i="2"/>
  <c r="R756" i="2"/>
  <c r="S756" i="2" s="1"/>
  <c r="BG756" i="2" s="1"/>
  <c r="M756" i="2"/>
  <c r="U756" i="2" s="1"/>
  <c r="B756" i="2"/>
  <c r="BV755" i="2"/>
  <c r="BU755" i="2"/>
  <c r="BS755" i="2"/>
  <c r="BR755" i="2"/>
  <c r="BP755" i="2"/>
  <c r="BO755" i="2"/>
  <c r="BM755" i="2"/>
  <c r="BL755" i="2"/>
  <c r="BI755" i="2"/>
  <c r="BG755" i="2"/>
  <c r="BF755" i="2"/>
  <c r="BD755" i="2"/>
  <c r="BC755" i="2"/>
  <c r="BA755" i="2"/>
  <c r="AZ755" i="2"/>
  <c r="AX755" i="2"/>
  <c r="AW755" i="2"/>
  <c r="AU755" i="2"/>
  <c r="AT755" i="2"/>
  <c r="T755" i="2"/>
  <c r="R755" i="2"/>
  <c r="M755" i="2"/>
  <c r="U755" i="2" s="1"/>
  <c r="L755" i="2"/>
  <c r="B755" i="2"/>
  <c r="BV754" i="2"/>
  <c r="BU754" i="2"/>
  <c r="BS754" i="2"/>
  <c r="BR754" i="2"/>
  <c r="BP754" i="2"/>
  <c r="BO754" i="2"/>
  <c r="BM754" i="2"/>
  <c r="BL754" i="2"/>
  <c r="BJ754" i="2"/>
  <c r="BI754" i="2"/>
  <c r="BG754" i="2"/>
  <c r="BF754" i="2"/>
  <c r="BD754" i="2"/>
  <c r="BC754" i="2"/>
  <c r="BA754" i="2"/>
  <c r="AZ754" i="2"/>
  <c r="AX754" i="2"/>
  <c r="AW754" i="2"/>
  <c r="AU754" i="2"/>
  <c r="AT754" i="2"/>
  <c r="T754" i="2"/>
  <c r="S754" i="2"/>
  <c r="R754" i="2"/>
  <c r="M754" i="2"/>
  <c r="U754" i="2" s="1"/>
  <c r="B754" i="2"/>
  <c r="BV753" i="2"/>
  <c r="BU753" i="2"/>
  <c r="BS753" i="2"/>
  <c r="BR753" i="2"/>
  <c r="BP753" i="2"/>
  <c r="BO753" i="2"/>
  <c r="BM753" i="2"/>
  <c r="BL753" i="2"/>
  <c r="BJ753" i="2"/>
  <c r="BI753" i="2"/>
  <c r="BG753" i="2"/>
  <c r="BF753" i="2"/>
  <c r="BA753" i="2"/>
  <c r="AZ753" i="2"/>
  <c r="AX753" i="2"/>
  <c r="AW753" i="2"/>
  <c r="AU753" i="2"/>
  <c r="AT753" i="2"/>
  <c r="R753" i="2"/>
  <c r="M753" i="2"/>
  <c r="U753" i="2" s="1"/>
  <c r="L753" i="2"/>
  <c r="B753" i="2"/>
  <c r="BV752" i="2"/>
  <c r="BU752" i="2"/>
  <c r="BS752" i="2"/>
  <c r="BR752" i="2"/>
  <c r="BP752" i="2"/>
  <c r="BO752" i="2"/>
  <c r="BM752" i="2"/>
  <c r="BL752" i="2"/>
  <c r="BJ752" i="2"/>
  <c r="BI752" i="2"/>
  <c r="BG752" i="2"/>
  <c r="BF752" i="2"/>
  <c r="BD752" i="2"/>
  <c r="BC752" i="2"/>
  <c r="BA752" i="2"/>
  <c r="AZ752" i="2"/>
  <c r="AX752" i="2"/>
  <c r="AW752" i="2"/>
  <c r="U752" i="2"/>
  <c r="R752" i="2"/>
  <c r="M752" i="2"/>
  <c r="L752" i="2"/>
  <c r="B752" i="2"/>
  <c r="BV751" i="2"/>
  <c r="BU751" i="2"/>
  <c r="BS751" i="2"/>
  <c r="BR751" i="2"/>
  <c r="BP751" i="2"/>
  <c r="BO751" i="2"/>
  <c r="BM751" i="2"/>
  <c r="BL751" i="2"/>
  <c r="BJ751" i="2"/>
  <c r="BI751" i="2"/>
  <c r="BG751" i="2"/>
  <c r="BF751" i="2"/>
  <c r="BD751" i="2"/>
  <c r="BC751" i="2"/>
  <c r="BA751" i="2"/>
  <c r="AZ751" i="2"/>
  <c r="AU751" i="2"/>
  <c r="AT751" i="2"/>
  <c r="U751" i="2"/>
  <c r="M751" i="2"/>
  <c r="L751" i="2"/>
  <c r="R751" i="2" s="1"/>
  <c r="B751" i="2"/>
  <c r="BV750" i="2"/>
  <c r="BU750" i="2"/>
  <c r="BS750" i="2"/>
  <c r="BR750" i="2"/>
  <c r="BP750" i="2"/>
  <c r="BO750" i="2"/>
  <c r="BM750" i="2"/>
  <c r="BL750" i="2"/>
  <c r="BJ750" i="2"/>
  <c r="BI750" i="2"/>
  <c r="BD750" i="2"/>
  <c r="BC750" i="2"/>
  <c r="BA750" i="2"/>
  <c r="AZ750" i="2"/>
  <c r="AX750" i="2"/>
  <c r="AW750" i="2"/>
  <c r="AU750" i="2"/>
  <c r="AT750" i="2"/>
  <c r="U750" i="2"/>
  <c r="M750" i="2"/>
  <c r="L750" i="2"/>
  <c r="R750" i="2" s="1"/>
  <c r="B750" i="2"/>
  <c r="BV749" i="2"/>
  <c r="BU749" i="2"/>
  <c r="BS749" i="2"/>
  <c r="BR749" i="2"/>
  <c r="BP749" i="2"/>
  <c r="BO749" i="2"/>
  <c r="BM749" i="2"/>
  <c r="BL749" i="2"/>
  <c r="BJ749" i="2"/>
  <c r="BI749" i="2"/>
  <c r="BG749" i="2"/>
  <c r="BF749" i="2"/>
  <c r="BA749" i="2"/>
  <c r="AZ749" i="2"/>
  <c r="AX749" i="2"/>
  <c r="AW749" i="2"/>
  <c r="AU749" i="2"/>
  <c r="AT749" i="2"/>
  <c r="R749" i="2"/>
  <c r="M749" i="2"/>
  <c r="U749" i="2" s="1"/>
  <c r="L749" i="2"/>
  <c r="B749" i="2"/>
  <c r="BV748" i="2"/>
  <c r="BU748" i="2"/>
  <c r="BS748" i="2"/>
  <c r="BR748" i="2"/>
  <c r="BP748" i="2"/>
  <c r="BO748" i="2"/>
  <c r="BM748" i="2"/>
  <c r="BL748" i="2"/>
  <c r="BJ748" i="2"/>
  <c r="BI748" i="2"/>
  <c r="BG748" i="2"/>
  <c r="BF748" i="2"/>
  <c r="BD748" i="2"/>
  <c r="BC748" i="2"/>
  <c r="AX748" i="2"/>
  <c r="AW748" i="2"/>
  <c r="AU748" i="2"/>
  <c r="AT748" i="2"/>
  <c r="R748" i="2"/>
  <c r="M748" i="2"/>
  <c r="U748" i="2" s="1"/>
  <c r="L748" i="2"/>
  <c r="B748" i="2"/>
  <c r="BV747" i="2"/>
  <c r="BU747" i="2"/>
  <c r="BS747" i="2"/>
  <c r="BR747" i="2"/>
  <c r="BP747" i="2"/>
  <c r="BO747" i="2"/>
  <c r="BM747" i="2"/>
  <c r="BL747" i="2"/>
  <c r="BJ747" i="2"/>
  <c r="BI747" i="2"/>
  <c r="BG747" i="2"/>
  <c r="BF747" i="2"/>
  <c r="BD747" i="2"/>
  <c r="BC747" i="2"/>
  <c r="BA747" i="2"/>
  <c r="AZ747" i="2"/>
  <c r="AU747" i="2"/>
  <c r="AT747" i="2"/>
  <c r="U747" i="2"/>
  <c r="M747" i="2"/>
  <c r="L747" i="2"/>
  <c r="R747" i="2" s="1"/>
  <c r="B747" i="2"/>
  <c r="BV746" i="2"/>
  <c r="BU746" i="2"/>
  <c r="BS746" i="2"/>
  <c r="BR746" i="2"/>
  <c r="BP746" i="2"/>
  <c r="BO746" i="2"/>
  <c r="BM746" i="2"/>
  <c r="BL746" i="2"/>
  <c r="BJ746" i="2"/>
  <c r="BI746" i="2"/>
  <c r="BG746" i="2"/>
  <c r="BF746" i="2"/>
  <c r="BD746" i="2"/>
  <c r="BC746" i="2"/>
  <c r="BA746" i="2"/>
  <c r="AZ746" i="2"/>
  <c r="AW746" i="2"/>
  <c r="AU746" i="2"/>
  <c r="AT746" i="2"/>
  <c r="U746" i="2"/>
  <c r="M746" i="2"/>
  <c r="L746" i="2"/>
  <c r="R746" i="2" s="1"/>
  <c r="T746" i="2" s="1"/>
  <c r="B746" i="2"/>
  <c r="BV745" i="2"/>
  <c r="BU745" i="2"/>
  <c r="BS745" i="2"/>
  <c r="BR745" i="2"/>
  <c r="BP745" i="2"/>
  <c r="BO745" i="2"/>
  <c r="BM745" i="2"/>
  <c r="BL745" i="2"/>
  <c r="BJ745" i="2"/>
  <c r="BI745" i="2"/>
  <c r="BD745" i="2"/>
  <c r="BC745" i="2"/>
  <c r="BA745" i="2"/>
  <c r="AZ745" i="2"/>
  <c r="AX745" i="2"/>
  <c r="AW745" i="2"/>
  <c r="AU745" i="2"/>
  <c r="AT745" i="2"/>
  <c r="R745" i="2"/>
  <c r="BF745" i="2" s="1"/>
  <c r="M745" i="2"/>
  <c r="U745" i="2" s="1"/>
  <c r="L745" i="2"/>
  <c r="B745" i="2"/>
  <c r="BV744" i="2"/>
  <c r="BU744" i="2"/>
  <c r="BS744" i="2"/>
  <c r="BR744" i="2"/>
  <c r="BP744" i="2"/>
  <c r="BO744" i="2"/>
  <c r="BM744" i="2"/>
  <c r="BL744" i="2"/>
  <c r="BG744" i="2"/>
  <c r="BF744" i="2"/>
  <c r="BD744" i="2"/>
  <c r="BC744" i="2"/>
  <c r="BA744" i="2"/>
  <c r="AZ744" i="2"/>
  <c r="AX744" i="2"/>
  <c r="AW744" i="2"/>
  <c r="AU744" i="2"/>
  <c r="AT744" i="2"/>
  <c r="R744" i="2"/>
  <c r="M744" i="2"/>
  <c r="U744" i="2" s="1"/>
  <c r="L744" i="2"/>
  <c r="B744" i="2"/>
  <c r="BV743" i="2"/>
  <c r="BU743" i="2"/>
  <c r="BS743" i="2"/>
  <c r="BR743" i="2"/>
  <c r="BP743" i="2"/>
  <c r="BO743" i="2"/>
  <c r="BM743" i="2"/>
  <c r="BL743" i="2"/>
  <c r="BJ743" i="2"/>
  <c r="BI743" i="2"/>
  <c r="BG743" i="2"/>
  <c r="BF743" i="2"/>
  <c r="BD743" i="2"/>
  <c r="BC743" i="2"/>
  <c r="AX743" i="2"/>
  <c r="AW743" i="2"/>
  <c r="AU743" i="2"/>
  <c r="AT743" i="2"/>
  <c r="U743" i="2"/>
  <c r="M743" i="2"/>
  <c r="L743" i="2"/>
  <c r="R743" i="2" s="1"/>
  <c r="B743" i="2"/>
  <c r="BV742" i="2"/>
  <c r="BU742" i="2"/>
  <c r="BS742" i="2"/>
  <c r="BR742" i="2"/>
  <c r="BP742" i="2"/>
  <c r="BO742" i="2"/>
  <c r="BM742" i="2"/>
  <c r="BL742" i="2"/>
  <c r="BJ742" i="2"/>
  <c r="BI742" i="2"/>
  <c r="BG742" i="2"/>
  <c r="BF742" i="2"/>
  <c r="BA742" i="2"/>
  <c r="AZ742" i="2"/>
  <c r="AX742" i="2"/>
  <c r="AW742" i="2"/>
  <c r="AU742" i="2"/>
  <c r="AT742" i="2"/>
  <c r="U742" i="2"/>
  <c r="M742" i="2"/>
  <c r="L742" i="2"/>
  <c r="R742" i="2" s="1"/>
  <c r="B742" i="2"/>
  <c r="BV741" i="2"/>
  <c r="BU741" i="2"/>
  <c r="BS741" i="2"/>
  <c r="BR741" i="2"/>
  <c r="BP741" i="2"/>
  <c r="BO741" i="2"/>
  <c r="BM741" i="2"/>
  <c r="BL741" i="2"/>
  <c r="BJ741" i="2"/>
  <c r="BI741" i="2"/>
  <c r="BG741" i="2"/>
  <c r="BF741" i="2"/>
  <c r="BD741" i="2"/>
  <c r="BC741" i="2"/>
  <c r="BA741" i="2"/>
  <c r="AZ741" i="2"/>
  <c r="AX741" i="2"/>
  <c r="AW741" i="2"/>
  <c r="AT741" i="2"/>
  <c r="R741" i="2"/>
  <c r="M741" i="2"/>
  <c r="U741" i="2" s="1"/>
  <c r="L741" i="2"/>
  <c r="B741" i="2"/>
  <c r="BV740" i="2"/>
  <c r="BU740" i="2"/>
  <c r="BS740" i="2"/>
  <c r="BR740" i="2"/>
  <c r="BP740" i="2"/>
  <c r="BO740" i="2"/>
  <c r="BM740" i="2"/>
  <c r="BL740" i="2"/>
  <c r="BJ740" i="2"/>
  <c r="BI740" i="2"/>
  <c r="BG740" i="2"/>
  <c r="BF740" i="2"/>
  <c r="BD740" i="2"/>
  <c r="BC740" i="2"/>
  <c r="BA740" i="2"/>
  <c r="AZ740" i="2"/>
  <c r="AU740" i="2"/>
  <c r="AT740" i="2"/>
  <c r="M740" i="2"/>
  <c r="U740" i="2" s="1"/>
  <c r="L740" i="2"/>
  <c r="R740" i="2" s="1"/>
  <c r="B740" i="2"/>
  <c r="BV739" i="2"/>
  <c r="BU739" i="2"/>
  <c r="BS739" i="2"/>
  <c r="BR739" i="2"/>
  <c r="BP739" i="2"/>
  <c r="BO739" i="2"/>
  <c r="BM739" i="2"/>
  <c r="BL739" i="2"/>
  <c r="BJ739" i="2"/>
  <c r="BI739" i="2"/>
  <c r="BD739" i="2"/>
  <c r="BC739" i="2"/>
  <c r="BA739" i="2"/>
  <c r="AZ739" i="2"/>
  <c r="AX739" i="2"/>
  <c r="AW739" i="2"/>
  <c r="AU739" i="2"/>
  <c r="AT739" i="2"/>
  <c r="U739" i="2"/>
  <c r="R739" i="2"/>
  <c r="M739" i="2"/>
  <c r="L739" i="2"/>
  <c r="B739" i="2"/>
  <c r="BV738" i="2"/>
  <c r="BU738" i="2"/>
  <c r="BS738" i="2"/>
  <c r="BR738" i="2"/>
  <c r="BP738" i="2"/>
  <c r="BO738" i="2"/>
  <c r="BM738" i="2"/>
  <c r="BL738" i="2"/>
  <c r="BJ738" i="2"/>
  <c r="BI738" i="2"/>
  <c r="BG738" i="2"/>
  <c r="BF738" i="2"/>
  <c r="BA738" i="2"/>
  <c r="AZ738" i="2"/>
  <c r="AX738" i="2"/>
  <c r="AW738" i="2"/>
  <c r="AU738" i="2"/>
  <c r="AT738" i="2"/>
  <c r="U738" i="2"/>
  <c r="M738" i="2"/>
  <c r="L738" i="2"/>
  <c r="R738" i="2" s="1"/>
  <c r="B738" i="2"/>
  <c r="BV737" i="2"/>
  <c r="BU737" i="2"/>
  <c r="BS737" i="2"/>
  <c r="BR737" i="2"/>
  <c r="BP737" i="2"/>
  <c r="BO737" i="2"/>
  <c r="BM737" i="2"/>
  <c r="BL737" i="2"/>
  <c r="BJ737" i="2"/>
  <c r="BI737" i="2"/>
  <c r="BG737" i="2"/>
  <c r="BF737" i="2"/>
  <c r="BD737" i="2"/>
  <c r="BC737" i="2"/>
  <c r="AZ737" i="2"/>
  <c r="AX737" i="2"/>
  <c r="AW737" i="2"/>
  <c r="AU737" i="2"/>
  <c r="AT737" i="2"/>
  <c r="R737" i="2"/>
  <c r="M737" i="2"/>
  <c r="U737" i="2" s="1"/>
  <c r="L737" i="2"/>
  <c r="B737" i="2"/>
  <c r="BV736" i="2"/>
  <c r="BU736" i="2"/>
  <c r="BS736" i="2"/>
  <c r="BR736" i="2"/>
  <c r="BP736" i="2"/>
  <c r="BO736" i="2"/>
  <c r="BM736" i="2"/>
  <c r="BL736" i="2"/>
  <c r="BJ736" i="2"/>
  <c r="BI736" i="2"/>
  <c r="BG736" i="2"/>
  <c r="BF736" i="2"/>
  <c r="BD736" i="2"/>
  <c r="BC736" i="2"/>
  <c r="BA736" i="2"/>
  <c r="AZ736" i="2"/>
  <c r="AU736" i="2"/>
  <c r="AT736" i="2"/>
  <c r="U736" i="2"/>
  <c r="M736" i="2"/>
  <c r="L736" i="2"/>
  <c r="R736" i="2" s="1"/>
  <c r="B736" i="2"/>
  <c r="BV735" i="2"/>
  <c r="BU735" i="2"/>
  <c r="BS735" i="2"/>
  <c r="BR735" i="2"/>
  <c r="BP735" i="2"/>
  <c r="BO735" i="2"/>
  <c r="BM735" i="2"/>
  <c r="BL735" i="2"/>
  <c r="BJ735" i="2"/>
  <c r="BI735" i="2"/>
  <c r="BG735" i="2"/>
  <c r="BF735" i="2"/>
  <c r="BD735" i="2"/>
  <c r="BC735" i="2"/>
  <c r="BA735" i="2"/>
  <c r="AZ735" i="2"/>
  <c r="AU735" i="2"/>
  <c r="AT735" i="2"/>
  <c r="U735" i="2"/>
  <c r="M735" i="2"/>
  <c r="L735" i="2"/>
  <c r="R735" i="2" s="1"/>
  <c r="B735" i="2"/>
  <c r="BV734" i="2"/>
  <c r="BU734" i="2"/>
  <c r="BS734" i="2"/>
  <c r="BR734" i="2"/>
  <c r="BP734" i="2"/>
  <c r="BO734" i="2"/>
  <c r="BM734" i="2"/>
  <c r="BL734" i="2"/>
  <c r="BJ734" i="2"/>
  <c r="BI734" i="2"/>
  <c r="BD734" i="2"/>
  <c r="BC734" i="2"/>
  <c r="BA734" i="2"/>
  <c r="AZ734" i="2"/>
  <c r="AX734" i="2"/>
  <c r="AW734" i="2"/>
  <c r="AU734" i="2"/>
  <c r="AT734" i="2"/>
  <c r="U734" i="2"/>
  <c r="M734" i="2"/>
  <c r="L734" i="2"/>
  <c r="R734" i="2" s="1"/>
  <c r="B734" i="2"/>
  <c r="BV733" i="2"/>
  <c r="BU733" i="2"/>
  <c r="BS733" i="2"/>
  <c r="BR733" i="2"/>
  <c r="BP733" i="2"/>
  <c r="BO733" i="2"/>
  <c r="BM733" i="2"/>
  <c r="BL733" i="2"/>
  <c r="BG733" i="2"/>
  <c r="BF733" i="2"/>
  <c r="BD733" i="2"/>
  <c r="BC733" i="2"/>
  <c r="BA733" i="2"/>
  <c r="AZ733" i="2"/>
  <c r="AX733" i="2"/>
  <c r="AW733" i="2"/>
  <c r="AU733" i="2"/>
  <c r="AT733" i="2"/>
  <c r="R733" i="2"/>
  <c r="M733" i="2"/>
  <c r="U733" i="2" s="1"/>
  <c r="L733" i="2"/>
  <c r="B733" i="2"/>
  <c r="BV732" i="2"/>
  <c r="BU732" i="2"/>
  <c r="BS732" i="2"/>
  <c r="BR732" i="2"/>
  <c r="BP732" i="2"/>
  <c r="BO732" i="2"/>
  <c r="BM732" i="2"/>
  <c r="BL732" i="2"/>
  <c r="BJ732" i="2"/>
  <c r="BI732" i="2"/>
  <c r="BG732" i="2"/>
  <c r="BF732" i="2"/>
  <c r="BD732" i="2"/>
  <c r="BC732" i="2"/>
  <c r="AX732" i="2"/>
  <c r="AW732" i="2"/>
  <c r="AU732" i="2"/>
  <c r="AT732" i="2"/>
  <c r="U732" i="2"/>
  <c r="M732" i="2"/>
  <c r="L732" i="2"/>
  <c r="R732" i="2" s="1"/>
  <c r="B732" i="2"/>
  <c r="BV731" i="2"/>
  <c r="BU731" i="2"/>
  <c r="BS731" i="2"/>
  <c r="BR731" i="2"/>
  <c r="BP731" i="2"/>
  <c r="BO731" i="2"/>
  <c r="BM731" i="2"/>
  <c r="BL731" i="2"/>
  <c r="BJ731" i="2"/>
  <c r="BI731" i="2"/>
  <c r="BG731" i="2"/>
  <c r="BF731" i="2"/>
  <c r="BA731" i="2"/>
  <c r="AZ731" i="2"/>
  <c r="AX731" i="2"/>
  <c r="AW731" i="2"/>
  <c r="AU731" i="2"/>
  <c r="AT731" i="2"/>
  <c r="U731" i="2"/>
  <c r="M731" i="2"/>
  <c r="L731" i="2"/>
  <c r="R731" i="2" s="1"/>
  <c r="B731" i="2"/>
  <c r="BV730" i="2"/>
  <c r="BU730" i="2"/>
  <c r="BS730" i="2"/>
  <c r="BR730" i="2"/>
  <c r="BP730" i="2"/>
  <c r="BO730" i="2"/>
  <c r="BM730" i="2"/>
  <c r="BL730" i="2"/>
  <c r="BJ730" i="2"/>
  <c r="BI730" i="2"/>
  <c r="BG730" i="2"/>
  <c r="BF730" i="2"/>
  <c r="BD730" i="2"/>
  <c r="BC730" i="2"/>
  <c r="BA730" i="2"/>
  <c r="AZ730" i="2"/>
  <c r="AX730" i="2"/>
  <c r="AW730" i="2"/>
  <c r="AT730" i="2"/>
  <c r="U730" i="2"/>
  <c r="M730" i="2"/>
  <c r="L730" i="2"/>
  <c r="R730" i="2" s="1"/>
  <c r="B730" i="2"/>
  <c r="BV729" i="2"/>
  <c r="BU729" i="2"/>
  <c r="BS729" i="2"/>
  <c r="BR729" i="2"/>
  <c r="BP729" i="2"/>
  <c r="BO729" i="2"/>
  <c r="BM729" i="2"/>
  <c r="BL729" i="2"/>
  <c r="BJ729" i="2"/>
  <c r="BI729" i="2"/>
  <c r="BG729" i="2"/>
  <c r="BF729" i="2"/>
  <c r="BD729" i="2"/>
  <c r="BC729" i="2"/>
  <c r="BA729" i="2"/>
  <c r="AZ729" i="2"/>
  <c r="AW729" i="2"/>
  <c r="AU729" i="2"/>
  <c r="AT729" i="2"/>
  <c r="R729" i="2"/>
  <c r="M729" i="2"/>
  <c r="U729" i="2" s="1"/>
  <c r="L729" i="2"/>
  <c r="B729" i="2"/>
  <c r="BV728" i="2"/>
  <c r="BU728" i="2"/>
  <c r="BS728" i="2"/>
  <c r="BR728" i="2"/>
  <c r="BP728" i="2"/>
  <c r="BO728" i="2"/>
  <c r="BM728" i="2"/>
  <c r="BL728" i="2"/>
  <c r="BJ728" i="2"/>
  <c r="BI728" i="2"/>
  <c r="BD728" i="2"/>
  <c r="BC728" i="2"/>
  <c r="BA728" i="2"/>
  <c r="AZ728" i="2"/>
  <c r="AX728" i="2"/>
  <c r="AW728" i="2"/>
  <c r="AU728" i="2"/>
  <c r="AT728" i="2"/>
  <c r="U728" i="2"/>
  <c r="R728" i="2"/>
  <c r="BF728" i="2" s="1"/>
  <c r="M728" i="2"/>
  <c r="L728" i="2"/>
  <c r="B728" i="2"/>
  <c r="BV727" i="2"/>
  <c r="BU727" i="2"/>
  <c r="BS727" i="2"/>
  <c r="BR727" i="2"/>
  <c r="BP727" i="2"/>
  <c r="BO727" i="2"/>
  <c r="BM727" i="2"/>
  <c r="BL727" i="2"/>
  <c r="BJ727" i="2"/>
  <c r="BI727" i="2"/>
  <c r="BG727" i="2"/>
  <c r="BF727" i="2"/>
  <c r="BA727" i="2"/>
  <c r="AZ727" i="2"/>
  <c r="AX727" i="2"/>
  <c r="AW727" i="2"/>
  <c r="AU727" i="2"/>
  <c r="AT727" i="2"/>
  <c r="U727" i="2"/>
  <c r="M727" i="2"/>
  <c r="L727" i="2"/>
  <c r="R727" i="2" s="1"/>
  <c r="B727" i="2"/>
  <c r="BV726" i="2"/>
  <c r="BU726" i="2"/>
  <c r="BS726" i="2"/>
  <c r="BR726" i="2"/>
  <c r="BP726" i="2"/>
  <c r="BO726" i="2"/>
  <c r="BM726" i="2"/>
  <c r="BL726" i="2"/>
  <c r="BJ726" i="2"/>
  <c r="BI726" i="2"/>
  <c r="BG726" i="2"/>
  <c r="BF726" i="2"/>
  <c r="BD726" i="2"/>
  <c r="BC726" i="2"/>
  <c r="AZ726" i="2"/>
  <c r="AX726" i="2"/>
  <c r="AW726" i="2"/>
  <c r="AU726" i="2"/>
  <c r="AT726" i="2"/>
  <c r="U726" i="2"/>
  <c r="M726" i="2"/>
  <c r="L726" i="2"/>
  <c r="R726" i="2" s="1"/>
  <c r="T726" i="2" s="1"/>
  <c r="B726" i="2"/>
  <c r="BV725" i="2"/>
  <c r="BU725" i="2"/>
  <c r="BS725" i="2"/>
  <c r="BR725" i="2"/>
  <c r="BP725" i="2"/>
  <c r="BO725" i="2"/>
  <c r="BM725" i="2"/>
  <c r="BL725" i="2"/>
  <c r="BJ725" i="2"/>
  <c r="BI725" i="2"/>
  <c r="BG725" i="2"/>
  <c r="BF725" i="2"/>
  <c r="BD725" i="2"/>
  <c r="BC725" i="2"/>
  <c r="BA725" i="2"/>
  <c r="AZ725" i="2"/>
  <c r="AW725" i="2"/>
  <c r="AU725" i="2"/>
  <c r="AT725" i="2"/>
  <c r="R725" i="2"/>
  <c r="M725" i="2"/>
  <c r="U725" i="2" s="1"/>
  <c r="L725" i="2"/>
  <c r="B725" i="2"/>
  <c r="BV724" i="2"/>
  <c r="BU724" i="2"/>
  <c r="BS724" i="2"/>
  <c r="BR724" i="2"/>
  <c r="BP724" i="2"/>
  <c r="BO724" i="2"/>
  <c r="BM724" i="2"/>
  <c r="BL724" i="2"/>
  <c r="BJ724" i="2"/>
  <c r="BI724" i="2"/>
  <c r="BG724" i="2"/>
  <c r="BF724" i="2"/>
  <c r="BD724" i="2"/>
  <c r="BC724" i="2"/>
  <c r="BA724" i="2"/>
  <c r="AZ724" i="2"/>
  <c r="AU724" i="2"/>
  <c r="AT724" i="2"/>
  <c r="R724" i="2"/>
  <c r="M724" i="2"/>
  <c r="U724" i="2" s="1"/>
  <c r="L724" i="2"/>
  <c r="B724" i="2"/>
  <c r="BV723" i="2"/>
  <c r="BU723" i="2"/>
  <c r="BS723" i="2"/>
  <c r="BR723" i="2"/>
  <c r="BP723" i="2"/>
  <c r="BO723" i="2"/>
  <c r="BM723" i="2"/>
  <c r="BL723" i="2"/>
  <c r="BJ723" i="2"/>
  <c r="BI723" i="2"/>
  <c r="BD723" i="2"/>
  <c r="BC723" i="2"/>
  <c r="BA723" i="2"/>
  <c r="AZ723" i="2"/>
  <c r="AX723" i="2"/>
  <c r="AW723" i="2"/>
  <c r="AU723" i="2"/>
  <c r="AT723" i="2"/>
  <c r="U723" i="2"/>
  <c r="R723" i="2"/>
  <c r="T723" i="2" s="1"/>
  <c r="M723" i="2"/>
  <c r="L723" i="2"/>
  <c r="B723" i="2"/>
  <c r="BV722" i="2"/>
  <c r="BU722" i="2"/>
  <c r="BS722" i="2"/>
  <c r="BR722" i="2"/>
  <c r="BP722" i="2"/>
  <c r="BO722" i="2"/>
  <c r="BM722" i="2"/>
  <c r="BL722" i="2"/>
  <c r="BG722" i="2"/>
  <c r="BF722" i="2"/>
  <c r="BD722" i="2"/>
  <c r="BC722" i="2"/>
  <c r="BA722" i="2"/>
  <c r="AZ722" i="2"/>
  <c r="AX722" i="2"/>
  <c r="AW722" i="2"/>
  <c r="AU722" i="2"/>
  <c r="AT722" i="2"/>
  <c r="U722" i="2"/>
  <c r="M722" i="2"/>
  <c r="L722" i="2"/>
  <c r="R722" i="2" s="1"/>
  <c r="B722" i="2"/>
  <c r="BV721" i="2"/>
  <c r="BU721" i="2"/>
  <c r="BS721" i="2"/>
  <c r="BR721" i="2"/>
  <c r="BP721" i="2"/>
  <c r="BO721" i="2"/>
  <c r="BM721" i="2"/>
  <c r="BL721" i="2"/>
  <c r="BJ721" i="2"/>
  <c r="BI721" i="2"/>
  <c r="BG721" i="2"/>
  <c r="BF721" i="2"/>
  <c r="BD721" i="2"/>
  <c r="BC721" i="2"/>
  <c r="AX721" i="2"/>
  <c r="AW721" i="2"/>
  <c r="AU721" i="2"/>
  <c r="AT721" i="2"/>
  <c r="R721" i="2"/>
  <c r="M721" i="2"/>
  <c r="U721" i="2" s="1"/>
  <c r="L721" i="2"/>
  <c r="B721" i="2"/>
  <c r="BV720" i="2"/>
  <c r="BU720" i="2"/>
  <c r="BS720" i="2"/>
  <c r="BR720" i="2"/>
  <c r="BP720" i="2"/>
  <c r="BO720" i="2"/>
  <c r="BM720" i="2"/>
  <c r="BL720" i="2"/>
  <c r="BJ720" i="2"/>
  <c r="BI720" i="2"/>
  <c r="BG720" i="2"/>
  <c r="BF720" i="2"/>
  <c r="BC720" i="2"/>
  <c r="BA720" i="2"/>
  <c r="AZ720" i="2"/>
  <c r="AX720" i="2"/>
  <c r="AW720" i="2"/>
  <c r="AU720" i="2"/>
  <c r="AT720" i="2"/>
  <c r="U720" i="2"/>
  <c r="R720" i="2"/>
  <c r="M720" i="2"/>
  <c r="L720" i="2"/>
  <c r="B720" i="2"/>
  <c r="BV719" i="2"/>
  <c r="BU719" i="2"/>
  <c r="BS719" i="2"/>
  <c r="BR719" i="2"/>
  <c r="BP719" i="2"/>
  <c r="BO719" i="2"/>
  <c r="BM719" i="2"/>
  <c r="BL719" i="2"/>
  <c r="BJ719" i="2"/>
  <c r="BI719" i="2"/>
  <c r="BG719" i="2"/>
  <c r="BF719" i="2"/>
  <c r="BD719" i="2"/>
  <c r="BC719" i="2"/>
  <c r="BA719" i="2"/>
  <c r="AZ719" i="2"/>
  <c r="AX719" i="2"/>
  <c r="AW719" i="2"/>
  <c r="U719" i="2"/>
  <c r="M719" i="2"/>
  <c r="L719" i="2"/>
  <c r="R719" i="2" s="1"/>
  <c r="B719" i="2"/>
  <c r="BV718" i="2"/>
  <c r="BU718" i="2"/>
  <c r="BS718" i="2"/>
  <c r="BR718" i="2"/>
  <c r="BP718" i="2"/>
  <c r="BO718" i="2"/>
  <c r="BM718" i="2"/>
  <c r="BL718" i="2"/>
  <c r="BJ718" i="2"/>
  <c r="BI718" i="2"/>
  <c r="BG718" i="2"/>
  <c r="BF718" i="2"/>
  <c r="BD718" i="2"/>
  <c r="BC718" i="2"/>
  <c r="BA718" i="2"/>
  <c r="AZ718" i="2"/>
  <c r="AW718" i="2"/>
  <c r="AU718" i="2"/>
  <c r="AT718" i="2"/>
  <c r="U718" i="2"/>
  <c r="M718" i="2"/>
  <c r="L718" i="2"/>
  <c r="R718" i="2" s="1"/>
  <c r="T718" i="2" s="1"/>
  <c r="B718" i="2"/>
  <c r="BV717" i="2"/>
  <c r="BU717" i="2"/>
  <c r="BS717" i="2"/>
  <c r="BR717" i="2"/>
  <c r="BP717" i="2"/>
  <c r="BO717" i="2"/>
  <c r="BM717" i="2"/>
  <c r="BL717" i="2"/>
  <c r="BJ717" i="2"/>
  <c r="BI717" i="2"/>
  <c r="BD717" i="2"/>
  <c r="BC717" i="2"/>
  <c r="BA717" i="2"/>
  <c r="AZ717" i="2"/>
  <c r="AX717" i="2"/>
  <c r="AW717" i="2"/>
  <c r="AU717" i="2"/>
  <c r="AT717" i="2"/>
  <c r="R717" i="2"/>
  <c r="M717" i="2"/>
  <c r="U717" i="2" s="1"/>
  <c r="L717" i="2"/>
  <c r="B717" i="2"/>
  <c r="BV716" i="2"/>
  <c r="BU716" i="2"/>
  <c r="BS716" i="2"/>
  <c r="BR716" i="2"/>
  <c r="BP716" i="2"/>
  <c r="BO716" i="2"/>
  <c r="BM716" i="2"/>
  <c r="BL716" i="2"/>
  <c r="BJ716" i="2"/>
  <c r="BI716" i="2"/>
  <c r="BG716" i="2"/>
  <c r="BF716" i="2"/>
  <c r="BA716" i="2"/>
  <c r="AZ716" i="2"/>
  <c r="AX716" i="2"/>
  <c r="AW716" i="2"/>
  <c r="AU716" i="2"/>
  <c r="AT716" i="2"/>
  <c r="U716" i="2"/>
  <c r="R716" i="2"/>
  <c r="S716" i="2" s="1"/>
  <c r="BD716" i="2" s="1"/>
  <c r="M716" i="2"/>
  <c r="B716" i="2"/>
  <c r="BV715" i="2"/>
  <c r="BU715" i="2"/>
  <c r="BS715" i="2"/>
  <c r="BR715" i="2"/>
  <c r="BP715" i="2"/>
  <c r="BO715" i="2"/>
  <c r="BM715" i="2"/>
  <c r="BL715" i="2"/>
  <c r="BJ715" i="2"/>
  <c r="BI715" i="2"/>
  <c r="BG715" i="2"/>
  <c r="BF715" i="2"/>
  <c r="BD715" i="2"/>
  <c r="BC715" i="2"/>
  <c r="AX715" i="2"/>
  <c r="AW715" i="2"/>
  <c r="AU715" i="2"/>
  <c r="AT715" i="2"/>
  <c r="R715" i="2"/>
  <c r="AZ715" i="2" s="1"/>
  <c r="M715" i="2"/>
  <c r="U715" i="2" s="1"/>
  <c r="B715" i="2"/>
  <c r="BV714" i="2"/>
  <c r="BU714" i="2"/>
  <c r="BS714" i="2"/>
  <c r="BR714" i="2"/>
  <c r="BP714" i="2"/>
  <c r="BO714" i="2"/>
  <c r="BM714" i="2"/>
  <c r="BL714" i="2"/>
  <c r="BJ714" i="2"/>
  <c r="BI714" i="2"/>
  <c r="BG714" i="2"/>
  <c r="BF714" i="2"/>
  <c r="BD714" i="2"/>
  <c r="BC714" i="2"/>
  <c r="BA714" i="2"/>
  <c r="AZ714" i="2"/>
  <c r="AW714" i="2"/>
  <c r="AU714" i="2"/>
  <c r="AT714" i="2"/>
  <c r="T714" i="2"/>
  <c r="R714" i="2"/>
  <c r="M714" i="2"/>
  <c r="U714" i="2" s="1"/>
  <c r="L714" i="2"/>
  <c r="B714" i="2"/>
  <c r="BV713" i="2"/>
  <c r="BU713" i="2"/>
  <c r="BS713" i="2"/>
  <c r="BR713" i="2"/>
  <c r="BP713" i="2"/>
  <c r="BO713" i="2"/>
  <c r="BM713" i="2"/>
  <c r="BL713" i="2"/>
  <c r="BJ713" i="2"/>
  <c r="BI713" i="2"/>
  <c r="BG713" i="2"/>
  <c r="BF713" i="2"/>
  <c r="BD713" i="2"/>
  <c r="BC713" i="2"/>
  <c r="BA713" i="2"/>
  <c r="AZ713" i="2"/>
  <c r="AU713" i="2"/>
  <c r="AT713" i="2"/>
  <c r="T713" i="2"/>
  <c r="M713" i="2"/>
  <c r="U713" i="2" s="1"/>
  <c r="L713" i="2"/>
  <c r="R713" i="2" s="1"/>
  <c r="AW713" i="2" s="1"/>
  <c r="B713" i="2"/>
  <c r="BV712" i="2"/>
  <c r="BU712" i="2"/>
  <c r="BS712" i="2"/>
  <c r="BR712" i="2"/>
  <c r="BP712" i="2"/>
  <c r="BO712" i="2"/>
  <c r="BM712" i="2"/>
  <c r="BL712" i="2"/>
  <c r="BJ712" i="2"/>
  <c r="BI712" i="2"/>
  <c r="BD712" i="2"/>
  <c r="BC712" i="2"/>
  <c r="BA712" i="2"/>
  <c r="AZ712" i="2"/>
  <c r="AX712" i="2"/>
  <c r="AW712" i="2"/>
  <c r="AU712" i="2"/>
  <c r="AT712" i="2"/>
  <c r="T712" i="2"/>
  <c r="S712" i="2"/>
  <c r="BG712" i="2" s="1"/>
  <c r="R712" i="2"/>
  <c r="BF712" i="2" s="1"/>
  <c r="M712" i="2"/>
  <c r="U712" i="2" s="1"/>
  <c r="B712" i="2"/>
  <c r="BV711" i="2"/>
  <c r="BU711" i="2"/>
  <c r="BS711" i="2"/>
  <c r="BR711" i="2"/>
  <c r="BP711" i="2"/>
  <c r="BO711" i="2"/>
  <c r="BM711" i="2"/>
  <c r="BL711" i="2"/>
  <c r="BG711" i="2"/>
  <c r="BF711" i="2"/>
  <c r="BD711" i="2"/>
  <c r="BC711" i="2"/>
  <c r="BA711" i="2"/>
  <c r="AZ711" i="2"/>
  <c r="AX711" i="2"/>
  <c r="AW711" i="2"/>
  <c r="AU711" i="2"/>
  <c r="AT711" i="2"/>
  <c r="M711" i="2"/>
  <c r="U711" i="2" s="1"/>
  <c r="L711" i="2"/>
  <c r="R711" i="2" s="1"/>
  <c r="B711" i="2"/>
  <c r="BV710" i="2"/>
  <c r="BU710" i="2"/>
  <c r="BS710" i="2"/>
  <c r="BR710" i="2"/>
  <c r="BP710" i="2"/>
  <c r="BO710" i="2"/>
  <c r="BM710" i="2"/>
  <c r="BL710" i="2"/>
  <c r="BJ710" i="2"/>
  <c r="BI710" i="2"/>
  <c r="BG710" i="2"/>
  <c r="BF710" i="2"/>
  <c r="BD710" i="2"/>
  <c r="BC710" i="2"/>
  <c r="AX710" i="2"/>
  <c r="AW710" i="2"/>
  <c r="AU710" i="2"/>
  <c r="AT710" i="2"/>
  <c r="U710" i="2"/>
  <c r="R710" i="2"/>
  <c r="AZ710" i="2" s="1"/>
  <c r="M710" i="2"/>
  <c r="B710" i="2"/>
  <c r="BV709" i="2"/>
  <c r="BU709" i="2"/>
  <c r="BS709" i="2"/>
  <c r="BR709" i="2"/>
  <c r="BP709" i="2"/>
  <c r="BO709" i="2"/>
  <c r="BM709" i="2"/>
  <c r="BL709" i="2"/>
  <c r="BJ709" i="2"/>
  <c r="BI709" i="2"/>
  <c r="BG709" i="2"/>
  <c r="BF709" i="2"/>
  <c r="BA709" i="2"/>
  <c r="AZ709" i="2"/>
  <c r="AX709" i="2"/>
  <c r="AW709" i="2"/>
  <c r="AU709" i="2"/>
  <c r="AT709" i="2"/>
  <c r="U709" i="2"/>
  <c r="R709" i="2"/>
  <c r="BC709" i="2" s="1"/>
  <c r="M709" i="2"/>
  <c r="L709" i="2"/>
  <c r="B709" i="2"/>
  <c r="BV708" i="2"/>
  <c r="BU708" i="2"/>
  <c r="BS708" i="2"/>
  <c r="BR708" i="2"/>
  <c r="BP708" i="2"/>
  <c r="BO708" i="2"/>
  <c r="BM708" i="2"/>
  <c r="BL708" i="2"/>
  <c r="BJ708" i="2"/>
  <c r="BI708" i="2"/>
  <c r="BG708" i="2"/>
  <c r="BF708" i="2"/>
  <c r="BD708" i="2"/>
  <c r="BC708" i="2"/>
  <c r="BA708" i="2"/>
  <c r="AZ708" i="2"/>
  <c r="AX708" i="2"/>
  <c r="AW708" i="2"/>
  <c r="U708" i="2"/>
  <c r="M708" i="2"/>
  <c r="L708" i="2"/>
  <c r="R708" i="2" s="1"/>
  <c r="B708" i="2"/>
  <c r="BV707" i="2"/>
  <c r="BU707" i="2"/>
  <c r="BS707" i="2"/>
  <c r="BR707" i="2"/>
  <c r="BP707" i="2"/>
  <c r="BO707" i="2"/>
  <c r="BM707" i="2"/>
  <c r="BL707" i="2"/>
  <c r="BJ707" i="2"/>
  <c r="BI707" i="2"/>
  <c r="BG707" i="2"/>
  <c r="BF707" i="2"/>
  <c r="BD707" i="2"/>
  <c r="BC707" i="2"/>
  <c r="BA707" i="2"/>
  <c r="AZ707" i="2"/>
  <c r="AU707" i="2"/>
  <c r="AT707" i="2"/>
  <c r="U707" i="2"/>
  <c r="M707" i="2"/>
  <c r="L707" i="2"/>
  <c r="R707" i="2" s="1"/>
  <c r="AW707" i="2" s="1"/>
  <c r="B707" i="2"/>
  <c r="BV706" i="2"/>
  <c r="BU706" i="2"/>
  <c r="BS706" i="2"/>
  <c r="BR706" i="2"/>
  <c r="BP706" i="2"/>
  <c r="BO706" i="2"/>
  <c r="BM706" i="2"/>
  <c r="BL706" i="2"/>
  <c r="BJ706" i="2"/>
  <c r="BI706" i="2"/>
  <c r="BD706" i="2"/>
  <c r="BC706" i="2"/>
  <c r="BA706" i="2"/>
  <c r="AZ706" i="2"/>
  <c r="AX706" i="2"/>
  <c r="AW706" i="2"/>
  <c r="AU706" i="2"/>
  <c r="AT706" i="2"/>
  <c r="R706" i="2"/>
  <c r="BF706" i="2" s="1"/>
  <c r="M706" i="2"/>
  <c r="U706" i="2" s="1"/>
  <c r="L706" i="2"/>
  <c r="B706" i="2"/>
  <c r="BV705" i="2"/>
  <c r="BU705" i="2"/>
  <c r="BS705" i="2"/>
  <c r="BR705" i="2"/>
  <c r="BP705" i="2"/>
  <c r="BO705" i="2"/>
  <c r="BM705" i="2"/>
  <c r="BL705" i="2"/>
  <c r="BJ705" i="2"/>
  <c r="BI705" i="2"/>
  <c r="BG705" i="2"/>
  <c r="BF705" i="2"/>
  <c r="BA705" i="2"/>
  <c r="AZ705" i="2"/>
  <c r="AX705" i="2"/>
  <c r="AW705" i="2"/>
  <c r="AU705" i="2"/>
  <c r="AT705" i="2"/>
  <c r="U705" i="2"/>
  <c r="R705" i="2"/>
  <c r="BC705" i="2" s="1"/>
  <c r="M705" i="2"/>
  <c r="L705" i="2"/>
  <c r="B705" i="2"/>
  <c r="BV704" i="2"/>
  <c r="BU704" i="2"/>
  <c r="BS704" i="2"/>
  <c r="BR704" i="2"/>
  <c r="BP704" i="2"/>
  <c r="BO704" i="2"/>
  <c r="BM704" i="2"/>
  <c r="BL704" i="2"/>
  <c r="BJ704" i="2"/>
  <c r="BI704" i="2"/>
  <c r="BG704" i="2"/>
  <c r="BF704" i="2"/>
  <c r="BD704" i="2"/>
  <c r="BC704" i="2"/>
  <c r="AX704" i="2"/>
  <c r="AW704" i="2"/>
  <c r="AU704" i="2"/>
  <c r="AT704" i="2"/>
  <c r="U704" i="2"/>
  <c r="M704" i="2"/>
  <c r="L704" i="2"/>
  <c r="R704" i="2" s="1"/>
  <c r="B704" i="2"/>
  <c r="BV703" i="2"/>
  <c r="BU703" i="2"/>
  <c r="BS703" i="2"/>
  <c r="BR703" i="2"/>
  <c r="BP703" i="2"/>
  <c r="BO703" i="2"/>
  <c r="BM703" i="2"/>
  <c r="BL703" i="2"/>
  <c r="BJ703" i="2"/>
  <c r="BI703" i="2"/>
  <c r="BG703" i="2"/>
  <c r="BF703" i="2"/>
  <c r="BD703" i="2"/>
  <c r="BC703" i="2"/>
  <c r="BA703" i="2"/>
  <c r="AZ703" i="2"/>
  <c r="AW703" i="2"/>
  <c r="AU703" i="2"/>
  <c r="AT703" i="2"/>
  <c r="M703" i="2"/>
  <c r="U703" i="2" s="1"/>
  <c r="L703" i="2"/>
  <c r="R703" i="2" s="1"/>
  <c r="B703" i="2"/>
  <c r="BV702" i="2"/>
  <c r="BU702" i="2"/>
  <c r="BS702" i="2"/>
  <c r="BR702" i="2"/>
  <c r="BP702" i="2"/>
  <c r="BO702" i="2"/>
  <c r="BM702" i="2"/>
  <c r="BL702" i="2"/>
  <c r="BJ702" i="2"/>
  <c r="BI702" i="2"/>
  <c r="BG702" i="2"/>
  <c r="BF702" i="2"/>
  <c r="BD702" i="2"/>
  <c r="BC702" i="2"/>
  <c r="BA702" i="2"/>
  <c r="AZ702" i="2"/>
  <c r="AU702" i="2"/>
  <c r="AT702" i="2"/>
  <c r="R702" i="2"/>
  <c r="M702" i="2"/>
  <c r="U702" i="2" s="1"/>
  <c r="L702" i="2"/>
  <c r="B702" i="2"/>
  <c r="BV701" i="2"/>
  <c r="BU701" i="2"/>
  <c r="BS701" i="2"/>
  <c r="BR701" i="2"/>
  <c r="BP701" i="2"/>
  <c r="BO701" i="2"/>
  <c r="BM701" i="2"/>
  <c r="BL701" i="2"/>
  <c r="BJ701" i="2"/>
  <c r="BI701" i="2"/>
  <c r="BD701" i="2"/>
  <c r="BC701" i="2"/>
  <c r="BA701" i="2"/>
  <c r="AZ701" i="2"/>
  <c r="AX701" i="2"/>
  <c r="AW701" i="2"/>
  <c r="AU701" i="2"/>
  <c r="AT701" i="2"/>
  <c r="U701" i="2"/>
  <c r="R701" i="2"/>
  <c r="M701" i="2"/>
  <c r="L701" i="2"/>
  <c r="B701" i="2"/>
  <c r="BV700" i="2"/>
  <c r="BU700" i="2"/>
  <c r="BS700" i="2"/>
  <c r="BR700" i="2"/>
  <c r="BP700" i="2"/>
  <c r="BO700" i="2"/>
  <c r="BM700" i="2"/>
  <c r="BL700" i="2"/>
  <c r="BG700" i="2"/>
  <c r="BF700" i="2"/>
  <c r="BD700" i="2"/>
  <c r="BC700" i="2"/>
  <c r="BA700" i="2"/>
  <c r="AZ700" i="2"/>
  <c r="AX700" i="2"/>
  <c r="AW700" i="2"/>
  <c r="AU700" i="2"/>
  <c r="AT700" i="2"/>
  <c r="U700" i="2"/>
  <c r="R700" i="2"/>
  <c r="M700" i="2"/>
  <c r="L700" i="2"/>
  <c r="B700" i="2"/>
  <c r="BV699" i="2"/>
  <c r="BU699" i="2"/>
  <c r="BS699" i="2"/>
  <c r="BR699" i="2"/>
  <c r="BP699" i="2"/>
  <c r="BO699" i="2"/>
  <c r="BM699" i="2"/>
  <c r="BL699" i="2"/>
  <c r="BJ699" i="2"/>
  <c r="BI699" i="2"/>
  <c r="BG699" i="2"/>
  <c r="BF699" i="2"/>
  <c r="BD699" i="2"/>
  <c r="BC699" i="2"/>
  <c r="AZ699" i="2"/>
  <c r="AX699" i="2"/>
  <c r="AW699" i="2"/>
  <c r="AU699" i="2"/>
  <c r="AT699" i="2"/>
  <c r="M699" i="2"/>
  <c r="U699" i="2" s="1"/>
  <c r="L699" i="2"/>
  <c r="R699" i="2" s="1"/>
  <c r="B699" i="2"/>
  <c r="BV698" i="2"/>
  <c r="BU698" i="2"/>
  <c r="BS698" i="2"/>
  <c r="BR698" i="2"/>
  <c r="BP698" i="2"/>
  <c r="BO698" i="2"/>
  <c r="BM698" i="2"/>
  <c r="BL698" i="2"/>
  <c r="BJ698" i="2"/>
  <c r="BI698" i="2"/>
  <c r="BG698" i="2"/>
  <c r="BF698" i="2"/>
  <c r="BA698" i="2"/>
  <c r="AZ698" i="2"/>
  <c r="AX698" i="2"/>
  <c r="AW698" i="2"/>
  <c r="AU698" i="2"/>
  <c r="AT698" i="2"/>
  <c r="M698" i="2"/>
  <c r="U698" i="2" s="1"/>
  <c r="L698" i="2"/>
  <c r="R698" i="2" s="1"/>
  <c r="B698" i="2"/>
  <c r="BV697" i="2"/>
  <c r="BU697" i="2"/>
  <c r="BS697" i="2"/>
  <c r="BR697" i="2"/>
  <c r="BP697" i="2"/>
  <c r="BO697" i="2"/>
  <c r="BM697" i="2"/>
  <c r="BL697" i="2"/>
  <c r="BJ697" i="2"/>
  <c r="BI697" i="2"/>
  <c r="BG697" i="2"/>
  <c r="BF697" i="2"/>
  <c r="BD697" i="2"/>
  <c r="BC697" i="2"/>
  <c r="BA697" i="2"/>
  <c r="AZ697" i="2"/>
  <c r="AX697" i="2"/>
  <c r="AW697" i="2"/>
  <c r="AR697" i="2"/>
  <c r="U697" i="2"/>
  <c r="M697" i="2"/>
  <c r="L697" i="2"/>
  <c r="R697" i="2" s="1"/>
  <c r="B697" i="2"/>
  <c r="AQ694" i="2"/>
  <c r="BV682" i="2"/>
  <c r="BU682" i="2"/>
  <c r="BS682" i="2"/>
  <c r="BR682" i="2"/>
  <c r="BP682" i="2"/>
  <c r="BO682" i="2"/>
  <c r="BM682" i="2"/>
  <c r="BL682" i="2"/>
  <c r="BJ682" i="2"/>
  <c r="BI682" i="2"/>
  <c r="BG682" i="2"/>
  <c r="BF682" i="2"/>
  <c r="BD682" i="2"/>
  <c r="BC682" i="2"/>
  <c r="BA682" i="2"/>
  <c r="AZ682" i="2"/>
  <c r="AX682" i="2"/>
  <c r="AW682" i="2"/>
  <c r="AU682" i="2"/>
  <c r="AT682" i="2"/>
  <c r="U682" i="2"/>
  <c r="R682" i="2"/>
  <c r="S682" i="2" s="1"/>
  <c r="B682" i="2"/>
  <c r="BV681" i="2"/>
  <c r="BU681" i="2"/>
  <c r="BS681" i="2"/>
  <c r="BR681" i="2"/>
  <c r="BP681" i="2"/>
  <c r="BO681" i="2"/>
  <c r="BM681" i="2"/>
  <c r="BL681" i="2"/>
  <c r="BJ681" i="2"/>
  <c r="BI681" i="2"/>
  <c r="BG681" i="2"/>
  <c r="BF681" i="2"/>
  <c r="BD681" i="2"/>
  <c r="BC681" i="2"/>
  <c r="BA681" i="2"/>
  <c r="AZ681" i="2"/>
  <c r="AX681" i="2"/>
  <c r="AW681" i="2"/>
  <c r="AU681" i="2"/>
  <c r="AT681" i="2"/>
  <c r="U681" i="2"/>
  <c r="S681" i="2"/>
  <c r="R681" i="2"/>
  <c r="B681" i="2"/>
  <c r="BV680" i="2"/>
  <c r="BU680" i="2"/>
  <c r="BS680" i="2"/>
  <c r="BR680" i="2"/>
  <c r="BP680" i="2"/>
  <c r="BO680" i="2"/>
  <c r="BM680" i="2"/>
  <c r="BL680" i="2"/>
  <c r="BJ680" i="2"/>
  <c r="BI680" i="2"/>
  <c r="BG680" i="2"/>
  <c r="BF680" i="2"/>
  <c r="BD680" i="2"/>
  <c r="BC680" i="2"/>
  <c r="BA680" i="2"/>
  <c r="AZ680" i="2"/>
  <c r="AX680" i="2"/>
  <c r="AW680" i="2"/>
  <c r="AU680" i="2"/>
  <c r="AT680" i="2"/>
  <c r="U680" i="2"/>
  <c r="R680" i="2"/>
  <c r="B680" i="2"/>
  <c r="BV679" i="2"/>
  <c r="BU679" i="2"/>
  <c r="BS679" i="2"/>
  <c r="BR679" i="2"/>
  <c r="BP679" i="2"/>
  <c r="BO679" i="2"/>
  <c r="BM679" i="2"/>
  <c r="BL679" i="2"/>
  <c r="BJ679" i="2"/>
  <c r="BI679" i="2"/>
  <c r="BG679" i="2"/>
  <c r="BF679" i="2"/>
  <c r="BD679" i="2"/>
  <c r="BC679" i="2"/>
  <c r="BA679" i="2"/>
  <c r="AZ679" i="2"/>
  <c r="AX679" i="2"/>
  <c r="AW679" i="2"/>
  <c r="AU679" i="2"/>
  <c r="AT679" i="2"/>
  <c r="U679" i="2"/>
  <c r="S679" i="2"/>
  <c r="R679" i="2"/>
  <c r="B679" i="2"/>
  <c r="BV678" i="2"/>
  <c r="BU678" i="2"/>
  <c r="BS678" i="2"/>
  <c r="BR678" i="2"/>
  <c r="BP678" i="2"/>
  <c r="BO678" i="2"/>
  <c r="BM678" i="2"/>
  <c r="BL678" i="2"/>
  <c r="BJ678" i="2"/>
  <c r="BI678" i="2"/>
  <c r="BG678" i="2"/>
  <c r="BF678" i="2"/>
  <c r="BD678" i="2"/>
  <c r="BC678" i="2"/>
  <c r="BA678" i="2"/>
  <c r="AZ678" i="2"/>
  <c r="AX678" i="2"/>
  <c r="AW678" i="2"/>
  <c r="AU678" i="2"/>
  <c r="AT678" i="2"/>
  <c r="U678" i="2"/>
  <c r="R678" i="2"/>
  <c r="S678" i="2" s="1"/>
  <c r="B678" i="2"/>
  <c r="BV677" i="2"/>
  <c r="BU677" i="2"/>
  <c r="BS677" i="2"/>
  <c r="BR677" i="2"/>
  <c r="BP677" i="2"/>
  <c r="BO677" i="2"/>
  <c r="BM677" i="2"/>
  <c r="BL677" i="2"/>
  <c r="BJ677" i="2"/>
  <c r="BI677" i="2"/>
  <c r="BG677" i="2"/>
  <c r="BF677" i="2"/>
  <c r="BD677" i="2"/>
  <c r="BC677" i="2"/>
  <c r="BA677" i="2"/>
  <c r="AZ677" i="2"/>
  <c r="AX677" i="2"/>
  <c r="AW677" i="2"/>
  <c r="AU677" i="2"/>
  <c r="AT677" i="2"/>
  <c r="U677" i="2"/>
  <c r="S677" i="2"/>
  <c r="R677" i="2"/>
  <c r="B677" i="2"/>
  <c r="BV676" i="2"/>
  <c r="BU676" i="2"/>
  <c r="BS676" i="2"/>
  <c r="BR676" i="2"/>
  <c r="BP676" i="2"/>
  <c r="BO676" i="2"/>
  <c r="BM676" i="2"/>
  <c r="BL676" i="2"/>
  <c r="BJ676" i="2"/>
  <c r="BI676" i="2"/>
  <c r="BG676" i="2"/>
  <c r="BF676" i="2"/>
  <c r="BD676" i="2"/>
  <c r="BC676" i="2"/>
  <c r="BA676" i="2"/>
  <c r="AZ676" i="2"/>
  <c r="AX676" i="2"/>
  <c r="AW676" i="2"/>
  <c r="AU676" i="2"/>
  <c r="AT676" i="2"/>
  <c r="U676" i="2"/>
  <c r="R676" i="2"/>
  <c r="S676" i="2" s="1"/>
  <c r="B676" i="2"/>
  <c r="BV675" i="2"/>
  <c r="BU675" i="2"/>
  <c r="BS675" i="2"/>
  <c r="BR675" i="2"/>
  <c r="BP675" i="2"/>
  <c r="BO675" i="2"/>
  <c r="BM675" i="2"/>
  <c r="BL675" i="2"/>
  <c r="BJ675" i="2"/>
  <c r="BI675" i="2"/>
  <c r="BG675" i="2"/>
  <c r="BF675" i="2"/>
  <c r="BD675" i="2"/>
  <c r="BC675" i="2"/>
  <c r="BA675" i="2"/>
  <c r="AZ675" i="2"/>
  <c r="AX675" i="2"/>
  <c r="AW675" i="2"/>
  <c r="AU675" i="2"/>
  <c r="AT675" i="2"/>
  <c r="U675" i="2"/>
  <c r="R675" i="2"/>
  <c r="B675" i="2"/>
  <c r="BV674" i="2"/>
  <c r="BU674" i="2"/>
  <c r="BS674" i="2"/>
  <c r="BR674" i="2"/>
  <c r="BP674" i="2"/>
  <c r="BO674" i="2"/>
  <c r="BM674" i="2"/>
  <c r="BL674" i="2"/>
  <c r="BJ674" i="2"/>
  <c r="BI674" i="2"/>
  <c r="BG674" i="2"/>
  <c r="BF674" i="2"/>
  <c r="BD674" i="2"/>
  <c r="BC674" i="2"/>
  <c r="BA674" i="2"/>
  <c r="AZ674" i="2"/>
  <c r="AX674" i="2"/>
  <c r="AW674" i="2"/>
  <c r="AU674" i="2"/>
  <c r="AT674" i="2"/>
  <c r="U674" i="2"/>
  <c r="S674" i="2"/>
  <c r="R674" i="2"/>
  <c r="B674" i="2"/>
  <c r="BV673" i="2"/>
  <c r="BU673" i="2"/>
  <c r="BS673" i="2"/>
  <c r="BR673" i="2"/>
  <c r="BP673" i="2"/>
  <c r="BO673" i="2"/>
  <c r="BM673" i="2"/>
  <c r="BL673" i="2"/>
  <c r="BJ673" i="2"/>
  <c r="BI673" i="2"/>
  <c r="BG673" i="2"/>
  <c r="BF673" i="2"/>
  <c r="BD673" i="2"/>
  <c r="BC673" i="2"/>
  <c r="BA673" i="2"/>
  <c r="AZ673" i="2"/>
  <c r="AX673" i="2"/>
  <c r="AW673" i="2"/>
  <c r="AU673" i="2"/>
  <c r="AT673" i="2"/>
  <c r="U673" i="2"/>
  <c r="R673" i="2"/>
  <c r="B673" i="2"/>
  <c r="BV672" i="2"/>
  <c r="BU672" i="2"/>
  <c r="BS672" i="2"/>
  <c r="BR672" i="2"/>
  <c r="BP672" i="2"/>
  <c r="BO672" i="2"/>
  <c r="BM672" i="2"/>
  <c r="BL672" i="2"/>
  <c r="BJ672" i="2"/>
  <c r="BI672" i="2"/>
  <c r="BG672" i="2"/>
  <c r="BF672" i="2"/>
  <c r="BD672" i="2"/>
  <c r="BC672" i="2"/>
  <c r="BA672" i="2"/>
  <c r="AZ672" i="2"/>
  <c r="AX672" i="2"/>
  <c r="AW672" i="2"/>
  <c r="AU672" i="2"/>
  <c r="AT672" i="2"/>
  <c r="U672" i="2"/>
  <c r="S672" i="2"/>
  <c r="R672" i="2"/>
  <c r="B672" i="2"/>
  <c r="BV671" i="2"/>
  <c r="BU671" i="2"/>
  <c r="BS671" i="2"/>
  <c r="BR671" i="2"/>
  <c r="BP671" i="2"/>
  <c r="BO671" i="2"/>
  <c r="BM671" i="2"/>
  <c r="BL671" i="2"/>
  <c r="BJ671" i="2"/>
  <c r="BI671" i="2"/>
  <c r="BG671" i="2"/>
  <c r="BF671" i="2"/>
  <c r="BD671" i="2"/>
  <c r="BC671" i="2"/>
  <c r="BA671" i="2"/>
  <c r="AZ671" i="2"/>
  <c r="AX671" i="2"/>
  <c r="AW671" i="2"/>
  <c r="AU671" i="2"/>
  <c r="AT671" i="2"/>
  <c r="U671" i="2"/>
  <c r="S671" i="2"/>
  <c r="R671" i="2"/>
  <c r="B671" i="2"/>
  <c r="BV670" i="2"/>
  <c r="BU670" i="2"/>
  <c r="BS670" i="2"/>
  <c r="BR670" i="2"/>
  <c r="BP670" i="2"/>
  <c r="BO670" i="2"/>
  <c r="BM670" i="2"/>
  <c r="BL670" i="2"/>
  <c r="BJ670" i="2"/>
  <c r="BI670" i="2"/>
  <c r="BG670" i="2"/>
  <c r="BF670" i="2"/>
  <c r="BD670" i="2"/>
  <c r="BC670" i="2"/>
  <c r="BA670" i="2"/>
  <c r="AZ670" i="2"/>
  <c r="AX670" i="2"/>
  <c r="AW670" i="2"/>
  <c r="AU670" i="2"/>
  <c r="AT670" i="2"/>
  <c r="U670" i="2"/>
  <c r="R670" i="2"/>
  <c r="S670" i="2" s="1"/>
  <c r="B670" i="2"/>
  <c r="BV669" i="2"/>
  <c r="BU669" i="2"/>
  <c r="BS669" i="2"/>
  <c r="BR669" i="2"/>
  <c r="BP669" i="2"/>
  <c r="BO669" i="2"/>
  <c r="BM669" i="2"/>
  <c r="BL669" i="2"/>
  <c r="BJ669" i="2"/>
  <c r="BI669" i="2"/>
  <c r="BG669" i="2"/>
  <c r="BF669" i="2"/>
  <c r="BD669" i="2"/>
  <c r="BC669" i="2"/>
  <c r="BA669" i="2"/>
  <c r="AZ669" i="2"/>
  <c r="AX669" i="2"/>
  <c r="AW669" i="2"/>
  <c r="AU669" i="2"/>
  <c r="AT669" i="2"/>
  <c r="U669" i="2"/>
  <c r="S669" i="2"/>
  <c r="R669" i="2"/>
  <c r="B669" i="2"/>
  <c r="BV668" i="2"/>
  <c r="BU668" i="2"/>
  <c r="BS668" i="2"/>
  <c r="BR668" i="2"/>
  <c r="BP668" i="2"/>
  <c r="BO668" i="2"/>
  <c r="BM668" i="2"/>
  <c r="BL668" i="2"/>
  <c r="BJ668" i="2"/>
  <c r="BI668" i="2"/>
  <c r="BG668" i="2"/>
  <c r="BF668" i="2"/>
  <c r="BD668" i="2"/>
  <c r="BC668" i="2"/>
  <c r="BA668" i="2"/>
  <c r="AZ668" i="2"/>
  <c r="AX668" i="2"/>
  <c r="AW668" i="2"/>
  <c r="AU668" i="2"/>
  <c r="AT668" i="2"/>
  <c r="U668" i="2"/>
  <c r="R668" i="2"/>
  <c r="B668" i="2"/>
  <c r="BV667" i="2"/>
  <c r="BU667" i="2"/>
  <c r="BS667" i="2"/>
  <c r="BR667" i="2"/>
  <c r="BP667" i="2"/>
  <c r="BO667" i="2"/>
  <c r="BM667" i="2"/>
  <c r="BL667" i="2"/>
  <c r="BJ667" i="2"/>
  <c r="BI667" i="2"/>
  <c r="BG667" i="2"/>
  <c r="BF667" i="2"/>
  <c r="BD667" i="2"/>
  <c r="BC667" i="2"/>
  <c r="BA667" i="2"/>
  <c r="AZ667" i="2"/>
  <c r="AX667" i="2"/>
  <c r="AW667" i="2"/>
  <c r="AU667" i="2"/>
  <c r="AT667" i="2"/>
  <c r="U667" i="2"/>
  <c r="S667" i="2"/>
  <c r="R667" i="2"/>
  <c r="B667" i="2"/>
  <c r="BV666" i="2"/>
  <c r="BU666" i="2"/>
  <c r="BS666" i="2"/>
  <c r="BR666" i="2"/>
  <c r="BP666" i="2"/>
  <c r="BO666" i="2"/>
  <c r="BM666" i="2"/>
  <c r="BL666" i="2"/>
  <c r="BJ666" i="2"/>
  <c r="BI666" i="2"/>
  <c r="BG666" i="2"/>
  <c r="BF666" i="2"/>
  <c r="BD666" i="2"/>
  <c r="BC666" i="2"/>
  <c r="BA666" i="2"/>
  <c r="AZ666" i="2"/>
  <c r="AX666" i="2"/>
  <c r="AW666" i="2"/>
  <c r="AU666" i="2"/>
  <c r="AT666" i="2"/>
  <c r="U666" i="2"/>
  <c r="R666" i="2"/>
  <c r="S666" i="2" s="1"/>
  <c r="B666" i="2"/>
  <c r="BV665" i="2"/>
  <c r="BU665" i="2"/>
  <c r="BS665" i="2"/>
  <c r="BR665" i="2"/>
  <c r="BP665" i="2"/>
  <c r="BP683" i="2" s="1"/>
  <c r="BO665" i="2"/>
  <c r="BM665" i="2"/>
  <c r="BL665" i="2"/>
  <c r="BJ665" i="2"/>
  <c r="BI665" i="2"/>
  <c r="BG665" i="2"/>
  <c r="BF665" i="2"/>
  <c r="BD665" i="2"/>
  <c r="BC665" i="2"/>
  <c r="BA665" i="2"/>
  <c r="AZ665" i="2"/>
  <c r="AX665" i="2"/>
  <c r="AW665" i="2"/>
  <c r="AU665" i="2"/>
  <c r="AT665" i="2"/>
  <c r="U665" i="2"/>
  <c r="S665" i="2"/>
  <c r="R665" i="2"/>
  <c r="B665" i="2"/>
  <c r="BV664" i="2"/>
  <c r="BU664" i="2"/>
  <c r="BS664" i="2"/>
  <c r="BR664" i="2"/>
  <c r="BR690" i="2" s="1"/>
  <c r="BR689" i="2" s="1"/>
  <c r="BP664" i="2"/>
  <c r="BO664" i="2"/>
  <c r="BM664" i="2"/>
  <c r="BL664" i="2"/>
  <c r="BL690" i="2" s="1"/>
  <c r="BL689" i="2" s="1"/>
  <c r="BJ664" i="2"/>
  <c r="BI664" i="2"/>
  <c r="BG664" i="2"/>
  <c r="BF664" i="2"/>
  <c r="BF690" i="2" s="1"/>
  <c r="BF689" i="2" s="1"/>
  <c r="BD664" i="2"/>
  <c r="BC664" i="2"/>
  <c r="BA664" i="2"/>
  <c r="AZ664" i="2"/>
  <c r="AZ690" i="2" s="1"/>
  <c r="AZ689" i="2" s="1"/>
  <c r="AX664" i="2"/>
  <c r="AW664" i="2"/>
  <c r="AU664" i="2"/>
  <c r="AT664" i="2"/>
  <c r="AT690" i="2" s="1"/>
  <c r="AT689" i="2" s="1"/>
  <c r="U664" i="2"/>
  <c r="S664" i="2"/>
  <c r="R664" i="2"/>
  <c r="B664" i="2"/>
  <c r="BV663" i="2"/>
  <c r="BV683" i="2" s="1"/>
  <c r="BU663" i="2"/>
  <c r="BS663" i="2"/>
  <c r="BS690" i="2" s="1"/>
  <c r="BS689" i="2" s="1"/>
  <c r="BR663" i="2"/>
  <c r="BP663" i="2"/>
  <c r="BP690" i="2" s="1"/>
  <c r="BP689" i="2" s="1"/>
  <c r="BP688" i="2" s="1"/>
  <c r="BO663" i="2"/>
  <c r="BO690" i="2" s="1"/>
  <c r="BO689" i="2" s="1"/>
  <c r="BM663" i="2"/>
  <c r="BM683" i="2" s="1"/>
  <c r="BL663" i="2"/>
  <c r="BJ663" i="2"/>
  <c r="BJ690" i="2" s="1"/>
  <c r="BJ689" i="2" s="1"/>
  <c r="BI663" i="2"/>
  <c r="BI690" i="2" s="1"/>
  <c r="BI689" i="2" s="1"/>
  <c r="BG663" i="2"/>
  <c r="BG683" i="2" s="1"/>
  <c r="BF663" i="2"/>
  <c r="BD663" i="2"/>
  <c r="BD690" i="2" s="1"/>
  <c r="BD689" i="2" s="1"/>
  <c r="BC663" i="2"/>
  <c r="BC690" i="2" s="1"/>
  <c r="BC689" i="2" s="1"/>
  <c r="BA663" i="2"/>
  <c r="BA683" i="2" s="1"/>
  <c r="AZ663" i="2"/>
  <c r="AX663" i="2"/>
  <c r="AX690" i="2" s="1"/>
  <c r="AX689" i="2" s="1"/>
  <c r="AW663" i="2"/>
  <c r="AW690" i="2" s="1"/>
  <c r="AW689" i="2" s="1"/>
  <c r="AU663" i="2"/>
  <c r="AU683" i="2" s="1"/>
  <c r="AT663" i="2"/>
  <c r="AR663" i="2"/>
  <c r="U663" i="2"/>
  <c r="R663" i="2"/>
  <c r="B663" i="2"/>
  <c r="AQ660" i="2"/>
  <c r="BV648" i="2"/>
  <c r="BU648" i="2"/>
  <c r="BS648" i="2"/>
  <c r="BR648" i="2"/>
  <c r="BP648" i="2"/>
  <c r="BO648" i="2"/>
  <c r="BM648" i="2"/>
  <c r="BL648" i="2"/>
  <c r="BJ648" i="2"/>
  <c r="BI648" i="2"/>
  <c r="BG648" i="2"/>
  <c r="BF648" i="2"/>
  <c r="BD648" i="2"/>
  <c r="BC648" i="2"/>
  <c r="BA648" i="2"/>
  <c r="AZ648" i="2"/>
  <c r="AX648" i="2"/>
  <c r="AW648" i="2"/>
  <c r="AU648" i="2"/>
  <c r="AT648" i="2"/>
  <c r="U648" i="2"/>
  <c r="R648" i="2"/>
  <c r="M648" i="2"/>
  <c r="B648" i="2"/>
  <c r="BV647" i="2"/>
  <c r="BU647" i="2"/>
  <c r="BS647" i="2"/>
  <c r="BR647" i="2"/>
  <c r="BP647" i="2"/>
  <c r="BO647" i="2"/>
  <c r="BM647" i="2"/>
  <c r="BL647" i="2"/>
  <c r="BJ647" i="2"/>
  <c r="BI647" i="2"/>
  <c r="BG647" i="2"/>
  <c r="BF647" i="2"/>
  <c r="BD647" i="2"/>
  <c r="BC647" i="2"/>
  <c r="BA647" i="2"/>
  <c r="AZ647" i="2"/>
  <c r="AX647" i="2"/>
  <c r="AW647" i="2"/>
  <c r="AU647" i="2"/>
  <c r="AT647" i="2"/>
  <c r="U647" i="2"/>
  <c r="R647" i="2"/>
  <c r="M647" i="2"/>
  <c r="B647" i="2"/>
  <c r="BV646" i="2"/>
  <c r="BU646" i="2"/>
  <c r="BS646" i="2"/>
  <c r="BR646" i="2"/>
  <c r="BP646" i="2"/>
  <c r="BO646" i="2"/>
  <c r="BM646" i="2"/>
  <c r="BL646" i="2"/>
  <c r="BJ646" i="2"/>
  <c r="BI646" i="2"/>
  <c r="BG646" i="2"/>
  <c r="BF646" i="2"/>
  <c r="BD646" i="2"/>
  <c r="BC646" i="2"/>
  <c r="BA646" i="2"/>
  <c r="AZ646" i="2"/>
  <c r="AX646" i="2"/>
  <c r="AW646" i="2"/>
  <c r="AU646" i="2"/>
  <c r="AT646" i="2"/>
  <c r="S646" i="2"/>
  <c r="R646" i="2"/>
  <c r="M646" i="2"/>
  <c r="U646" i="2" s="1"/>
  <c r="B646" i="2"/>
  <c r="BV645" i="2"/>
  <c r="BU645" i="2"/>
  <c r="BS645" i="2"/>
  <c r="BR645" i="2"/>
  <c r="BP645" i="2"/>
  <c r="BO645" i="2"/>
  <c r="BM645" i="2"/>
  <c r="BL645" i="2"/>
  <c r="BJ645" i="2"/>
  <c r="BI645" i="2"/>
  <c r="BG645" i="2"/>
  <c r="BF645" i="2"/>
  <c r="BD645" i="2"/>
  <c r="BC645" i="2"/>
  <c r="BA645" i="2"/>
  <c r="AZ645" i="2"/>
  <c r="AX645" i="2"/>
  <c r="AW645" i="2"/>
  <c r="AU645" i="2"/>
  <c r="AT645" i="2"/>
  <c r="U645" i="2"/>
  <c r="R645" i="2"/>
  <c r="S645" i="2" s="1"/>
  <c r="M645" i="2"/>
  <c r="B645" i="2"/>
  <c r="BV644" i="2"/>
  <c r="BU644" i="2"/>
  <c r="BS644" i="2"/>
  <c r="BR644" i="2"/>
  <c r="BP644" i="2"/>
  <c r="BO644" i="2"/>
  <c r="BM644" i="2"/>
  <c r="BL644" i="2"/>
  <c r="BJ644" i="2"/>
  <c r="BI644" i="2"/>
  <c r="BG644" i="2"/>
  <c r="BF644" i="2"/>
  <c r="BD644" i="2"/>
  <c r="BC644" i="2"/>
  <c r="BA644" i="2"/>
  <c r="AZ644" i="2"/>
  <c r="AX644" i="2"/>
  <c r="AW644" i="2"/>
  <c r="AU644" i="2"/>
  <c r="AT644" i="2"/>
  <c r="R644" i="2"/>
  <c r="M644" i="2"/>
  <c r="U644" i="2" s="1"/>
  <c r="B644" i="2"/>
  <c r="BV643" i="2"/>
  <c r="BU643" i="2"/>
  <c r="BS643" i="2"/>
  <c r="BR643" i="2"/>
  <c r="BP643" i="2"/>
  <c r="BO643" i="2"/>
  <c r="BM643" i="2"/>
  <c r="BL643" i="2"/>
  <c r="BJ643" i="2"/>
  <c r="BI643" i="2"/>
  <c r="BG643" i="2"/>
  <c r="BF643" i="2"/>
  <c r="BD643" i="2"/>
  <c r="BC643" i="2"/>
  <c r="BA643" i="2"/>
  <c r="AZ643" i="2"/>
  <c r="AX643" i="2"/>
  <c r="AW643" i="2"/>
  <c r="AU643" i="2"/>
  <c r="AT643" i="2"/>
  <c r="U643" i="2"/>
  <c r="S643" i="2"/>
  <c r="R643" i="2"/>
  <c r="M643" i="2"/>
  <c r="B643" i="2"/>
  <c r="BV642" i="2"/>
  <c r="BU642" i="2"/>
  <c r="BS642" i="2"/>
  <c r="BR642" i="2"/>
  <c r="BP642" i="2"/>
  <c r="BO642" i="2"/>
  <c r="BM642" i="2"/>
  <c r="BL642" i="2"/>
  <c r="BJ642" i="2"/>
  <c r="BI642" i="2"/>
  <c r="BG642" i="2"/>
  <c r="BF642" i="2"/>
  <c r="BD642" i="2"/>
  <c r="BC642" i="2"/>
  <c r="BA642" i="2"/>
  <c r="AZ642" i="2"/>
  <c r="AX642" i="2"/>
  <c r="AW642" i="2"/>
  <c r="AU642" i="2"/>
  <c r="AT642" i="2"/>
  <c r="R642" i="2"/>
  <c r="M642" i="2"/>
  <c r="U642" i="2" s="1"/>
  <c r="B642" i="2"/>
  <c r="BV641" i="2"/>
  <c r="BU641" i="2"/>
  <c r="BS641" i="2"/>
  <c r="BR641" i="2"/>
  <c r="BP641" i="2"/>
  <c r="BO641" i="2"/>
  <c r="BM641" i="2"/>
  <c r="BL641" i="2"/>
  <c r="BJ641" i="2"/>
  <c r="BI641" i="2"/>
  <c r="BG641" i="2"/>
  <c r="BF641" i="2"/>
  <c r="BD641" i="2"/>
  <c r="BC641" i="2"/>
  <c r="BA641" i="2"/>
  <c r="AZ641" i="2"/>
  <c r="AX641" i="2"/>
  <c r="AW641" i="2"/>
  <c r="AU641" i="2"/>
  <c r="AT641" i="2"/>
  <c r="S641" i="2"/>
  <c r="R641" i="2"/>
  <c r="M641" i="2"/>
  <c r="U641" i="2" s="1"/>
  <c r="B641" i="2"/>
  <c r="BV640" i="2"/>
  <c r="BU640" i="2"/>
  <c r="BS640" i="2"/>
  <c r="BR640" i="2"/>
  <c r="BP640" i="2"/>
  <c r="BO640" i="2"/>
  <c r="BM640" i="2"/>
  <c r="BL640" i="2"/>
  <c r="BJ640" i="2"/>
  <c r="BI640" i="2"/>
  <c r="BG640" i="2"/>
  <c r="BF640" i="2"/>
  <c r="BD640" i="2"/>
  <c r="BC640" i="2"/>
  <c r="BA640" i="2"/>
  <c r="AZ640" i="2"/>
  <c r="AX640" i="2"/>
  <c r="AW640" i="2"/>
  <c r="AU640" i="2"/>
  <c r="AT640" i="2"/>
  <c r="U640" i="2"/>
  <c r="S640" i="2"/>
  <c r="R640" i="2"/>
  <c r="M640" i="2"/>
  <c r="B640" i="2"/>
  <c r="BV639" i="2"/>
  <c r="BU639" i="2"/>
  <c r="BS639" i="2"/>
  <c r="BR639" i="2"/>
  <c r="BP639" i="2"/>
  <c r="BO639" i="2"/>
  <c r="BM639" i="2"/>
  <c r="BL639" i="2"/>
  <c r="BJ639" i="2"/>
  <c r="BI639" i="2"/>
  <c r="BG639" i="2"/>
  <c r="BF639" i="2"/>
  <c r="BD639" i="2"/>
  <c r="BC639" i="2"/>
  <c r="BA639" i="2"/>
  <c r="AZ639" i="2"/>
  <c r="AX639" i="2"/>
  <c r="AW639" i="2"/>
  <c r="AU639" i="2"/>
  <c r="AT639" i="2"/>
  <c r="U639" i="2"/>
  <c r="R639" i="2"/>
  <c r="S639" i="2" s="1"/>
  <c r="M639" i="2"/>
  <c r="B639" i="2"/>
  <c r="BV638" i="2"/>
  <c r="BU638" i="2"/>
  <c r="BS638" i="2"/>
  <c r="BR638" i="2"/>
  <c r="BP638" i="2"/>
  <c r="BO638" i="2"/>
  <c r="BM638" i="2"/>
  <c r="BL638" i="2"/>
  <c r="BJ638" i="2"/>
  <c r="BI638" i="2"/>
  <c r="BG638" i="2"/>
  <c r="BF638" i="2"/>
  <c r="BD638" i="2"/>
  <c r="BC638" i="2"/>
  <c r="BA638" i="2"/>
  <c r="AZ638" i="2"/>
  <c r="AX638" i="2"/>
  <c r="AW638" i="2"/>
  <c r="AU638" i="2"/>
  <c r="AT638" i="2"/>
  <c r="R638" i="2"/>
  <c r="M638" i="2"/>
  <c r="U638" i="2" s="1"/>
  <c r="B638" i="2"/>
  <c r="BV637" i="2"/>
  <c r="BU637" i="2"/>
  <c r="BS637" i="2"/>
  <c r="BR637" i="2"/>
  <c r="BP637" i="2"/>
  <c r="BO637" i="2"/>
  <c r="BM637" i="2"/>
  <c r="BL637" i="2"/>
  <c r="BJ637" i="2"/>
  <c r="BI637" i="2"/>
  <c r="BG637" i="2"/>
  <c r="BF637" i="2"/>
  <c r="BD637" i="2"/>
  <c r="BC637" i="2"/>
  <c r="BA637" i="2"/>
  <c r="AZ637" i="2"/>
  <c r="AX637" i="2"/>
  <c r="AW637" i="2"/>
  <c r="AU637" i="2"/>
  <c r="AT637" i="2"/>
  <c r="U637" i="2"/>
  <c r="S637" i="2"/>
  <c r="R637" i="2"/>
  <c r="M637" i="2"/>
  <c r="B637" i="2"/>
  <c r="BV636" i="2"/>
  <c r="BU636" i="2"/>
  <c r="BS636" i="2"/>
  <c r="BR636" i="2"/>
  <c r="BP636" i="2"/>
  <c r="BO636" i="2"/>
  <c r="BM636" i="2"/>
  <c r="BL636" i="2"/>
  <c r="BJ636" i="2"/>
  <c r="BI636" i="2"/>
  <c r="BG636" i="2"/>
  <c r="BF636" i="2"/>
  <c r="BD636" i="2"/>
  <c r="BC636" i="2"/>
  <c r="BA636" i="2"/>
  <c r="AZ636" i="2"/>
  <c r="AX636" i="2"/>
  <c r="AW636" i="2"/>
  <c r="AU636" i="2"/>
  <c r="AT636" i="2"/>
  <c r="R636" i="2"/>
  <c r="S636" i="2" s="1"/>
  <c r="M636" i="2"/>
  <c r="U636" i="2" s="1"/>
  <c r="B636" i="2"/>
  <c r="BV635" i="2"/>
  <c r="BU635" i="2"/>
  <c r="BS635" i="2"/>
  <c r="BR635" i="2"/>
  <c r="BP635" i="2"/>
  <c r="BO635" i="2"/>
  <c r="BM635" i="2"/>
  <c r="BL635" i="2"/>
  <c r="BJ635" i="2"/>
  <c r="BI635" i="2"/>
  <c r="BG635" i="2"/>
  <c r="BF635" i="2"/>
  <c r="BD635" i="2"/>
  <c r="BC635" i="2"/>
  <c r="BA635" i="2"/>
  <c r="AZ635" i="2"/>
  <c r="AX635" i="2"/>
  <c r="AW635" i="2"/>
  <c r="AU635" i="2"/>
  <c r="AT635" i="2"/>
  <c r="S635" i="2"/>
  <c r="R635" i="2"/>
  <c r="M635" i="2"/>
  <c r="U635" i="2" s="1"/>
  <c r="B635" i="2"/>
  <c r="BV634" i="2"/>
  <c r="BU634" i="2"/>
  <c r="BS634" i="2"/>
  <c r="BR634" i="2"/>
  <c r="BP634" i="2"/>
  <c r="BO634" i="2"/>
  <c r="BM634" i="2"/>
  <c r="BL634" i="2"/>
  <c r="BJ634" i="2"/>
  <c r="BI634" i="2"/>
  <c r="BG634" i="2"/>
  <c r="BF634" i="2"/>
  <c r="BD634" i="2"/>
  <c r="BC634" i="2"/>
  <c r="BA634" i="2"/>
  <c r="AZ634" i="2"/>
  <c r="AX634" i="2"/>
  <c r="AW634" i="2"/>
  <c r="AU634" i="2"/>
  <c r="AT634" i="2"/>
  <c r="U634" i="2"/>
  <c r="S634" i="2"/>
  <c r="R634" i="2"/>
  <c r="M634" i="2"/>
  <c r="B634" i="2"/>
  <c r="BV633" i="2"/>
  <c r="BU633" i="2"/>
  <c r="BS633" i="2"/>
  <c r="BR633" i="2"/>
  <c r="BP633" i="2"/>
  <c r="BO633" i="2"/>
  <c r="BM633" i="2"/>
  <c r="BL633" i="2"/>
  <c r="BJ633" i="2"/>
  <c r="BI633" i="2"/>
  <c r="BG633" i="2"/>
  <c r="BF633" i="2"/>
  <c r="BD633" i="2"/>
  <c r="BC633" i="2"/>
  <c r="BA633" i="2"/>
  <c r="AZ633" i="2"/>
  <c r="AX633" i="2"/>
  <c r="AW633" i="2"/>
  <c r="AU633" i="2"/>
  <c r="AT633" i="2"/>
  <c r="U633" i="2"/>
  <c r="R633" i="2"/>
  <c r="S633" i="2" s="1"/>
  <c r="M633" i="2"/>
  <c r="B633" i="2"/>
  <c r="BV632" i="2"/>
  <c r="BU632" i="2"/>
  <c r="BS632" i="2"/>
  <c r="BR632" i="2"/>
  <c r="BP632" i="2"/>
  <c r="BO632" i="2"/>
  <c r="BM632" i="2"/>
  <c r="BL632" i="2"/>
  <c r="BJ632" i="2"/>
  <c r="BI632" i="2"/>
  <c r="BG632" i="2"/>
  <c r="BF632" i="2"/>
  <c r="BD632" i="2"/>
  <c r="BC632" i="2"/>
  <c r="BA632" i="2"/>
  <c r="AZ632" i="2"/>
  <c r="AX632" i="2"/>
  <c r="AW632" i="2"/>
  <c r="AU632" i="2"/>
  <c r="AT632" i="2"/>
  <c r="R632" i="2"/>
  <c r="M632" i="2"/>
  <c r="U632" i="2" s="1"/>
  <c r="B632" i="2"/>
  <c r="BV631" i="2"/>
  <c r="BU631" i="2"/>
  <c r="BS631" i="2"/>
  <c r="BR631" i="2"/>
  <c r="BP631" i="2"/>
  <c r="BO631" i="2"/>
  <c r="BM631" i="2"/>
  <c r="BL631" i="2"/>
  <c r="BJ631" i="2"/>
  <c r="BI631" i="2"/>
  <c r="BG631" i="2"/>
  <c r="BF631" i="2"/>
  <c r="BD631" i="2"/>
  <c r="BC631" i="2"/>
  <c r="BA631" i="2"/>
  <c r="AZ631" i="2"/>
  <c r="AX631" i="2"/>
  <c r="AW631" i="2"/>
  <c r="AU631" i="2"/>
  <c r="AT631" i="2"/>
  <c r="U631" i="2"/>
  <c r="S631" i="2"/>
  <c r="R631" i="2"/>
  <c r="M631" i="2"/>
  <c r="B631" i="2"/>
  <c r="BV630" i="2"/>
  <c r="BU630" i="2"/>
  <c r="BU656" i="2" s="1"/>
  <c r="BU655" i="2" s="1"/>
  <c r="BS630" i="2"/>
  <c r="BR630" i="2"/>
  <c r="BP630" i="2"/>
  <c r="BP649" i="2" s="1"/>
  <c r="BO630" i="2"/>
  <c r="BM630" i="2"/>
  <c r="BL630" i="2"/>
  <c r="BJ630" i="2"/>
  <c r="BJ649" i="2" s="1"/>
  <c r="BI630" i="2"/>
  <c r="BG630" i="2"/>
  <c r="BF630" i="2"/>
  <c r="BD630" i="2"/>
  <c r="BC630" i="2"/>
  <c r="BC656" i="2" s="1"/>
  <c r="BC655" i="2" s="1"/>
  <c r="BA630" i="2"/>
  <c r="AZ630" i="2"/>
  <c r="AX630" i="2"/>
  <c r="AW630" i="2"/>
  <c r="AU630" i="2"/>
  <c r="AT630" i="2"/>
  <c r="R630" i="2"/>
  <c r="S630" i="2" s="1"/>
  <c r="M630" i="2"/>
  <c r="U630" i="2" s="1"/>
  <c r="B630" i="2"/>
  <c r="BV629" i="2"/>
  <c r="BU629" i="2"/>
  <c r="BS629" i="2"/>
  <c r="BS649" i="2" s="1"/>
  <c r="BR629" i="2"/>
  <c r="BR656" i="2" s="1"/>
  <c r="BR655" i="2" s="1"/>
  <c r="BP629" i="2"/>
  <c r="BP656" i="2" s="1"/>
  <c r="BP655" i="2" s="1"/>
  <c r="BP654" i="2" s="1"/>
  <c r="BO629" i="2"/>
  <c r="BO649" i="2" s="1"/>
  <c r="BM629" i="2"/>
  <c r="BM656" i="2" s="1"/>
  <c r="BM655" i="2" s="1"/>
  <c r="BL629" i="2"/>
  <c r="BL656" i="2" s="1"/>
  <c r="BL655" i="2" s="1"/>
  <c r="BJ629" i="2"/>
  <c r="BJ656" i="2" s="1"/>
  <c r="BJ655" i="2" s="1"/>
  <c r="BI629" i="2"/>
  <c r="BI656" i="2" s="1"/>
  <c r="BI655" i="2" s="1"/>
  <c r="BG629" i="2"/>
  <c r="BF629" i="2"/>
  <c r="BF656" i="2" s="1"/>
  <c r="BF655" i="2" s="1"/>
  <c r="BD629" i="2"/>
  <c r="BC629" i="2"/>
  <c r="BA629" i="2"/>
  <c r="AZ629" i="2"/>
  <c r="AZ649" i="2" s="1"/>
  <c r="AX629" i="2"/>
  <c r="AX656" i="2" s="1"/>
  <c r="AX655" i="2" s="1"/>
  <c r="AW629" i="2"/>
  <c r="AW649" i="2" s="1"/>
  <c r="AU629" i="2"/>
  <c r="AU656" i="2" s="1"/>
  <c r="AU655" i="2" s="1"/>
  <c r="AT629" i="2"/>
  <c r="AT656" i="2" s="1"/>
  <c r="AT655" i="2" s="1"/>
  <c r="U629" i="2"/>
  <c r="AR629" i="2" s="1"/>
  <c r="R629" i="2"/>
  <c r="R654" i="2" s="1"/>
  <c r="M629" i="2"/>
  <c r="B629" i="2"/>
  <c r="AQ626" i="2"/>
  <c r="BL621" i="2"/>
  <c r="BL620" i="2" s="1"/>
  <c r="BL615" i="2"/>
  <c r="AT615" i="2"/>
  <c r="BV614" i="2"/>
  <c r="BU614" i="2"/>
  <c r="BS614" i="2"/>
  <c r="BR614" i="2"/>
  <c r="BP614" i="2"/>
  <c r="BO614" i="2"/>
  <c r="BM614" i="2"/>
  <c r="BL614" i="2"/>
  <c r="BJ614" i="2"/>
  <c r="BI614" i="2"/>
  <c r="BG614" i="2"/>
  <c r="BF614" i="2"/>
  <c r="BD614" i="2"/>
  <c r="BC614" i="2"/>
  <c r="BA614" i="2"/>
  <c r="AZ614" i="2"/>
  <c r="AX614" i="2"/>
  <c r="AW614" i="2"/>
  <c r="AU614" i="2"/>
  <c r="AT614" i="2"/>
  <c r="U614" i="2"/>
  <c r="S614" i="2"/>
  <c r="R614" i="2"/>
  <c r="M614" i="2"/>
  <c r="B614" i="2"/>
  <c r="BV613" i="2"/>
  <c r="BU613" i="2"/>
  <c r="BS613" i="2"/>
  <c r="BR613" i="2"/>
  <c r="BP613" i="2"/>
  <c r="BO613" i="2"/>
  <c r="BM613" i="2"/>
  <c r="BL613" i="2"/>
  <c r="BJ613" i="2"/>
  <c r="BI613" i="2"/>
  <c r="BG613" i="2"/>
  <c r="BF613" i="2"/>
  <c r="BD613" i="2"/>
  <c r="BC613" i="2"/>
  <c r="BA613" i="2"/>
  <c r="AZ613" i="2"/>
  <c r="AX613" i="2"/>
  <c r="AW613" i="2"/>
  <c r="AU613" i="2"/>
  <c r="AT613" i="2"/>
  <c r="U613" i="2"/>
  <c r="R613" i="2"/>
  <c r="S613" i="2" s="1"/>
  <c r="M613" i="2"/>
  <c r="B613" i="2"/>
  <c r="BV612" i="2"/>
  <c r="BU612" i="2"/>
  <c r="BS612" i="2"/>
  <c r="BR612" i="2"/>
  <c r="BP612" i="2"/>
  <c r="BO612" i="2"/>
  <c r="BM612" i="2"/>
  <c r="BL612" i="2"/>
  <c r="BJ612" i="2"/>
  <c r="BI612" i="2"/>
  <c r="BG612" i="2"/>
  <c r="BF612" i="2"/>
  <c r="BD612" i="2"/>
  <c r="BC612" i="2"/>
  <c r="BA612" i="2"/>
  <c r="AZ612" i="2"/>
  <c r="AX612" i="2"/>
  <c r="AW612" i="2"/>
  <c r="AU612" i="2"/>
  <c r="AT612" i="2"/>
  <c r="R612" i="2"/>
  <c r="M612" i="2"/>
  <c r="U612" i="2" s="1"/>
  <c r="B612" i="2"/>
  <c r="BV611" i="2"/>
  <c r="BU611" i="2"/>
  <c r="BS611" i="2"/>
  <c r="BR611" i="2"/>
  <c r="BP611" i="2"/>
  <c r="BO611" i="2"/>
  <c r="BM611" i="2"/>
  <c r="BL611" i="2"/>
  <c r="BJ611" i="2"/>
  <c r="BI611" i="2"/>
  <c r="BG611" i="2"/>
  <c r="BF611" i="2"/>
  <c r="BD611" i="2"/>
  <c r="BC611" i="2"/>
  <c r="BA611" i="2"/>
  <c r="AZ611" i="2"/>
  <c r="AX611" i="2"/>
  <c r="AW611" i="2"/>
  <c r="AU611" i="2"/>
  <c r="AT611" i="2"/>
  <c r="U611" i="2"/>
  <c r="S611" i="2"/>
  <c r="R611" i="2"/>
  <c r="M611" i="2"/>
  <c r="B611" i="2"/>
  <c r="BV610" i="2"/>
  <c r="BU610" i="2"/>
  <c r="BS610" i="2"/>
  <c r="BR610" i="2"/>
  <c r="BP610" i="2"/>
  <c r="BO610" i="2"/>
  <c r="BM610" i="2"/>
  <c r="BL610" i="2"/>
  <c r="BJ610" i="2"/>
  <c r="BI610" i="2"/>
  <c r="BG610" i="2"/>
  <c r="BF610" i="2"/>
  <c r="BD610" i="2"/>
  <c r="BC610" i="2"/>
  <c r="BA610" i="2"/>
  <c r="AZ610" i="2"/>
  <c r="AX610" i="2"/>
  <c r="AW610" i="2"/>
  <c r="AU610" i="2"/>
  <c r="AT610" i="2"/>
  <c r="R610" i="2"/>
  <c r="S610" i="2" s="1"/>
  <c r="M610" i="2"/>
  <c r="U610" i="2" s="1"/>
  <c r="B610" i="2"/>
  <c r="BV609" i="2"/>
  <c r="BU609" i="2"/>
  <c r="BS609" i="2"/>
  <c r="BR609" i="2"/>
  <c r="BP609" i="2"/>
  <c r="BO609" i="2"/>
  <c r="BM609" i="2"/>
  <c r="BL609" i="2"/>
  <c r="BJ609" i="2"/>
  <c r="BI609" i="2"/>
  <c r="BG609" i="2"/>
  <c r="BF609" i="2"/>
  <c r="BD609" i="2"/>
  <c r="BC609" i="2"/>
  <c r="BA609" i="2"/>
  <c r="AZ609" i="2"/>
  <c r="AX609" i="2"/>
  <c r="AW609" i="2"/>
  <c r="AU609" i="2"/>
  <c r="AT609" i="2"/>
  <c r="S609" i="2"/>
  <c r="R609" i="2"/>
  <c r="M609" i="2"/>
  <c r="U609" i="2" s="1"/>
  <c r="B609" i="2"/>
  <c r="BV608" i="2"/>
  <c r="BU608" i="2"/>
  <c r="BS608" i="2"/>
  <c r="BR608" i="2"/>
  <c r="BP608" i="2"/>
  <c r="BO608" i="2"/>
  <c r="BM608" i="2"/>
  <c r="BL608" i="2"/>
  <c r="BJ608" i="2"/>
  <c r="BI608" i="2"/>
  <c r="BG608" i="2"/>
  <c r="BF608" i="2"/>
  <c r="BD608" i="2"/>
  <c r="BC608" i="2"/>
  <c r="BA608" i="2"/>
  <c r="AZ608" i="2"/>
  <c r="AX608" i="2"/>
  <c r="AW608" i="2"/>
  <c r="AU608" i="2"/>
  <c r="AT608" i="2"/>
  <c r="U608" i="2"/>
  <c r="S608" i="2"/>
  <c r="R608" i="2"/>
  <c r="M608" i="2"/>
  <c r="B608" i="2"/>
  <c r="BV607" i="2"/>
  <c r="BU607" i="2"/>
  <c r="BS607" i="2"/>
  <c r="BR607" i="2"/>
  <c r="BP607" i="2"/>
  <c r="BO607" i="2"/>
  <c r="BM607" i="2"/>
  <c r="BL607" i="2"/>
  <c r="BJ607" i="2"/>
  <c r="BI607" i="2"/>
  <c r="BG607" i="2"/>
  <c r="BF607" i="2"/>
  <c r="BD607" i="2"/>
  <c r="BC607" i="2"/>
  <c r="BA607" i="2"/>
  <c r="AZ607" i="2"/>
  <c r="AX607" i="2"/>
  <c r="AW607" i="2"/>
  <c r="AU607" i="2"/>
  <c r="AT607" i="2"/>
  <c r="U607" i="2"/>
  <c r="R607" i="2"/>
  <c r="S607" i="2" s="1"/>
  <c r="M607" i="2"/>
  <c r="B607" i="2"/>
  <c r="BV606" i="2"/>
  <c r="BU606" i="2"/>
  <c r="BS606" i="2"/>
  <c r="BR606" i="2"/>
  <c r="BP606" i="2"/>
  <c r="BO606" i="2"/>
  <c r="BM606" i="2"/>
  <c r="BL606" i="2"/>
  <c r="BJ606" i="2"/>
  <c r="BI606" i="2"/>
  <c r="BG606" i="2"/>
  <c r="BF606" i="2"/>
  <c r="BD606" i="2"/>
  <c r="BC606" i="2"/>
  <c r="BA606" i="2"/>
  <c r="AZ606" i="2"/>
  <c r="AX606" i="2"/>
  <c r="AW606" i="2"/>
  <c r="AU606" i="2"/>
  <c r="AT606" i="2"/>
  <c r="R606" i="2"/>
  <c r="M606" i="2"/>
  <c r="U606" i="2" s="1"/>
  <c r="B606" i="2"/>
  <c r="BV605" i="2"/>
  <c r="BU605" i="2"/>
  <c r="BS605" i="2"/>
  <c r="BR605" i="2"/>
  <c r="BP605" i="2"/>
  <c r="BO605" i="2"/>
  <c r="BM605" i="2"/>
  <c r="BL605" i="2"/>
  <c r="BJ605" i="2"/>
  <c r="BI605" i="2"/>
  <c r="BG605" i="2"/>
  <c r="BF605" i="2"/>
  <c r="BD605" i="2"/>
  <c r="BC605" i="2"/>
  <c r="BA605" i="2"/>
  <c r="AZ605" i="2"/>
  <c r="AX605" i="2"/>
  <c r="AW605" i="2"/>
  <c r="AU605" i="2"/>
  <c r="AT605" i="2"/>
  <c r="U605" i="2"/>
  <c r="S605" i="2"/>
  <c r="R605" i="2"/>
  <c r="M605" i="2"/>
  <c r="B605" i="2"/>
  <c r="BV604" i="2"/>
  <c r="BU604" i="2"/>
  <c r="BS604" i="2"/>
  <c r="BR604" i="2"/>
  <c r="BP604" i="2"/>
  <c r="BO604" i="2"/>
  <c r="BM604" i="2"/>
  <c r="BL604" i="2"/>
  <c r="BJ604" i="2"/>
  <c r="BI604" i="2"/>
  <c r="BG604" i="2"/>
  <c r="BF604" i="2"/>
  <c r="BD604" i="2"/>
  <c r="BC604" i="2"/>
  <c r="BA604" i="2"/>
  <c r="AZ604" i="2"/>
  <c r="AX604" i="2"/>
  <c r="AW604" i="2"/>
  <c r="AU604" i="2"/>
  <c r="AT604" i="2"/>
  <c r="R604" i="2"/>
  <c r="S604" i="2" s="1"/>
  <c r="M604" i="2"/>
  <c r="U604" i="2" s="1"/>
  <c r="B604" i="2"/>
  <c r="BV603" i="2"/>
  <c r="BU603" i="2"/>
  <c r="BS603" i="2"/>
  <c r="BR603" i="2"/>
  <c r="BP603" i="2"/>
  <c r="BO603" i="2"/>
  <c r="BM603" i="2"/>
  <c r="BL603" i="2"/>
  <c r="BJ603" i="2"/>
  <c r="BI603" i="2"/>
  <c r="BG603" i="2"/>
  <c r="BF603" i="2"/>
  <c r="BD603" i="2"/>
  <c r="BC603" i="2"/>
  <c r="BA603" i="2"/>
  <c r="AZ603" i="2"/>
  <c r="AX603" i="2"/>
  <c r="AW603" i="2"/>
  <c r="AU603" i="2"/>
  <c r="AT603" i="2"/>
  <c r="S603" i="2"/>
  <c r="R603" i="2"/>
  <c r="M603" i="2"/>
  <c r="U603" i="2" s="1"/>
  <c r="B603" i="2"/>
  <c r="BV602" i="2"/>
  <c r="BU602" i="2"/>
  <c r="BS602" i="2"/>
  <c r="BR602" i="2"/>
  <c r="BP602" i="2"/>
  <c r="BO602" i="2"/>
  <c r="BM602" i="2"/>
  <c r="BL602" i="2"/>
  <c r="BJ602" i="2"/>
  <c r="BI602" i="2"/>
  <c r="BG602" i="2"/>
  <c r="BF602" i="2"/>
  <c r="BD602" i="2"/>
  <c r="BC602" i="2"/>
  <c r="BA602" i="2"/>
  <c r="AZ602" i="2"/>
  <c r="AX602" i="2"/>
  <c r="AW602" i="2"/>
  <c r="AU602" i="2"/>
  <c r="AT602" i="2"/>
  <c r="U602" i="2"/>
  <c r="S602" i="2"/>
  <c r="R602" i="2"/>
  <c r="M602" i="2"/>
  <c r="B602" i="2"/>
  <c r="BV601" i="2"/>
  <c r="BU601" i="2"/>
  <c r="BS601" i="2"/>
  <c r="BR601" i="2"/>
  <c r="BP601" i="2"/>
  <c r="BO601" i="2"/>
  <c r="BM601" i="2"/>
  <c r="BL601" i="2"/>
  <c r="BJ601" i="2"/>
  <c r="BI601" i="2"/>
  <c r="BG601" i="2"/>
  <c r="BF601" i="2"/>
  <c r="BD601" i="2"/>
  <c r="BC601" i="2"/>
  <c r="BA601" i="2"/>
  <c r="AZ601" i="2"/>
  <c r="AX601" i="2"/>
  <c r="AW601" i="2"/>
  <c r="AU601" i="2"/>
  <c r="AT601" i="2"/>
  <c r="U601" i="2"/>
  <c r="R601" i="2"/>
  <c r="S601" i="2" s="1"/>
  <c r="M601" i="2"/>
  <c r="B601" i="2"/>
  <c r="BV600" i="2"/>
  <c r="BU600" i="2"/>
  <c r="BS600" i="2"/>
  <c r="BR600" i="2"/>
  <c r="BP600" i="2"/>
  <c r="BP622" i="2" s="1"/>
  <c r="BP621" i="2" s="1"/>
  <c r="BO600" i="2"/>
  <c r="BM600" i="2"/>
  <c r="BL600" i="2"/>
  <c r="BJ600" i="2"/>
  <c r="BI600" i="2"/>
  <c r="BG600" i="2"/>
  <c r="BF600" i="2"/>
  <c r="BD600" i="2"/>
  <c r="BC600" i="2"/>
  <c r="BA600" i="2"/>
  <c r="AZ600" i="2"/>
  <c r="AX600" i="2"/>
  <c r="AX622" i="2" s="1"/>
  <c r="AX621" i="2" s="1"/>
  <c r="AW600" i="2"/>
  <c r="AU600" i="2"/>
  <c r="AT600" i="2"/>
  <c r="R600" i="2"/>
  <c r="S600" i="2" s="1"/>
  <c r="M600" i="2"/>
  <c r="U600" i="2" s="1"/>
  <c r="B600" i="2"/>
  <c r="BV599" i="2"/>
  <c r="BU599" i="2"/>
  <c r="BS599" i="2"/>
  <c r="BR599" i="2"/>
  <c r="BP599" i="2"/>
  <c r="BO599" i="2"/>
  <c r="BM599" i="2"/>
  <c r="BL599" i="2"/>
  <c r="BJ599" i="2"/>
  <c r="BI599" i="2"/>
  <c r="BG599" i="2"/>
  <c r="BF599" i="2"/>
  <c r="BD599" i="2"/>
  <c r="BC599" i="2"/>
  <c r="BA599" i="2"/>
  <c r="AZ599" i="2"/>
  <c r="AX599" i="2"/>
  <c r="AW599" i="2"/>
  <c r="AU599" i="2"/>
  <c r="AT599" i="2"/>
  <c r="U599" i="2"/>
  <c r="S599" i="2"/>
  <c r="R599" i="2"/>
  <c r="M599" i="2"/>
  <c r="B599" i="2"/>
  <c r="BV598" i="2"/>
  <c r="BU598" i="2"/>
  <c r="BS598" i="2"/>
  <c r="BR598" i="2"/>
  <c r="BP598" i="2"/>
  <c r="BO598" i="2"/>
  <c r="BM598" i="2"/>
  <c r="BL598" i="2"/>
  <c r="BJ598" i="2"/>
  <c r="BI598" i="2"/>
  <c r="BG598" i="2"/>
  <c r="BF598" i="2"/>
  <c r="BD598" i="2"/>
  <c r="BC598" i="2"/>
  <c r="BA598" i="2"/>
  <c r="AZ598" i="2"/>
  <c r="AX598" i="2"/>
  <c r="AW598" i="2"/>
  <c r="AU598" i="2"/>
  <c r="AT598" i="2"/>
  <c r="R598" i="2"/>
  <c r="S598" i="2" s="1"/>
  <c r="M598" i="2"/>
  <c r="U598" i="2" s="1"/>
  <c r="B598" i="2"/>
  <c r="BV597" i="2"/>
  <c r="BU597" i="2"/>
  <c r="BS597" i="2"/>
  <c r="BR597" i="2"/>
  <c r="BP597" i="2"/>
  <c r="BO597" i="2"/>
  <c r="BM597" i="2"/>
  <c r="BL597" i="2"/>
  <c r="BJ597" i="2"/>
  <c r="BI597" i="2"/>
  <c r="BG597" i="2"/>
  <c r="BF597" i="2"/>
  <c r="BD597" i="2"/>
  <c r="BC597" i="2"/>
  <c r="BA597" i="2"/>
  <c r="AZ597" i="2"/>
  <c r="AX597" i="2"/>
  <c r="AW597" i="2"/>
  <c r="AU597" i="2"/>
  <c r="AT597" i="2"/>
  <c r="S597" i="2"/>
  <c r="R597" i="2"/>
  <c r="M597" i="2"/>
  <c r="U597" i="2" s="1"/>
  <c r="B597" i="2"/>
  <c r="BV596" i="2"/>
  <c r="BU596" i="2"/>
  <c r="BS596" i="2"/>
  <c r="BR596" i="2"/>
  <c r="BP596" i="2"/>
  <c r="BO596" i="2"/>
  <c r="BM596" i="2"/>
  <c r="BL596" i="2"/>
  <c r="BJ596" i="2"/>
  <c r="BI596" i="2"/>
  <c r="BI622" i="2" s="1"/>
  <c r="BI621" i="2" s="1"/>
  <c r="BG596" i="2"/>
  <c r="BF596" i="2"/>
  <c r="BD596" i="2"/>
  <c r="BC596" i="2"/>
  <c r="BA596" i="2"/>
  <c r="AZ596" i="2"/>
  <c r="AX596" i="2"/>
  <c r="AW596" i="2"/>
  <c r="AU596" i="2"/>
  <c r="AT596" i="2"/>
  <c r="U596" i="2"/>
  <c r="S596" i="2"/>
  <c r="R596" i="2"/>
  <c r="M596" i="2"/>
  <c r="B596" i="2"/>
  <c r="BV595" i="2"/>
  <c r="BV615" i="2" s="1"/>
  <c r="BU595" i="2"/>
  <c r="BU615" i="2" s="1"/>
  <c r="BS595" i="2"/>
  <c r="BR595" i="2"/>
  <c r="BR615" i="2" s="1"/>
  <c r="BP595" i="2"/>
  <c r="BO595" i="2"/>
  <c r="BO615" i="2" s="1"/>
  <c r="BM595" i="2"/>
  <c r="BL595" i="2"/>
  <c r="BL622" i="2" s="1"/>
  <c r="BJ595" i="2"/>
  <c r="BI595" i="2"/>
  <c r="BG595" i="2"/>
  <c r="BF595" i="2"/>
  <c r="BF615" i="2" s="1"/>
  <c r="BD595" i="2"/>
  <c r="BD615" i="2" s="1"/>
  <c r="BC595" i="2"/>
  <c r="BC615" i="2" s="1"/>
  <c r="BA595" i="2"/>
  <c r="AZ595" i="2"/>
  <c r="AZ615" i="2" s="1"/>
  <c r="AX595" i="2"/>
  <c r="AW595" i="2"/>
  <c r="AW615" i="2" s="1"/>
  <c r="AU595" i="2"/>
  <c r="AT595" i="2"/>
  <c r="AT622" i="2" s="1"/>
  <c r="AT621" i="2" s="1"/>
  <c r="AT620" i="2" s="1"/>
  <c r="S595" i="2"/>
  <c r="R595" i="2"/>
  <c r="R620" i="2" s="1"/>
  <c r="M595" i="2"/>
  <c r="U595" i="2" s="1"/>
  <c r="AR595" i="2" s="1"/>
  <c r="B595" i="2"/>
  <c r="AQ592" i="2"/>
  <c r="BV586" i="2"/>
  <c r="BV585" i="2" s="1"/>
  <c r="BV584" i="2" s="1"/>
  <c r="BV578" i="2"/>
  <c r="BU578" i="2"/>
  <c r="BS578" i="2"/>
  <c r="BR578" i="2"/>
  <c r="BP578" i="2"/>
  <c r="BO578" i="2"/>
  <c r="BM578" i="2"/>
  <c r="BL578" i="2"/>
  <c r="BJ578" i="2"/>
  <c r="BI578" i="2"/>
  <c r="BG578" i="2"/>
  <c r="BF578" i="2"/>
  <c r="BD578" i="2"/>
  <c r="BC578" i="2"/>
  <c r="BA578" i="2"/>
  <c r="AZ578" i="2"/>
  <c r="AX578" i="2"/>
  <c r="AW578" i="2"/>
  <c r="AU578" i="2"/>
  <c r="AT578" i="2"/>
  <c r="U578" i="2"/>
  <c r="R578" i="2"/>
  <c r="S578" i="2" s="1"/>
  <c r="B578" i="2"/>
  <c r="BV577" i="2"/>
  <c r="BU577" i="2"/>
  <c r="BS577" i="2"/>
  <c r="BR577" i="2"/>
  <c r="BP577" i="2"/>
  <c r="BO577" i="2"/>
  <c r="BM577" i="2"/>
  <c r="BL577" i="2"/>
  <c r="BJ577" i="2"/>
  <c r="BI577" i="2"/>
  <c r="BG577" i="2"/>
  <c r="BF577" i="2"/>
  <c r="BD577" i="2"/>
  <c r="BC577" i="2"/>
  <c r="BA577" i="2"/>
  <c r="AZ577" i="2"/>
  <c r="AX577" i="2"/>
  <c r="AW577" i="2"/>
  <c r="AU577" i="2"/>
  <c r="AT577" i="2"/>
  <c r="U577" i="2"/>
  <c r="R577" i="2"/>
  <c r="B577" i="2"/>
  <c r="BV576" i="2"/>
  <c r="BU576" i="2"/>
  <c r="BS576" i="2"/>
  <c r="BR576" i="2"/>
  <c r="BP576" i="2"/>
  <c r="BO576" i="2"/>
  <c r="BM576" i="2"/>
  <c r="BL576" i="2"/>
  <c r="BJ576" i="2"/>
  <c r="BI576" i="2"/>
  <c r="BG576" i="2"/>
  <c r="BF576" i="2"/>
  <c r="BD576" i="2"/>
  <c r="BC576" i="2"/>
  <c r="BA576" i="2"/>
  <c r="AZ576" i="2"/>
  <c r="AX576" i="2"/>
  <c r="AW576" i="2"/>
  <c r="AU576" i="2"/>
  <c r="AT576" i="2"/>
  <c r="U576" i="2"/>
  <c r="R576" i="2"/>
  <c r="B576" i="2"/>
  <c r="BV575" i="2"/>
  <c r="BU575" i="2"/>
  <c r="BS575" i="2"/>
  <c r="BR575" i="2"/>
  <c r="BP575" i="2"/>
  <c r="BO575" i="2"/>
  <c r="BM575" i="2"/>
  <c r="BL575" i="2"/>
  <c r="BJ575" i="2"/>
  <c r="BI575" i="2"/>
  <c r="BG575" i="2"/>
  <c r="BF575" i="2"/>
  <c r="BD575" i="2"/>
  <c r="BC575" i="2"/>
  <c r="BA575" i="2"/>
  <c r="AZ575" i="2"/>
  <c r="AX575" i="2"/>
  <c r="AW575" i="2"/>
  <c r="AU575" i="2"/>
  <c r="AT575" i="2"/>
  <c r="U575" i="2"/>
  <c r="S575" i="2"/>
  <c r="R575" i="2"/>
  <c r="B575" i="2"/>
  <c r="BV574" i="2"/>
  <c r="BU574" i="2"/>
  <c r="BS574" i="2"/>
  <c r="BR574" i="2"/>
  <c r="BP574" i="2"/>
  <c r="BO574" i="2"/>
  <c r="BM574" i="2"/>
  <c r="BL574" i="2"/>
  <c r="BJ574" i="2"/>
  <c r="BI574" i="2"/>
  <c r="BG574" i="2"/>
  <c r="BF574" i="2"/>
  <c r="BD574" i="2"/>
  <c r="BC574" i="2"/>
  <c r="BA574" i="2"/>
  <c r="AZ574" i="2"/>
  <c r="AX574" i="2"/>
  <c r="AW574" i="2"/>
  <c r="AU574" i="2"/>
  <c r="AT574" i="2"/>
  <c r="U574" i="2"/>
  <c r="R574" i="2"/>
  <c r="S574" i="2" s="1"/>
  <c r="B574" i="2"/>
  <c r="BV573" i="2"/>
  <c r="BU573" i="2"/>
  <c r="BS573" i="2"/>
  <c r="BR573" i="2"/>
  <c r="BP573" i="2"/>
  <c r="BO573" i="2"/>
  <c r="BM573" i="2"/>
  <c r="BL573" i="2"/>
  <c r="BJ573" i="2"/>
  <c r="BI573" i="2"/>
  <c r="BG573" i="2"/>
  <c r="BF573" i="2"/>
  <c r="BD573" i="2"/>
  <c r="BC573" i="2"/>
  <c r="BA573" i="2"/>
  <c r="AZ573" i="2"/>
  <c r="AX573" i="2"/>
  <c r="AW573" i="2"/>
  <c r="AU573" i="2"/>
  <c r="AT573" i="2"/>
  <c r="U573" i="2"/>
  <c r="R573" i="2"/>
  <c r="B573" i="2"/>
  <c r="BV572" i="2"/>
  <c r="BU572" i="2"/>
  <c r="BS572" i="2"/>
  <c r="BR572" i="2"/>
  <c r="BP572" i="2"/>
  <c r="BO572" i="2"/>
  <c r="BM572" i="2"/>
  <c r="BL572" i="2"/>
  <c r="BJ572" i="2"/>
  <c r="BI572" i="2"/>
  <c r="BG572" i="2"/>
  <c r="BF572" i="2"/>
  <c r="BD572" i="2"/>
  <c r="BC572" i="2"/>
  <c r="BA572" i="2"/>
  <c r="AZ572" i="2"/>
  <c r="AX572" i="2"/>
  <c r="AW572" i="2"/>
  <c r="AU572" i="2"/>
  <c r="AT572" i="2"/>
  <c r="U572" i="2"/>
  <c r="S572" i="2"/>
  <c r="R572" i="2"/>
  <c r="B572" i="2"/>
  <c r="BV571" i="2"/>
  <c r="BU571" i="2"/>
  <c r="BS571" i="2"/>
  <c r="BR571" i="2"/>
  <c r="BP571" i="2"/>
  <c r="BO571" i="2"/>
  <c r="BM571" i="2"/>
  <c r="BL571" i="2"/>
  <c r="BJ571" i="2"/>
  <c r="BI571" i="2"/>
  <c r="BG571" i="2"/>
  <c r="BF571" i="2"/>
  <c r="BD571" i="2"/>
  <c r="BC571" i="2"/>
  <c r="BA571" i="2"/>
  <c r="AZ571" i="2"/>
  <c r="AX571" i="2"/>
  <c r="AW571" i="2"/>
  <c r="AU571" i="2"/>
  <c r="AT571" i="2"/>
  <c r="U571" i="2"/>
  <c r="S571" i="2"/>
  <c r="R571" i="2"/>
  <c r="B571" i="2"/>
  <c r="BV570" i="2"/>
  <c r="BU570" i="2"/>
  <c r="BS570" i="2"/>
  <c r="BR570" i="2"/>
  <c r="BP570" i="2"/>
  <c r="BO570" i="2"/>
  <c r="BM570" i="2"/>
  <c r="BL570" i="2"/>
  <c r="BJ570" i="2"/>
  <c r="BI570" i="2"/>
  <c r="BG570" i="2"/>
  <c r="BF570" i="2"/>
  <c r="BD570" i="2"/>
  <c r="BC570" i="2"/>
  <c r="BA570" i="2"/>
  <c r="AZ570" i="2"/>
  <c r="AX570" i="2"/>
  <c r="AW570" i="2"/>
  <c r="AU570" i="2"/>
  <c r="AT570" i="2"/>
  <c r="U570" i="2"/>
  <c r="S570" i="2"/>
  <c r="R570" i="2"/>
  <c r="B570" i="2"/>
  <c r="BV569" i="2"/>
  <c r="BU569" i="2"/>
  <c r="BS569" i="2"/>
  <c r="BR569" i="2"/>
  <c r="BP569" i="2"/>
  <c r="BO569" i="2"/>
  <c r="BM569" i="2"/>
  <c r="BL569" i="2"/>
  <c r="BJ569" i="2"/>
  <c r="BI569" i="2"/>
  <c r="BG569" i="2"/>
  <c r="BF569" i="2"/>
  <c r="BD569" i="2"/>
  <c r="BC569" i="2"/>
  <c r="BA569" i="2"/>
  <c r="AZ569" i="2"/>
  <c r="AX569" i="2"/>
  <c r="AW569" i="2"/>
  <c r="AU569" i="2"/>
  <c r="AT569" i="2"/>
  <c r="U569" i="2"/>
  <c r="R569" i="2"/>
  <c r="S569" i="2" s="1"/>
  <c r="B569" i="2"/>
  <c r="BV568" i="2"/>
  <c r="BU568" i="2"/>
  <c r="BS568" i="2"/>
  <c r="BR568" i="2"/>
  <c r="BP568" i="2"/>
  <c r="BO568" i="2"/>
  <c r="BM568" i="2"/>
  <c r="BL568" i="2"/>
  <c r="BJ568" i="2"/>
  <c r="BI568" i="2"/>
  <c r="BG568" i="2"/>
  <c r="BF568" i="2"/>
  <c r="BD568" i="2"/>
  <c r="BC568" i="2"/>
  <c r="BA568" i="2"/>
  <c r="AZ568" i="2"/>
  <c r="AX568" i="2"/>
  <c r="AW568" i="2"/>
  <c r="AU568" i="2"/>
  <c r="AT568" i="2"/>
  <c r="U568" i="2"/>
  <c r="R568" i="2"/>
  <c r="B568" i="2"/>
  <c r="BV567" i="2"/>
  <c r="BU567" i="2"/>
  <c r="BS567" i="2"/>
  <c r="BR567" i="2"/>
  <c r="BP567" i="2"/>
  <c r="BO567" i="2"/>
  <c r="BM567" i="2"/>
  <c r="BL567" i="2"/>
  <c r="BJ567" i="2"/>
  <c r="BI567" i="2"/>
  <c r="BG567" i="2"/>
  <c r="BF567" i="2"/>
  <c r="BD567" i="2"/>
  <c r="BC567" i="2"/>
  <c r="BA567" i="2"/>
  <c r="AZ567" i="2"/>
  <c r="AX567" i="2"/>
  <c r="AW567" i="2"/>
  <c r="AU567" i="2"/>
  <c r="AT567" i="2"/>
  <c r="U567" i="2"/>
  <c r="S567" i="2"/>
  <c r="R567" i="2"/>
  <c r="B567" i="2"/>
  <c r="BV566" i="2"/>
  <c r="BU566" i="2"/>
  <c r="BS566" i="2"/>
  <c r="BR566" i="2"/>
  <c r="BP566" i="2"/>
  <c r="BO566" i="2"/>
  <c r="BM566" i="2"/>
  <c r="BL566" i="2"/>
  <c r="BJ566" i="2"/>
  <c r="BI566" i="2"/>
  <c r="BG566" i="2"/>
  <c r="BF566" i="2"/>
  <c r="BD566" i="2"/>
  <c r="BC566" i="2"/>
  <c r="BA566" i="2"/>
  <c r="AZ566" i="2"/>
  <c r="AX566" i="2"/>
  <c r="AW566" i="2"/>
  <c r="AU566" i="2"/>
  <c r="AT566" i="2"/>
  <c r="U566" i="2"/>
  <c r="R566" i="2"/>
  <c r="S566" i="2" s="1"/>
  <c r="B566" i="2"/>
  <c r="BV565" i="2"/>
  <c r="BU565" i="2"/>
  <c r="BS565" i="2"/>
  <c r="BR565" i="2"/>
  <c r="BP565" i="2"/>
  <c r="BO565" i="2"/>
  <c r="BM565" i="2"/>
  <c r="BL565" i="2"/>
  <c r="BJ565" i="2"/>
  <c r="BI565" i="2"/>
  <c r="BG565" i="2"/>
  <c r="BF565" i="2"/>
  <c r="BD565" i="2"/>
  <c r="BC565" i="2"/>
  <c r="BA565" i="2"/>
  <c r="AZ565" i="2"/>
  <c r="AX565" i="2"/>
  <c r="AW565" i="2"/>
  <c r="AU565" i="2"/>
  <c r="AT565" i="2"/>
  <c r="U565" i="2"/>
  <c r="S565" i="2"/>
  <c r="R565" i="2"/>
  <c r="B565" i="2"/>
  <c r="BV564" i="2"/>
  <c r="BU564" i="2"/>
  <c r="BS564" i="2"/>
  <c r="BR564" i="2"/>
  <c r="BP564" i="2"/>
  <c r="BO564" i="2"/>
  <c r="BM564" i="2"/>
  <c r="BL564" i="2"/>
  <c r="BJ564" i="2"/>
  <c r="BI564" i="2"/>
  <c r="BG564" i="2"/>
  <c r="BF564" i="2"/>
  <c r="BD564" i="2"/>
  <c r="BC564" i="2"/>
  <c r="BA564" i="2"/>
  <c r="AZ564" i="2"/>
  <c r="AX564" i="2"/>
  <c r="AW564" i="2"/>
  <c r="AU564" i="2"/>
  <c r="AT564" i="2"/>
  <c r="U564" i="2"/>
  <c r="S564" i="2"/>
  <c r="R564" i="2"/>
  <c r="B564" i="2"/>
  <c r="BV563" i="2"/>
  <c r="BU563" i="2"/>
  <c r="BS563" i="2"/>
  <c r="BR563" i="2"/>
  <c r="BP563" i="2"/>
  <c r="BO563" i="2"/>
  <c r="BM563" i="2"/>
  <c r="BL563" i="2"/>
  <c r="BJ563" i="2"/>
  <c r="BI563" i="2"/>
  <c r="BG563" i="2"/>
  <c r="BF563" i="2"/>
  <c r="BD563" i="2"/>
  <c r="BC563" i="2"/>
  <c r="BA563" i="2"/>
  <c r="AZ563" i="2"/>
  <c r="AX563" i="2"/>
  <c r="AW563" i="2"/>
  <c r="AU563" i="2"/>
  <c r="AT563" i="2"/>
  <c r="U563" i="2"/>
  <c r="S563" i="2"/>
  <c r="R563" i="2"/>
  <c r="B563" i="2"/>
  <c r="BV562" i="2"/>
  <c r="BU562" i="2"/>
  <c r="BS562" i="2"/>
  <c r="BR562" i="2"/>
  <c r="BP562" i="2"/>
  <c r="BO562" i="2"/>
  <c r="BM562" i="2"/>
  <c r="BL562" i="2"/>
  <c r="BJ562" i="2"/>
  <c r="BI562" i="2"/>
  <c r="BG562" i="2"/>
  <c r="BF562" i="2"/>
  <c r="BD562" i="2"/>
  <c r="BC562" i="2"/>
  <c r="BA562" i="2"/>
  <c r="AZ562" i="2"/>
  <c r="AX562" i="2"/>
  <c r="AW562" i="2"/>
  <c r="AU562" i="2"/>
  <c r="AT562" i="2"/>
  <c r="U562" i="2"/>
  <c r="R562" i="2"/>
  <c r="S562" i="2" s="1"/>
  <c r="B562" i="2"/>
  <c r="BV561" i="2"/>
  <c r="BU561" i="2"/>
  <c r="BS561" i="2"/>
  <c r="BR561" i="2"/>
  <c r="BP561" i="2"/>
  <c r="BO561" i="2"/>
  <c r="BM561" i="2"/>
  <c r="BL561" i="2"/>
  <c r="BJ561" i="2"/>
  <c r="BI561" i="2"/>
  <c r="BG561" i="2"/>
  <c r="BF561" i="2"/>
  <c r="BD561" i="2"/>
  <c r="BC561" i="2"/>
  <c r="BA561" i="2"/>
  <c r="AZ561" i="2"/>
  <c r="AX561" i="2"/>
  <c r="AW561" i="2"/>
  <c r="AU561" i="2"/>
  <c r="AT561" i="2"/>
  <c r="U561" i="2"/>
  <c r="R561" i="2"/>
  <c r="B561" i="2"/>
  <c r="BV560" i="2"/>
  <c r="BV579" i="2" s="1"/>
  <c r="BU560" i="2"/>
  <c r="BS560" i="2"/>
  <c r="BR560" i="2"/>
  <c r="BP560" i="2"/>
  <c r="BO560" i="2"/>
  <c r="BM560" i="2"/>
  <c r="BL560" i="2"/>
  <c r="BJ560" i="2"/>
  <c r="BI560" i="2"/>
  <c r="BG560" i="2"/>
  <c r="BF560" i="2"/>
  <c r="BD560" i="2"/>
  <c r="BD579" i="2" s="1"/>
  <c r="BC560" i="2"/>
  <c r="BA560" i="2"/>
  <c r="AZ560" i="2"/>
  <c r="AX560" i="2"/>
  <c r="AW560" i="2"/>
  <c r="AU560" i="2"/>
  <c r="AT560" i="2"/>
  <c r="U560" i="2"/>
  <c r="S560" i="2"/>
  <c r="R560" i="2"/>
  <c r="B560" i="2"/>
  <c r="BV559" i="2"/>
  <c r="BU559" i="2"/>
  <c r="BS559" i="2"/>
  <c r="BR559" i="2"/>
  <c r="BP559" i="2"/>
  <c r="BO559" i="2"/>
  <c r="BM559" i="2"/>
  <c r="BL559" i="2"/>
  <c r="BJ559" i="2"/>
  <c r="BJ579" i="2" s="1"/>
  <c r="BI559" i="2"/>
  <c r="BG559" i="2"/>
  <c r="BF559" i="2"/>
  <c r="BD559" i="2"/>
  <c r="BC559" i="2"/>
  <c r="BA559" i="2"/>
  <c r="AZ559" i="2"/>
  <c r="AX559" i="2"/>
  <c r="AW559" i="2"/>
  <c r="AU559" i="2"/>
  <c r="AT559" i="2"/>
  <c r="U559" i="2"/>
  <c r="AR559" i="2" s="1"/>
  <c r="S559" i="2"/>
  <c r="R559" i="2"/>
  <c r="B559" i="2"/>
  <c r="AQ556" i="2"/>
  <c r="BV544" i="2"/>
  <c r="BU544" i="2"/>
  <c r="BS544" i="2"/>
  <c r="BR544" i="2"/>
  <c r="BP544" i="2"/>
  <c r="BO544" i="2"/>
  <c r="BM544" i="2"/>
  <c r="BL544" i="2"/>
  <c r="BJ544" i="2"/>
  <c r="BI544" i="2"/>
  <c r="BG544" i="2"/>
  <c r="BF544" i="2"/>
  <c r="BD544" i="2"/>
  <c r="BC544" i="2"/>
  <c r="BA544" i="2"/>
  <c r="AZ544" i="2"/>
  <c r="AX544" i="2"/>
  <c r="AW544" i="2"/>
  <c r="AU544" i="2"/>
  <c r="AT544" i="2"/>
  <c r="U544" i="2"/>
  <c r="S544" i="2"/>
  <c r="R544" i="2"/>
  <c r="M544" i="2"/>
  <c r="B544" i="2"/>
  <c r="BV543" i="2"/>
  <c r="BU543" i="2"/>
  <c r="BS543" i="2"/>
  <c r="BR543" i="2"/>
  <c r="BP543" i="2"/>
  <c r="BO543" i="2"/>
  <c r="BM543" i="2"/>
  <c r="BL543" i="2"/>
  <c r="BJ543" i="2"/>
  <c r="BI543" i="2"/>
  <c r="BG543" i="2"/>
  <c r="BF543" i="2"/>
  <c r="BD543" i="2"/>
  <c r="BC543" i="2"/>
  <c r="BA543" i="2"/>
  <c r="AZ543" i="2"/>
  <c r="AX543" i="2"/>
  <c r="AW543" i="2"/>
  <c r="AU543" i="2"/>
  <c r="AT543" i="2"/>
  <c r="U543" i="2"/>
  <c r="R543" i="2"/>
  <c r="M543" i="2"/>
  <c r="B543" i="2"/>
  <c r="BV542" i="2"/>
  <c r="BU542" i="2"/>
  <c r="BS542" i="2"/>
  <c r="BR542" i="2"/>
  <c r="BP542" i="2"/>
  <c r="BO542" i="2"/>
  <c r="BM542" i="2"/>
  <c r="BL542" i="2"/>
  <c r="BJ542" i="2"/>
  <c r="BI542" i="2"/>
  <c r="BG542" i="2"/>
  <c r="BF542" i="2"/>
  <c r="BD542" i="2"/>
  <c r="BC542" i="2"/>
  <c r="BA542" i="2"/>
  <c r="AZ542" i="2"/>
  <c r="AX542" i="2"/>
  <c r="AW542" i="2"/>
  <c r="AU542" i="2"/>
  <c r="AT542" i="2"/>
  <c r="S542" i="2"/>
  <c r="R542" i="2"/>
  <c r="M542" i="2"/>
  <c r="U542" i="2" s="1"/>
  <c r="B542" i="2"/>
  <c r="BV541" i="2"/>
  <c r="BU541" i="2"/>
  <c r="BS541" i="2"/>
  <c r="BR541" i="2"/>
  <c r="BP541" i="2"/>
  <c r="BO541" i="2"/>
  <c r="BM541" i="2"/>
  <c r="BL541" i="2"/>
  <c r="BJ541" i="2"/>
  <c r="BI541" i="2"/>
  <c r="BG541" i="2"/>
  <c r="BF541" i="2"/>
  <c r="BD541" i="2"/>
  <c r="BC541" i="2"/>
  <c r="BA541" i="2"/>
  <c r="AZ541" i="2"/>
  <c r="AX541" i="2"/>
  <c r="AW541" i="2"/>
  <c r="AU541" i="2"/>
  <c r="AT541" i="2"/>
  <c r="U541" i="2"/>
  <c r="R541" i="2"/>
  <c r="M541" i="2"/>
  <c r="B541" i="2"/>
  <c r="BV540" i="2"/>
  <c r="BU540" i="2"/>
  <c r="BS540" i="2"/>
  <c r="BR540" i="2"/>
  <c r="BP540" i="2"/>
  <c r="BO540" i="2"/>
  <c r="BM540" i="2"/>
  <c r="BL540" i="2"/>
  <c r="BJ540" i="2"/>
  <c r="BI540" i="2"/>
  <c r="BG540" i="2"/>
  <c r="BF540" i="2"/>
  <c r="BD540" i="2"/>
  <c r="BC540" i="2"/>
  <c r="BA540" i="2"/>
  <c r="AZ540" i="2"/>
  <c r="AX540" i="2"/>
  <c r="AW540" i="2"/>
  <c r="AU540" i="2"/>
  <c r="AT540" i="2"/>
  <c r="R540" i="2"/>
  <c r="S540" i="2" s="1"/>
  <c r="M540" i="2"/>
  <c r="U540" i="2" s="1"/>
  <c r="B540" i="2"/>
  <c r="BV539" i="2"/>
  <c r="BU539" i="2"/>
  <c r="BS539" i="2"/>
  <c r="BR539" i="2"/>
  <c r="BP539" i="2"/>
  <c r="BO539" i="2"/>
  <c r="BM539" i="2"/>
  <c r="BL539" i="2"/>
  <c r="BJ539" i="2"/>
  <c r="BI539" i="2"/>
  <c r="BG539" i="2"/>
  <c r="BF539" i="2"/>
  <c r="BD539" i="2"/>
  <c r="BC539" i="2"/>
  <c r="BA539" i="2"/>
  <c r="AZ539" i="2"/>
  <c r="AX539" i="2"/>
  <c r="AW539" i="2"/>
  <c r="AU539" i="2"/>
  <c r="AT539" i="2"/>
  <c r="R539" i="2"/>
  <c r="S539" i="2" s="1"/>
  <c r="M539" i="2"/>
  <c r="U539" i="2" s="1"/>
  <c r="B539" i="2"/>
  <c r="BV538" i="2"/>
  <c r="BU538" i="2"/>
  <c r="BS538" i="2"/>
  <c r="BR538" i="2"/>
  <c r="BP538" i="2"/>
  <c r="BO538" i="2"/>
  <c r="BM538" i="2"/>
  <c r="BL538" i="2"/>
  <c r="BL545" i="2" s="1"/>
  <c r="BJ538" i="2"/>
  <c r="BI538" i="2"/>
  <c r="BG538" i="2"/>
  <c r="BF538" i="2"/>
  <c r="BD538" i="2"/>
  <c r="BC538" i="2"/>
  <c r="BA538" i="2"/>
  <c r="AZ538" i="2"/>
  <c r="AX538" i="2"/>
  <c r="AW538" i="2"/>
  <c r="AU538" i="2"/>
  <c r="AT538" i="2"/>
  <c r="S538" i="2"/>
  <c r="R538" i="2"/>
  <c r="M538" i="2"/>
  <c r="U538" i="2" s="1"/>
  <c r="B538" i="2"/>
  <c r="BV537" i="2"/>
  <c r="BU537" i="2"/>
  <c r="BS537" i="2"/>
  <c r="BR537" i="2"/>
  <c r="BP537" i="2"/>
  <c r="BO537" i="2"/>
  <c r="BM537" i="2"/>
  <c r="BL537" i="2"/>
  <c r="BJ537" i="2"/>
  <c r="BI537" i="2"/>
  <c r="BG537" i="2"/>
  <c r="BF537" i="2"/>
  <c r="BD537" i="2"/>
  <c r="BC537" i="2"/>
  <c r="BA537" i="2"/>
  <c r="AZ537" i="2"/>
  <c r="AX537" i="2"/>
  <c r="AW537" i="2"/>
  <c r="AU537" i="2"/>
  <c r="AT537" i="2"/>
  <c r="R537" i="2"/>
  <c r="M537" i="2"/>
  <c r="U537" i="2" s="1"/>
  <c r="B537" i="2"/>
  <c r="BV536" i="2"/>
  <c r="BU536" i="2"/>
  <c r="BS536" i="2"/>
  <c r="BR536" i="2"/>
  <c r="BP536" i="2"/>
  <c r="BO536" i="2"/>
  <c r="BM536" i="2"/>
  <c r="BL536" i="2"/>
  <c r="BJ536" i="2"/>
  <c r="BI536" i="2"/>
  <c r="BG536" i="2"/>
  <c r="BF536" i="2"/>
  <c r="BD536" i="2"/>
  <c r="BC536" i="2"/>
  <c r="BA536" i="2"/>
  <c r="AZ536" i="2"/>
  <c r="AX536" i="2"/>
  <c r="AW536" i="2"/>
  <c r="AU536" i="2"/>
  <c r="AT536" i="2"/>
  <c r="U536" i="2"/>
  <c r="S536" i="2"/>
  <c r="R536" i="2"/>
  <c r="M536" i="2"/>
  <c r="B536" i="2"/>
  <c r="BV535" i="2"/>
  <c r="BU535" i="2"/>
  <c r="BS535" i="2"/>
  <c r="BR535" i="2"/>
  <c r="BP535" i="2"/>
  <c r="BO535" i="2"/>
  <c r="BM535" i="2"/>
  <c r="BL535" i="2"/>
  <c r="BJ535" i="2"/>
  <c r="BI535" i="2"/>
  <c r="BG535" i="2"/>
  <c r="BF535" i="2"/>
  <c r="BD535" i="2"/>
  <c r="BC535" i="2"/>
  <c r="BA535" i="2"/>
  <c r="AZ535" i="2"/>
  <c r="AX535" i="2"/>
  <c r="AW535" i="2"/>
  <c r="AU535" i="2"/>
  <c r="AT535" i="2"/>
  <c r="U535" i="2"/>
  <c r="R535" i="2"/>
  <c r="M535" i="2"/>
  <c r="B535" i="2"/>
  <c r="BV534" i="2"/>
  <c r="BV552" i="2" s="1"/>
  <c r="BV551" i="2" s="1"/>
  <c r="BU534" i="2"/>
  <c r="BS534" i="2"/>
  <c r="BR534" i="2"/>
  <c r="BP534" i="2"/>
  <c r="BO534" i="2"/>
  <c r="BM534" i="2"/>
  <c r="BL534" i="2"/>
  <c r="BJ534" i="2"/>
  <c r="BI534" i="2"/>
  <c r="BG534" i="2"/>
  <c r="BF534" i="2"/>
  <c r="BD534" i="2"/>
  <c r="BC534" i="2"/>
  <c r="BA534" i="2"/>
  <c r="AZ534" i="2"/>
  <c r="AX534" i="2"/>
  <c r="AW534" i="2"/>
  <c r="AU534" i="2"/>
  <c r="AT534" i="2"/>
  <c r="U534" i="2"/>
  <c r="R534" i="2"/>
  <c r="S534" i="2" s="1"/>
  <c r="M534" i="2"/>
  <c r="B534" i="2"/>
  <c r="BV533" i="2"/>
  <c r="BU533" i="2"/>
  <c r="BS533" i="2"/>
  <c r="BR533" i="2"/>
  <c r="BP533" i="2"/>
  <c r="BO533" i="2"/>
  <c r="BM533" i="2"/>
  <c r="BL533" i="2"/>
  <c r="BJ533" i="2"/>
  <c r="BI533" i="2"/>
  <c r="BG533" i="2"/>
  <c r="BF533" i="2"/>
  <c r="BD533" i="2"/>
  <c r="BC533" i="2"/>
  <c r="BA533" i="2"/>
  <c r="AZ533" i="2"/>
  <c r="AX533" i="2"/>
  <c r="AW533" i="2"/>
  <c r="AU533" i="2"/>
  <c r="AT533" i="2"/>
  <c r="R533" i="2"/>
  <c r="S533" i="2" s="1"/>
  <c r="M533" i="2"/>
  <c r="U533" i="2" s="1"/>
  <c r="B533" i="2"/>
  <c r="BV532" i="2"/>
  <c r="BU532" i="2"/>
  <c r="BS532" i="2"/>
  <c r="BR532" i="2"/>
  <c r="BP532" i="2"/>
  <c r="BO532" i="2"/>
  <c r="BM532" i="2"/>
  <c r="BL532" i="2"/>
  <c r="BJ532" i="2"/>
  <c r="BI532" i="2"/>
  <c r="BG532" i="2"/>
  <c r="BF532" i="2"/>
  <c r="BD532" i="2"/>
  <c r="BC532" i="2"/>
  <c r="BA532" i="2"/>
  <c r="AZ532" i="2"/>
  <c r="AX532" i="2"/>
  <c r="AW532" i="2"/>
  <c r="AU532" i="2"/>
  <c r="AT532" i="2"/>
  <c r="S532" i="2"/>
  <c r="R532" i="2"/>
  <c r="M532" i="2"/>
  <c r="U532" i="2" s="1"/>
  <c r="B532" i="2"/>
  <c r="BV531" i="2"/>
  <c r="BU531" i="2"/>
  <c r="BS531" i="2"/>
  <c r="BR531" i="2"/>
  <c r="BP531" i="2"/>
  <c r="BO531" i="2"/>
  <c r="BM531" i="2"/>
  <c r="BL531" i="2"/>
  <c r="BJ531" i="2"/>
  <c r="BI531" i="2"/>
  <c r="BG531" i="2"/>
  <c r="BF531" i="2"/>
  <c r="BD531" i="2"/>
  <c r="BC531" i="2"/>
  <c r="BA531" i="2"/>
  <c r="AZ531" i="2"/>
  <c r="AX531" i="2"/>
  <c r="AW531" i="2"/>
  <c r="AU531" i="2"/>
  <c r="AT531" i="2"/>
  <c r="U531" i="2"/>
  <c r="R531" i="2"/>
  <c r="M531" i="2"/>
  <c r="B531" i="2"/>
  <c r="BV530" i="2"/>
  <c r="BU530" i="2"/>
  <c r="BS530" i="2"/>
  <c r="BR530" i="2"/>
  <c r="BP530" i="2"/>
  <c r="BO530" i="2"/>
  <c r="BM530" i="2"/>
  <c r="BL530" i="2"/>
  <c r="BJ530" i="2"/>
  <c r="BI530" i="2"/>
  <c r="BG530" i="2"/>
  <c r="BF530" i="2"/>
  <c r="BD530" i="2"/>
  <c r="BC530" i="2"/>
  <c r="BA530" i="2"/>
  <c r="AZ530" i="2"/>
  <c r="AX530" i="2"/>
  <c r="AW530" i="2"/>
  <c r="AU530" i="2"/>
  <c r="AT530" i="2"/>
  <c r="S530" i="2"/>
  <c r="R530" i="2"/>
  <c r="M530" i="2"/>
  <c r="U530" i="2" s="1"/>
  <c r="B530" i="2"/>
  <c r="BV529" i="2"/>
  <c r="BU529" i="2"/>
  <c r="BS529" i="2"/>
  <c r="BR529" i="2"/>
  <c r="BP529" i="2"/>
  <c r="BO529" i="2"/>
  <c r="BM529" i="2"/>
  <c r="BL529" i="2"/>
  <c r="BJ529" i="2"/>
  <c r="BI529" i="2"/>
  <c r="BG529" i="2"/>
  <c r="BF529" i="2"/>
  <c r="BD529" i="2"/>
  <c r="BC529" i="2"/>
  <c r="BA529" i="2"/>
  <c r="AZ529" i="2"/>
  <c r="AX529" i="2"/>
  <c r="AW529" i="2"/>
  <c r="AU529" i="2"/>
  <c r="AT529" i="2"/>
  <c r="U529" i="2"/>
  <c r="R529" i="2"/>
  <c r="M529" i="2"/>
  <c r="B529" i="2"/>
  <c r="BV528" i="2"/>
  <c r="BU528" i="2"/>
  <c r="BS528" i="2"/>
  <c r="BR528" i="2"/>
  <c r="BP528" i="2"/>
  <c r="BO528" i="2"/>
  <c r="BM528" i="2"/>
  <c r="BL528" i="2"/>
  <c r="BJ528" i="2"/>
  <c r="BI528" i="2"/>
  <c r="BI552" i="2" s="1"/>
  <c r="BI551" i="2" s="1"/>
  <c r="BG528" i="2"/>
  <c r="BF528" i="2"/>
  <c r="BD528" i="2"/>
  <c r="BC528" i="2"/>
  <c r="BA528" i="2"/>
  <c r="AZ528" i="2"/>
  <c r="AX528" i="2"/>
  <c r="AW528" i="2"/>
  <c r="AU528" i="2"/>
  <c r="AT528" i="2"/>
  <c r="U528" i="2"/>
  <c r="R528" i="2"/>
  <c r="S528" i="2" s="1"/>
  <c r="M528" i="2"/>
  <c r="B528" i="2"/>
  <c r="BV527" i="2"/>
  <c r="BU527" i="2"/>
  <c r="BS527" i="2"/>
  <c r="BR527" i="2"/>
  <c r="BP527" i="2"/>
  <c r="BO527" i="2"/>
  <c r="BM527" i="2"/>
  <c r="BL527" i="2"/>
  <c r="BJ527" i="2"/>
  <c r="BI527" i="2"/>
  <c r="BG527" i="2"/>
  <c r="BF527" i="2"/>
  <c r="BD527" i="2"/>
  <c r="BC527" i="2"/>
  <c r="BA527" i="2"/>
  <c r="AZ527" i="2"/>
  <c r="AX527" i="2"/>
  <c r="AW527" i="2"/>
  <c r="AU527" i="2"/>
  <c r="AT527" i="2"/>
  <c r="R527" i="2"/>
  <c r="S527" i="2" s="1"/>
  <c r="M527" i="2"/>
  <c r="U527" i="2" s="1"/>
  <c r="B527" i="2"/>
  <c r="BV526" i="2"/>
  <c r="BU526" i="2"/>
  <c r="BS526" i="2"/>
  <c r="BR526" i="2"/>
  <c r="BP526" i="2"/>
  <c r="BO526" i="2"/>
  <c r="BM526" i="2"/>
  <c r="BL526" i="2"/>
  <c r="BJ526" i="2"/>
  <c r="BI526" i="2"/>
  <c r="BI545" i="2" s="1"/>
  <c r="BG526" i="2"/>
  <c r="BF526" i="2"/>
  <c r="BD526" i="2"/>
  <c r="BC526" i="2"/>
  <c r="BA526" i="2"/>
  <c r="AZ526" i="2"/>
  <c r="AX526" i="2"/>
  <c r="AW526" i="2"/>
  <c r="AU526" i="2"/>
  <c r="AT526" i="2"/>
  <c r="S526" i="2"/>
  <c r="R526" i="2"/>
  <c r="M526" i="2"/>
  <c r="U526" i="2" s="1"/>
  <c r="B526" i="2"/>
  <c r="BV525" i="2"/>
  <c r="BU525" i="2"/>
  <c r="BS525" i="2"/>
  <c r="BS545" i="2" s="1"/>
  <c r="BR525" i="2"/>
  <c r="BR545" i="2" s="1"/>
  <c r="BP525" i="2"/>
  <c r="BO525" i="2"/>
  <c r="BM525" i="2"/>
  <c r="BL525" i="2"/>
  <c r="BJ525" i="2"/>
  <c r="BI525" i="2"/>
  <c r="BG525" i="2"/>
  <c r="BF525" i="2"/>
  <c r="BD525" i="2"/>
  <c r="BC525" i="2"/>
  <c r="BC552" i="2" s="1"/>
  <c r="BC551" i="2" s="1"/>
  <c r="BA525" i="2"/>
  <c r="BA545" i="2" s="1"/>
  <c r="AZ525" i="2"/>
  <c r="AZ545" i="2" s="1"/>
  <c r="AX525" i="2"/>
  <c r="AW525" i="2"/>
  <c r="AW552" i="2" s="1"/>
  <c r="AW551" i="2" s="1"/>
  <c r="AU525" i="2"/>
  <c r="AU552" i="2" s="1"/>
  <c r="AU551" i="2" s="1"/>
  <c r="AT525" i="2"/>
  <c r="AR525" i="2"/>
  <c r="R525" i="2"/>
  <c r="M525" i="2"/>
  <c r="U525" i="2" s="1"/>
  <c r="B525" i="2"/>
  <c r="AQ522" i="2"/>
  <c r="L508" i="2"/>
  <c r="BV504" i="2"/>
  <c r="BU504" i="2"/>
  <c r="BS504" i="2"/>
  <c r="BR504" i="2"/>
  <c r="BP504" i="2"/>
  <c r="BO504" i="2"/>
  <c r="BM504" i="2"/>
  <c r="BL504" i="2"/>
  <c r="BJ504" i="2"/>
  <c r="BI504" i="2"/>
  <c r="BG504" i="2"/>
  <c r="BF504" i="2"/>
  <c r="BD504" i="2"/>
  <c r="BC504" i="2"/>
  <c r="BA504" i="2"/>
  <c r="AZ504" i="2"/>
  <c r="AX504" i="2"/>
  <c r="AW504" i="2"/>
  <c r="AU504" i="2"/>
  <c r="AT504" i="2"/>
  <c r="R504" i="2"/>
  <c r="S504" i="2" s="1"/>
  <c r="M504" i="2"/>
  <c r="U504" i="2" s="1"/>
  <c r="B504" i="2"/>
  <c r="BV503" i="2"/>
  <c r="BU503" i="2"/>
  <c r="BS503" i="2"/>
  <c r="BR503" i="2"/>
  <c r="BP503" i="2"/>
  <c r="BO503" i="2"/>
  <c r="BM503" i="2"/>
  <c r="BL503" i="2"/>
  <c r="BJ503" i="2"/>
  <c r="BI503" i="2"/>
  <c r="BG503" i="2"/>
  <c r="BF503" i="2"/>
  <c r="BD503" i="2"/>
  <c r="BC503" i="2"/>
  <c r="BA503" i="2"/>
  <c r="AZ503" i="2"/>
  <c r="AX503" i="2"/>
  <c r="AW503" i="2"/>
  <c r="AU503" i="2"/>
  <c r="AT503" i="2"/>
  <c r="S503" i="2"/>
  <c r="R503" i="2"/>
  <c r="M503" i="2"/>
  <c r="U503" i="2" s="1"/>
  <c r="L503" i="2"/>
  <c r="J503" i="2"/>
  <c r="B503" i="2"/>
  <c r="BV502" i="2"/>
  <c r="BU502" i="2"/>
  <c r="BS502" i="2"/>
  <c r="BR502" i="2"/>
  <c r="BP502" i="2"/>
  <c r="BO502" i="2"/>
  <c r="BM502" i="2"/>
  <c r="BL502" i="2"/>
  <c r="BJ502" i="2"/>
  <c r="BI502" i="2"/>
  <c r="BG502" i="2"/>
  <c r="BF502" i="2"/>
  <c r="BD502" i="2"/>
  <c r="BC502" i="2"/>
  <c r="BA502" i="2"/>
  <c r="AZ502" i="2"/>
  <c r="AU502" i="2"/>
  <c r="AT502" i="2"/>
  <c r="U502" i="2"/>
  <c r="M502" i="2"/>
  <c r="J502" i="2"/>
  <c r="L502" i="2" s="1"/>
  <c r="R502" i="2" s="1"/>
  <c r="B502" i="2"/>
  <c r="BV501" i="2"/>
  <c r="BU501" i="2"/>
  <c r="BS501" i="2"/>
  <c r="BR501" i="2"/>
  <c r="BP501" i="2"/>
  <c r="BO501" i="2"/>
  <c r="BM501" i="2"/>
  <c r="BL501" i="2"/>
  <c r="BJ501" i="2"/>
  <c r="BI501" i="2"/>
  <c r="BG501" i="2"/>
  <c r="BF501" i="2"/>
  <c r="BD501" i="2"/>
  <c r="BC501" i="2"/>
  <c r="BA501" i="2"/>
  <c r="AZ501" i="2"/>
  <c r="AU501" i="2"/>
  <c r="AT501" i="2"/>
  <c r="M501" i="2"/>
  <c r="U501" i="2" s="1"/>
  <c r="J501" i="2"/>
  <c r="L501" i="2" s="1"/>
  <c r="R501" i="2" s="1"/>
  <c r="B501" i="2"/>
  <c r="BV500" i="2"/>
  <c r="BU500" i="2"/>
  <c r="BS500" i="2"/>
  <c r="BR500" i="2"/>
  <c r="BP500" i="2"/>
  <c r="BO500" i="2"/>
  <c r="BM500" i="2"/>
  <c r="BL500" i="2"/>
  <c r="BJ500" i="2"/>
  <c r="BI500" i="2"/>
  <c r="BG500" i="2"/>
  <c r="BF500" i="2"/>
  <c r="BD500" i="2"/>
  <c r="BC500" i="2"/>
  <c r="BA500" i="2"/>
  <c r="AZ500" i="2"/>
  <c r="AU500" i="2"/>
  <c r="AT500" i="2"/>
  <c r="M500" i="2"/>
  <c r="U500" i="2" s="1"/>
  <c r="L500" i="2"/>
  <c r="R500" i="2" s="1"/>
  <c r="J500" i="2"/>
  <c r="B500" i="2"/>
  <c r="BV499" i="2"/>
  <c r="BU499" i="2"/>
  <c r="BS499" i="2"/>
  <c r="BR499" i="2"/>
  <c r="BP499" i="2"/>
  <c r="BO499" i="2"/>
  <c r="BM499" i="2"/>
  <c r="BM505" i="2" s="1"/>
  <c r="BL499" i="2"/>
  <c r="BJ499" i="2"/>
  <c r="BI499" i="2"/>
  <c r="BG499" i="2"/>
  <c r="BF499" i="2"/>
  <c r="BD499" i="2"/>
  <c r="BC499" i="2"/>
  <c r="BA499" i="2"/>
  <c r="AZ499" i="2"/>
  <c r="AU499" i="2"/>
  <c r="AT499" i="2"/>
  <c r="U499" i="2"/>
  <c r="R499" i="2"/>
  <c r="M499" i="2"/>
  <c r="J499" i="2"/>
  <c r="L499" i="2" s="1"/>
  <c r="B499" i="2"/>
  <c r="BV498" i="2"/>
  <c r="BU498" i="2"/>
  <c r="BS498" i="2"/>
  <c r="BR498" i="2"/>
  <c r="BP498" i="2"/>
  <c r="BO498" i="2"/>
  <c r="BM498" i="2"/>
  <c r="BL498" i="2"/>
  <c r="BJ498" i="2"/>
  <c r="BI498" i="2"/>
  <c r="BG498" i="2"/>
  <c r="BF498" i="2"/>
  <c r="BD498" i="2"/>
  <c r="BC498" i="2"/>
  <c r="BA498" i="2"/>
  <c r="AZ498" i="2"/>
  <c r="AU498" i="2"/>
  <c r="AT498" i="2"/>
  <c r="U498" i="2"/>
  <c r="M498" i="2"/>
  <c r="J498" i="2"/>
  <c r="L498" i="2" s="1"/>
  <c r="R498" i="2" s="1"/>
  <c r="B498" i="2"/>
  <c r="BV497" i="2"/>
  <c r="BU497" i="2"/>
  <c r="BS497" i="2"/>
  <c r="BR497" i="2"/>
  <c r="BP497" i="2"/>
  <c r="BO497" i="2"/>
  <c r="BM497" i="2"/>
  <c r="BL497" i="2"/>
  <c r="BJ497" i="2"/>
  <c r="BI497" i="2"/>
  <c r="BG497" i="2"/>
  <c r="BF497" i="2"/>
  <c r="BD497" i="2"/>
  <c r="BC497" i="2"/>
  <c r="BA497" i="2"/>
  <c r="AZ497" i="2"/>
  <c r="AW497" i="2"/>
  <c r="AU497" i="2"/>
  <c r="AT497" i="2"/>
  <c r="S497" i="2"/>
  <c r="AX497" i="2" s="1"/>
  <c r="R497" i="2"/>
  <c r="M497" i="2"/>
  <c r="U497" i="2" s="1"/>
  <c r="L497" i="2"/>
  <c r="J497" i="2"/>
  <c r="B497" i="2"/>
  <c r="BV496" i="2"/>
  <c r="BU496" i="2"/>
  <c r="BS496" i="2"/>
  <c r="BR496" i="2"/>
  <c r="BP496" i="2"/>
  <c r="BO496" i="2"/>
  <c r="BM496" i="2"/>
  <c r="BL496" i="2"/>
  <c r="BJ496" i="2"/>
  <c r="BI496" i="2"/>
  <c r="BG496" i="2"/>
  <c r="BF496" i="2"/>
  <c r="BD496" i="2"/>
  <c r="BC496" i="2"/>
  <c r="BA496" i="2"/>
  <c r="AZ496" i="2"/>
  <c r="AU496" i="2"/>
  <c r="AT496" i="2"/>
  <c r="M496" i="2"/>
  <c r="U496" i="2" s="1"/>
  <c r="J496" i="2"/>
  <c r="L496" i="2" s="1"/>
  <c r="R496" i="2" s="1"/>
  <c r="B496" i="2"/>
  <c r="BV495" i="2"/>
  <c r="BU495" i="2"/>
  <c r="BS495" i="2"/>
  <c r="BR495" i="2"/>
  <c r="BP495" i="2"/>
  <c r="BO495" i="2"/>
  <c r="BM495" i="2"/>
  <c r="BL495" i="2"/>
  <c r="BJ495" i="2"/>
  <c r="BI495" i="2"/>
  <c r="BG495" i="2"/>
  <c r="BF495" i="2"/>
  <c r="BD495" i="2"/>
  <c r="BC495" i="2"/>
  <c r="BA495" i="2"/>
  <c r="AZ495" i="2"/>
  <c r="AU495" i="2"/>
  <c r="AT495" i="2"/>
  <c r="U495" i="2"/>
  <c r="M495" i="2"/>
  <c r="J495" i="2"/>
  <c r="L495" i="2" s="1"/>
  <c r="R495" i="2" s="1"/>
  <c r="B495" i="2"/>
  <c r="BV494" i="2"/>
  <c r="BU494" i="2"/>
  <c r="BS494" i="2"/>
  <c r="BR494" i="2"/>
  <c r="BP494" i="2"/>
  <c r="BO494" i="2"/>
  <c r="BM494" i="2"/>
  <c r="BL494" i="2"/>
  <c r="BJ494" i="2"/>
  <c r="BI494" i="2"/>
  <c r="BG494" i="2"/>
  <c r="BF494" i="2"/>
  <c r="BD494" i="2"/>
  <c r="BC494" i="2"/>
  <c r="BA494" i="2"/>
  <c r="AZ494" i="2"/>
  <c r="AU494" i="2"/>
  <c r="AT494" i="2"/>
  <c r="M494" i="2"/>
  <c r="U494" i="2" s="1"/>
  <c r="L494" i="2"/>
  <c r="R494" i="2" s="1"/>
  <c r="AW494" i="2" s="1"/>
  <c r="J494" i="2"/>
  <c r="B494" i="2"/>
  <c r="BV493" i="2"/>
  <c r="BU493" i="2"/>
  <c r="BS493" i="2"/>
  <c r="BR493" i="2"/>
  <c r="BP493" i="2"/>
  <c r="BO493" i="2"/>
  <c r="BM493" i="2"/>
  <c r="BL493" i="2"/>
  <c r="BJ493" i="2"/>
  <c r="BI493" i="2"/>
  <c r="BG493" i="2"/>
  <c r="BF493" i="2"/>
  <c r="BD493" i="2"/>
  <c r="BC493" i="2"/>
  <c r="BA493" i="2"/>
  <c r="AZ493" i="2"/>
  <c r="AU493" i="2"/>
  <c r="AT493" i="2"/>
  <c r="S493" i="2"/>
  <c r="AX493" i="2" s="1"/>
  <c r="R493" i="2"/>
  <c r="AW493" i="2" s="1"/>
  <c r="M493" i="2"/>
  <c r="U493" i="2" s="1"/>
  <c r="L493" i="2"/>
  <c r="J493" i="2"/>
  <c r="B493" i="2"/>
  <c r="BV492" i="2"/>
  <c r="BU492" i="2"/>
  <c r="BS492" i="2"/>
  <c r="BR492" i="2"/>
  <c r="BP492" i="2"/>
  <c r="BO492" i="2"/>
  <c r="BM492" i="2"/>
  <c r="BL492" i="2"/>
  <c r="BJ492" i="2"/>
  <c r="BI492" i="2"/>
  <c r="BG492" i="2"/>
  <c r="BF492" i="2"/>
  <c r="BD492" i="2"/>
  <c r="BC492" i="2"/>
  <c r="BA492" i="2"/>
  <c r="AZ492" i="2"/>
  <c r="AU492" i="2"/>
  <c r="AT492" i="2"/>
  <c r="U492" i="2"/>
  <c r="M492" i="2"/>
  <c r="J492" i="2"/>
  <c r="L492" i="2" s="1"/>
  <c r="R492" i="2" s="1"/>
  <c r="B492" i="2"/>
  <c r="BV491" i="2"/>
  <c r="BU491" i="2"/>
  <c r="BS491" i="2"/>
  <c r="BR491" i="2"/>
  <c r="BP491" i="2"/>
  <c r="BO491" i="2"/>
  <c r="BM491" i="2"/>
  <c r="BL491" i="2"/>
  <c r="BJ491" i="2"/>
  <c r="BI491" i="2"/>
  <c r="BG491" i="2"/>
  <c r="BF491" i="2"/>
  <c r="BD491" i="2"/>
  <c r="BC491" i="2"/>
  <c r="BA491" i="2"/>
  <c r="AZ491" i="2"/>
  <c r="AX491" i="2"/>
  <c r="AW491" i="2"/>
  <c r="AU491" i="2"/>
  <c r="AT491" i="2"/>
  <c r="U491" i="2"/>
  <c r="S491" i="2"/>
  <c r="R491" i="2"/>
  <c r="M491" i="2"/>
  <c r="L491" i="2"/>
  <c r="J491" i="2"/>
  <c r="B491" i="2"/>
  <c r="BV490" i="2"/>
  <c r="BU490" i="2"/>
  <c r="BS490" i="2"/>
  <c r="BR490" i="2"/>
  <c r="BP490" i="2"/>
  <c r="BO490" i="2"/>
  <c r="BM490" i="2"/>
  <c r="BL490" i="2"/>
  <c r="BJ490" i="2"/>
  <c r="BI490" i="2"/>
  <c r="BG490" i="2"/>
  <c r="BF490" i="2"/>
  <c r="BD490" i="2"/>
  <c r="BC490" i="2"/>
  <c r="BA490" i="2"/>
  <c r="AZ490" i="2"/>
  <c r="AU490" i="2"/>
  <c r="AT490" i="2"/>
  <c r="M490" i="2"/>
  <c r="U490" i="2" s="1"/>
  <c r="L490" i="2"/>
  <c r="R490" i="2" s="1"/>
  <c r="J490" i="2"/>
  <c r="B490" i="2"/>
  <c r="BV489" i="2"/>
  <c r="BU489" i="2"/>
  <c r="BS489" i="2"/>
  <c r="BR489" i="2"/>
  <c r="BP489" i="2"/>
  <c r="BO489" i="2"/>
  <c r="BM489" i="2"/>
  <c r="BL489" i="2"/>
  <c r="BJ489" i="2"/>
  <c r="BI489" i="2"/>
  <c r="BG489" i="2"/>
  <c r="BF489" i="2"/>
  <c r="BD489" i="2"/>
  <c r="BC489" i="2"/>
  <c r="BA489" i="2"/>
  <c r="AZ489" i="2"/>
  <c r="AU489" i="2"/>
  <c r="AT489" i="2"/>
  <c r="U489" i="2"/>
  <c r="M489" i="2"/>
  <c r="B489" i="2"/>
  <c r="BV488" i="2"/>
  <c r="BU488" i="2"/>
  <c r="BS488" i="2"/>
  <c r="BR488" i="2"/>
  <c r="BP488" i="2"/>
  <c r="BO488" i="2"/>
  <c r="BM488" i="2"/>
  <c r="BL488" i="2"/>
  <c r="BJ488" i="2"/>
  <c r="BI488" i="2"/>
  <c r="BG488" i="2"/>
  <c r="BF488" i="2"/>
  <c r="BD488" i="2"/>
  <c r="BC488" i="2"/>
  <c r="BA488" i="2"/>
  <c r="AZ488" i="2"/>
  <c r="AU488" i="2"/>
  <c r="AT488" i="2"/>
  <c r="M488" i="2"/>
  <c r="U488" i="2" s="1"/>
  <c r="J488" i="2"/>
  <c r="L488" i="2" s="1"/>
  <c r="R488" i="2" s="1"/>
  <c r="B488" i="2"/>
  <c r="BV487" i="2"/>
  <c r="BU487" i="2"/>
  <c r="BS487" i="2"/>
  <c r="BR487" i="2"/>
  <c r="BP487" i="2"/>
  <c r="BO487" i="2"/>
  <c r="BM487" i="2"/>
  <c r="BL487" i="2"/>
  <c r="BJ487" i="2"/>
  <c r="BJ512" i="2" s="1"/>
  <c r="BJ511" i="2" s="1"/>
  <c r="BJ510" i="2" s="1"/>
  <c r="BI487" i="2"/>
  <c r="BG487" i="2"/>
  <c r="BF487" i="2"/>
  <c r="BF512" i="2" s="1"/>
  <c r="BF511" i="2" s="1"/>
  <c r="BD487" i="2"/>
  <c r="BC487" i="2"/>
  <c r="BA487" i="2"/>
  <c r="AZ487" i="2"/>
  <c r="AU487" i="2"/>
  <c r="AT487" i="2"/>
  <c r="U487" i="2"/>
  <c r="M487" i="2"/>
  <c r="J487" i="2"/>
  <c r="L487" i="2" s="1"/>
  <c r="R487" i="2" s="1"/>
  <c r="B487" i="2"/>
  <c r="BV486" i="2"/>
  <c r="BU486" i="2"/>
  <c r="BU512" i="2" s="1"/>
  <c r="BU511" i="2" s="1"/>
  <c r="BS486" i="2"/>
  <c r="BR486" i="2"/>
  <c r="BP486" i="2"/>
  <c r="BO486" i="2"/>
  <c r="BM486" i="2"/>
  <c r="BL486" i="2"/>
  <c r="BJ486" i="2"/>
  <c r="BI486" i="2"/>
  <c r="BG486" i="2"/>
  <c r="BF486" i="2"/>
  <c r="BD486" i="2"/>
  <c r="BC486" i="2"/>
  <c r="BC512" i="2" s="1"/>
  <c r="BC511" i="2" s="1"/>
  <c r="BA486" i="2"/>
  <c r="AZ486" i="2"/>
  <c r="AU486" i="2"/>
  <c r="AT486" i="2"/>
  <c r="U486" i="2"/>
  <c r="M486" i="2"/>
  <c r="B486" i="2"/>
  <c r="BV485" i="2"/>
  <c r="BU485" i="2"/>
  <c r="BU505" i="2" s="1"/>
  <c r="BS485" i="2"/>
  <c r="BR485" i="2"/>
  <c r="BR505" i="2" s="1"/>
  <c r="BP485" i="2"/>
  <c r="BP512" i="2" s="1"/>
  <c r="BP511" i="2" s="1"/>
  <c r="BO485" i="2"/>
  <c r="BO512" i="2" s="1"/>
  <c r="BO511" i="2" s="1"/>
  <c r="BM485" i="2"/>
  <c r="BL485" i="2"/>
  <c r="BJ485" i="2"/>
  <c r="BJ505" i="2" s="1"/>
  <c r="BI485" i="2"/>
  <c r="BI512" i="2" s="1"/>
  <c r="BI511" i="2" s="1"/>
  <c r="BG485" i="2"/>
  <c r="BF485" i="2"/>
  <c r="BD485" i="2"/>
  <c r="BC485" i="2"/>
  <c r="BA485" i="2"/>
  <c r="AZ485" i="2"/>
  <c r="AZ505" i="2" s="1"/>
  <c r="AX485" i="2"/>
  <c r="AW485" i="2"/>
  <c r="AU485" i="2"/>
  <c r="AT485" i="2"/>
  <c r="R485" i="2"/>
  <c r="S485" i="2" s="1"/>
  <c r="M485" i="2"/>
  <c r="U485" i="2" s="1"/>
  <c r="AR485" i="2" s="1"/>
  <c r="J485" i="2"/>
  <c r="L485" i="2" s="1"/>
  <c r="B485" i="2"/>
  <c r="AQ482" i="2"/>
  <c r="BO476" i="2"/>
  <c r="BO475" i="2" s="1"/>
  <c r="BJ469" i="2"/>
  <c r="BV468" i="2"/>
  <c r="BU468" i="2"/>
  <c r="BS468" i="2"/>
  <c r="BR468" i="2"/>
  <c r="BP468" i="2"/>
  <c r="BO468" i="2"/>
  <c r="BM468" i="2"/>
  <c r="BL468" i="2"/>
  <c r="BJ468" i="2"/>
  <c r="BI468" i="2"/>
  <c r="BG468" i="2"/>
  <c r="BF468" i="2"/>
  <c r="BD468" i="2"/>
  <c r="BC468" i="2"/>
  <c r="BA468" i="2"/>
  <c r="AZ468" i="2"/>
  <c r="AX468" i="2"/>
  <c r="AW468" i="2"/>
  <c r="AU468" i="2"/>
  <c r="AT468" i="2"/>
  <c r="R468" i="2"/>
  <c r="S468" i="2" s="1"/>
  <c r="M468" i="2"/>
  <c r="U468" i="2" s="1"/>
  <c r="B468" i="2"/>
  <c r="BV467" i="2"/>
  <c r="BU467" i="2"/>
  <c r="BS467" i="2"/>
  <c r="BR467" i="2"/>
  <c r="BP467" i="2"/>
  <c r="BO467" i="2"/>
  <c r="BM467" i="2"/>
  <c r="BL467" i="2"/>
  <c r="BJ467" i="2"/>
  <c r="BI467" i="2"/>
  <c r="BG467" i="2"/>
  <c r="BF467" i="2"/>
  <c r="BD467" i="2"/>
  <c r="BC467" i="2"/>
  <c r="BA467" i="2"/>
  <c r="AZ467" i="2"/>
  <c r="AX467" i="2"/>
  <c r="AW467" i="2"/>
  <c r="AU467" i="2"/>
  <c r="AT467" i="2"/>
  <c r="S467" i="2"/>
  <c r="R467" i="2"/>
  <c r="M467" i="2"/>
  <c r="U467" i="2" s="1"/>
  <c r="B467" i="2"/>
  <c r="BV466" i="2"/>
  <c r="BU466" i="2"/>
  <c r="BS466" i="2"/>
  <c r="BR466" i="2"/>
  <c r="BP466" i="2"/>
  <c r="BO466" i="2"/>
  <c r="BM466" i="2"/>
  <c r="BL466" i="2"/>
  <c r="BJ466" i="2"/>
  <c r="BI466" i="2"/>
  <c r="BG466" i="2"/>
  <c r="BF466" i="2"/>
  <c r="BD466" i="2"/>
  <c r="BC466" i="2"/>
  <c r="BA466" i="2"/>
  <c r="AZ466" i="2"/>
  <c r="AX466" i="2"/>
  <c r="AW466" i="2"/>
  <c r="AU466" i="2"/>
  <c r="AT466" i="2"/>
  <c r="U466" i="2"/>
  <c r="R466" i="2"/>
  <c r="M466" i="2"/>
  <c r="B466" i="2"/>
  <c r="BV465" i="2"/>
  <c r="BU465" i="2"/>
  <c r="BS465" i="2"/>
  <c r="BR465" i="2"/>
  <c r="BP465" i="2"/>
  <c r="BO465" i="2"/>
  <c r="BM465" i="2"/>
  <c r="BL465" i="2"/>
  <c r="BJ465" i="2"/>
  <c r="BI465" i="2"/>
  <c r="BG465" i="2"/>
  <c r="BF465" i="2"/>
  <c r="BD465" i="2"/>
  <c r="BC465" i="2"/>
  <c r="BA465" i="2"/>
  <c r="AZ465" i="2"/>
  <c r="AX465" i="2"/>
  <c r="AW465" i="2"/>
  <c r="AU465" i="2"/>
  <c r="AT465" i="2"/>
  <c r="U465" i="2"/>
  <c r="R465" i="2"/>
  <c r="S465" i="2" s="1"/>
  <c r="M465" i="2"/>
  <c r="B465" i="2"/>
  <c r="BV464" i="2"/>
  <c r="BU464" i="2"/>
  <c r="BS464" i="2"/>
  <c r="BR464" i="2"/>
  <c r="BP464" i="2"/>
  <c r="BO464" i="2"/>
  <c r="BM464" i="2"/>
  <c r="BL464" i="2"/>
  <c r="BJ464" i="2"/>
  <c r="BI464" i="2"/>
  <c r="BG464" i="2"/>
  <c r="BF464" i="2"/>
  <c r="BD464" i="2"/>
  <c r="BC464" i="2"/>
  <c r="BA464" i="2"/>
  <c r="AZ464" i="2"/>
  <c r="AX464" i="2"/>
  <c r="AW464" i="2"/>
  <c r="AU464" i="2"/>
  <c r="AT464" i="2"/>
  <c r="S464" i="2"/>
  <c r="R464" i="2"/>
  <c r="M464" i="2"/>
  <c r="U464" i="2" s="1"/>
  <c r="B464" i="2"/>
  <c r="BV463" i="2"/>
  <c r="BU463" i="2"/>
  <c r="BS463" i="2"/>
  <c r="BR463" i="2"/>
  <c r="BP463" i="2"/>
  <c r="BO463" i="2"/>
  <c r="BM463" i="2"/>
  <c r="BL463" i="2"/>
  <c r="BJ463" i="2"/>
  <c r="BI463" i="2"/>
  <c r="BG463" i="2"/>
  <c r="BF463" i="2"/>
  <c r="BD463" i="2"/>
  <c r="BC463" i="2"/>
  <c r="BA463" i="2"/>
  <c r="AZ463" i="2"/>
  <c r="AX463" i="2"/>
  <c r="AW463" i="2"/>
  <c r="AU463" i="2"/>
  <c r="AT463" i="2"/>
  <c r="U463" i="2"/>
  <c r="R463" i="2"/>
  <c r="M463" i="2"/>
  <c r="B463" i="2"/>
  <c r="BV462" i="2"/>
  <c r="BU462" i="2"/>
  <c r="BS462" i="2"/>
  <c r="BR462" i="2"/>
  <c r="BP462" i="2"/>
  <c r="BO462" i="2"/>
  <c r="BM462" i="2"/>
  <c r="BL462" i="2"/>
  <c r="BJ462" i="2"/>
  <c r="BI462" i="2"/>
  <c r="BG462" i="2"/>
  <c r="BF462" i="2"/>
  <c r="BD462" i="2"/>
  <c r="BC462" i="2"/>
  <c r="BA462" i="2"/>
  <c r="AZ462" i="2"/>
  <c r="AX462" i="2"/>
  <c r="AW462" i="2"/>
  <c r="AU462" i="2"/>
  <c r="AT462" i="2"/>
  <c r="R462" i="2"/>
  <c r="S462" i="2" s="1"/>
  <c r="M462" i="2"/>
  <c r="U462" i="2" s="1"/>
  <c r="B462" i="2"/>
  <c r="BV461" i="2"/>
  <c r="BU461" i="2"/>
  <c r="BS461" i="2"/>
  <c r="BR461" i="2"/>
  <c r="BP461" i="2"/>
  <c r="BO461" i="2"/>
  <c r="BM461" i="2"/>
  <c r="BL461" i="2"/>
  <c r="BJ461" i="2"/>
  <c r="BI461" i="2"/>
  <c r="BG461" i="2"/>
  <c r="BF461" i="2"/>
  <c r="BD461" i="2"/>
  <c r="BC461" i="2"/>
  <c r="BA461" i="2"/>
  <c r="AZ461" i="2"/>
  <c r="AX461" i="2"/>
  <c r="AW461" i="2"/>
  <c r="AU461" i="2"/>
  <c r="AT461" i="2"/>
  <c r="S461" i="2"/>
  <c r="R461" i="2"/>
  <c r="M461" i="2"/>
  <c r="U461" i="2" s="1"/>
  <c r="B461" i="2"/>
  <c r="BV460" i="2"/>
  <c r="BU460" i="2"/>
  <c r="BS460" i="2"/>
  <c r="BR460" i="2"/>
  <c r="BP460" i="2"/>
  <c r="BO460" i="2"/>
  <c r="BM460" i="2"/>
  <c r="BL460" i="2"/>
  <c r="BJ460" i="2"/>
  <c r="BI460" i="2"/>
  <c r="BG460" i="2"/>
  <c r="BF460" i="2"/>
  <c r="BD460" i="2"/>
  <c r="BC460" i="2"/>
  <c r="BA460" i="2"/>
  <c r="AZ460" i="2"/>
  <c r="AX460" i="2"/>
  <c r="AW460" i="2"/>
  <c r="AU460" i="2"/>
  <c r="AT460" i="2"/>
  <c r="U460" i="2"/>
  <c r="R460" i="2"/>
  <c r="M460" i="2"/>
  <c r="B460" i="2"/>
  <c r="BV459" i="2"/>
  <c r="BU459" i="2"/>
  <c r="BS459" i="2"/>
  <c r="BR459" i="2"/>
  <c r="BP459" i="2"/>
  <c r="BO459" i="2"/>
  <c r="BM459" i="2"/>
  <c r="BL459" i="2"/>
  <c r="BJ459" i="2"/>
  <c r="BI459" i="2"/>
  <c r="BG459" i="2"/>
  <c r="BF459" i="2"/>
  <c r="BD459" i="2"/>
  <c r="BC459" i="2"/>
  <c r="BA459" i="2"/>
  <c r="AZ459" i="2"/>
  <c r="AX459" i="2"/>
  <c r="AW459" i="2"/>
  <c r="AU459" i="2"/>
  <c r="AT459" i="2"/>
  <c r="U459" i="2"/>
  <c r="R459" i="2"/>
  <c r="S459" i="2" s="1"/>
  <c r="M459" i="2"/>
  <c r="B459" i="2"/>
  <c r="BV458" i="2"/>
  <c r="BU458" i="2"/>
  <c r="BS458" i="2"/>
  <c r="BR458" i="2"/>
  <c r="BP458" i="2"/>
  <c r="BO458" i="2"/>
  <c r="BM458" i="2"/>
  <c r="BL458" i="2"/>
  <c r="BJ458" i="2"/>
  <c r="BI458" i="2"/>
  <c r="BG458" i="2"/>
  <c r="BF458" i="2"/>
  <c r="BD458" i="2"/>
  <c r="BC458" i="2"/>
  <c r="BA458" i="2"/>
  <c r="AZ458" i="2"/>
  <c r="AX458" i="2"/>
  <c r="AW458" i="2"/>
  <c r="AU458" i="2"/>
  <c r="AT458" i="2"/>
  <c r="S458" i="2"/>
  <c r="R458" i="2"/>
  <c r="M458" i="2"/>
  <c r="U458" i="2" s="1"/>
  <c r="B458" i="2"/>
  <c r="BV457" i="2"/>
  <c r="BU457" i="2"/>
  <c r="BS457" i="2"/>
  <c r="BR457" i="2"/>
  <c r="BP457" i="2"/>
  <c r="BO457" i="2"/>
  <c r="BM457" i="2"/>
  <c r="BL457" i="2"/>
  <c r="BJ457" i="2"/>
  <c r="BI457" i="2"/>
  <c r="BG457" i="2"/>
  <c r="BF457" i="2"/>
  <c r="BD457" i="2"/>
  <c r="BC457" i="2"/>
  <c r="BA457" i="2"/>
  <c r="AZ457" i="2"/>
  <c r="AX457" i="2"/>
  <c r="AW457" i="2"/>
  <c r="AU457" i="2"/>
  <c r="AT457" i="2"/>
  <c r="U457" i="2"/>
  <c r="R457" i="2"/>
  <c r="M457" i="2"/>
  <c r="B457" i="2"/>
  <c r="BV456" i="2"/>
  <c r="BU456" i="2"/>
  <c r="BS456" i="2"/>
  <c r="BR456" i="2"/>
  <c r="BP456" i="2"/>
  <c r="BO456" i="2"/>
  <c r="BM456" i="2"/>
  <c r="BL456" i="2"/>
  <c r="BJ456" i="2"/>
  <c r="BI456" i="2"/>
  <c r="BG456" i="2"/>
  <c r="BF456" i="2"/>
  <c r="BD456" i="2"/>
  <c r="BC456" i="2"/>
  <c r="BA456" i="2"/>
  <c r="AZ456" i="2"/>
  <c r="AX456" i="2"/>
  <c r="AW456" i="2"/>
  <c r="AU456" i="2"/>
  <c r="AT456" i="2"/>
  <c r="R456" i="2"/>
  <c r="S456" i="2" s="1"/>
  <c r="M456" i="2"/>
  <c r="U456" i="2" s="1"/>
  <c r="B456" i="2"/>
  <c r="BV455" i="2"/>
  <c r="BU455" i="2"/>
  <c r="BS455" i="2"/>
  <c r="BR455" i="2"/>
  <c r="BP455" i="2"/>
  <c r="BO455" i="2"/>
  <c r="BM455" i="2"/>
  <c r="BL455" i="2"/>
  <c r="BJ455" i="2"/>
  <c r="BI455" i="2"/>
  <c r="BG455" i="2"/>
  <c r="BF455" i="2"/>
  <c r="BD455" i="2"/>
  <c r="BC455" i="2"/>
  <c r="BA455" i="2"/>
  <c r="AZ455" i="2"/>
  <c r="AX455" i="2"/>
  <c r="AW455" i="2"/>
  <c r="AU455" i="2"/>
  <c r="AT455" i="2"/>
  <c r="S455" i="2"/>
  <c r="R455" i="2"/>
  <c r="M455" i="2"/>
  <c r="U455" i="2" s="1"/>
  <c r="B455" i="2"/>
  <c r="BV454" i="2"/>
  <c r="BU454" i="2"/>
  <c r="BS454" i="2"/>
  <c r="BR454" i="2"/>
  <c r="BP454" i="2"/>
  <c r="BO454" i="2"/>
  <c r="BM454" i="2"/>
  <c r="BL454" i="2"/>
  <c r="BJ454" i="2"/>
  <c r="BI454" i="2"/>
  <c r="BG454" i="2"/>
  <c r="BF454" i="2"/>
  <c r="BD454" i="2"/>
  <c r="BC454" i="2"/>
  <c r="BA454" i="2"/>
  <c r="AZ454" i="2"/>
  <c r="AX454" i="2"/>
  <c r="AW454" i="2"/>
  <c r="AW476" i="2" s="1"/>
  <c r="AW475" i="2" s="1"/>
  <c r="AU454" i="2"/>
  <c r="AT454" i="2"/>
  <c r="U454" i="2"/>
  <c r="R454" i="2"/>
  <c r="M454" i="2"/>
  <c r="B454" i="2"/>
  <c r="BV453" i="2"/>
  <c r="BU453" i="2"/>
  <c r="BS453" i="2"/>
  <c r="BR453" i="2"/>
  <c r="BP453" i="2"/>
  <c r="BO453" i="2"/>
  <c r="BM453" i="2"/>
  <c r="BL453" i="2"/>
  <c r="BJ453" i="2"/>
  <c r="BI453" i="2"/>
  <c r="BG453" i="2"/>
  <c r="BF453" i="2"/>
  <c r="BD453" i="2"/>
  <c r="BC453" i="2"/>
  <c r="BA453" i="2"/>
  <c r="AZ453" i="2"/>
  <c r="AX453" i="2"/>
  <c r="AW453" i="2"/>
  <c r="AU453" i="2"/>
  <c r="AT453" i="2"/>
  <c r="R453" i="2"/>
  <c r="S453" i="2" s="1"/>
  <c r="M453" i="2"/>
  <c r="U453" i="2" s="1"/>
  <c r="B453" i="2"/>
  <c r="BV452" i="2"/>
  <c r="BU452" i="2"/>
  <c r="BS452" i="2"/>
  <c r="BR452" i="2"/>
  <c r="BP452" i="2"/>
  <c r="BO452" i="2"/>
  <c r="BM452" i="2"/>
  <c r="BL452" i="2"/>
  <c r="BJ452" i="2"/>
  <c r="BI452" i="2"/>
  <c r="BG452" i="2"/>
  <c r="BF452" i="2"/>
  <c r="BD452" i="2"/>
  <c r="BC452" i="2"/>
  <c r="BA452" i="2"/>
  <c r="AZ452" i="2"/>
  <c r="AX452" i="2"/>
  <c r="AW452" i="2"/>
  <c r="AU452" i="2"/>
  <c r="AT452" i="2"/>
  <c r="S452" i="2"/>
  <c r="R452" i="2"/>
  <c r="M452" i="2"/>
  <c r="U452" i="2" s="1"/>
  <c r="B452" i="2"/>
  <c r="BV451" i="2"/>
  <c r="BU451" i="2"/>
  <c r="BS451" i="2"/>
  <c r="BR451" i="2"/>
  <c r="BP451" i="2"/>
  <c r="BO451" i="2"/>
  <c r="BM451" i="2"/>
  <c r="BL451" i="2"/>
  <c r="BJ451" i="2"/>
  <c r="BJ476" i="2" s="1"/>
  <c r="BJ475" i="2" s="1"/>
  <c r="BJ474" i="2" s="1"/>
  <c r="BI451" i="2"/>
  <c r="BG451" i="2"/>
  <c r="BF451" i="2"/>
  <c r="BD451" i="2"/>
  <c r="BC451" i="2"/>
  <c r="BA451" i="2"/>
  <c r="AZ451" i="2"/>
  <c r="AX451" i="2"/>
  <c r="AW451" i="2"/>
  <c r="AU451" i="2"/>
  <c r="AT451" i="2"/>
  <c r="U451" i="2"/>
  <c r="R451" i="2"/>
  <c r="M451" i="2"/>
  <c r="B451" i="2"/>
  <c r="BV450" i="2"/>
  <c r="BU450" i="2"/>
  <c r="BS450" i="2"/>
  <c r="BS469" i="2" s="1"/>
  <c r="BR450" i="2"/>
  <c r="BP450" i="2"/>
  <c r="BO450" i="2"/>
  <c r="BM450" i="2"/>
  <c r="BL450" i="2"/>
  <c r="BJ450" i="2"/>
  <c r="BI450" i="2"/>
  <c r="BG450" i="2"/>
  <c r="BF450" i="2"/>
  <c r="BD450" i="2"/>
  <c r="BC450" i="2"/>
  <c r="BA450" i="2"/>
  <c r="BA469" i="2" s="1"/>
  <c r="AZ450" i="2"/>
  <c r="AX450" i="2"/>
  <c r="AW450" i="2"/>
  <c r="AU450" i="2"/>
  <c r="AT450" i="2"/>
  <c r="R450" i="2"/>
  <c r="S450" i="2" s="1"/>
  <c r="M450" i="2"/>
  <c r="U450" i="2" s="1"/>
  <c r="B450" i="2"/>
  <c r="BV449" i="2"/>
  <c r="BV469" i="2" s="1"/>
  <c r="BU449" i="2"/>
  <c r="BU469" i="2" s="1"/>
  <c r="BS449" i="2"/>
  <c r="BR449" i="2"/>
  <c r="BP449" i="2"/>
  <c r="BP469" i="2" s="1"/>
  <c r="BO449" i="2"/>
  <c r="BM449" i="2"/>
  <c r="BM476" i="2" s="1"/>
  <c r="BM475" i="2" s="1"/>
  <c r="BL449" i="2"/>
  <c r="BJ449" i="2"/>
  <c r="BI449" i="2"/>
  <c r="BI469" i="2" s="1"/>
  <c r="BG449" i="2"/>
  <c r="BG469" i="2" s="1"/>
  <c r="BF449" i="2"/>
  <c r="BD449" i="2"/>
  <c r="BD469" i="2" s="1"/>
  <c r="BC449" i="2"/>
  <c r="BC469" i="2" s="1"/>
  <c r="BA449" i="2"/>
  <c r="AZ449" i="2"/>
  <c r="AX449" i="2"/>
  <c r="AX469" i="2" s="1"/>
  <c r="AW449" i="2"/>
  <c r="AU449" i="2"/>
  <c r="AU476" i="2" s="1"/>
  <c r="AU475" i="2" s="1"/>
  <c r="AT449" i="2"/>
  <c r="R449" i="2"/>
  <c r="R473" i="2" s="1"/>
  <c r="M449" i="2"/>
  <c r="U449" i="2" s="1"/>
  <c r="AR449" i="2" s="1"/>
  <c r="B449" i="2"/>
  <c r="AQ446" i="2"/>
  <c r="BV436" i="2"/>
  <c r="BU436" i="2"/>
  <c r="BS436" i="2"/>
  <c r="BR436" i="2"/>
  <c r="BP436" i="2"/>
  <c r="BO436" i="2"/>
  <c r="BM436" i="2"/>
  <c r="BL436" i="2"/>
  <c r="BJ436" i="2"/>
  <c r="BI436" i="2"/>
  <c r="BG436" i="2"/>
  <c r="BF436" i="2"/>
  <c r="BD436" i="2"/>
  <c r="BC436" i="2"/>
  <c r="BA436" i="2"/>
  <c r="AZ436" i="2"/>
  <c r="AX436" i="2"/>
  <c r="AW436" i="2"/>
  <c r="AU436" i="2"/>
  <c r="AT436" i="2"/>
  <c r="BV435" i="2"/>
  <c r="BU435" i="2"/>
  <c r="BS435" i="2"/>
  <c r="BR435" i="2"/>
  <c r="BP435" i="2"/>
  <c r="BO435" i="2"/>
  <c r="BM435" i="2"/>
  <c r="BL435" i="2"/>
  <c r="BJ435" i="2"/>
  <c r="BI435" i="2"/>
  <c r="BG435" i="2"/>
  <c r="BF435" i="2"/>
  <c r="BD435" i="2"/>
  <c r="BC435" i="2"/>
  <c r="BA435" i="2"/>
  <c r="AZ435" i="2"/>
  <c r="AX435" i="2"/>
  <c r="AW435" i="2"/>
  <c r="AU435" i="2"/>
  <c r="AT435" i="2"/>
  <c r="BV434" i="2"/>
  <c r="BU434" i="2"/>
  <c r="BS434" i="2"/>
  <c r="BR434" i="2"/>
  <c r="BP434" i="2"/>
  <c r="BO434" i="2"/>
  <c r="BM434" i="2"/>
  <c r="BL434" i="2"/>
  <c r="BJ434" i="2"/>
  <c r="BI434" i="2"/>
  <c r="BG434" i="2"/>
  <c r="BF434" i="2"/>
  <c r="BD434" i="2"/>
  <c r="BC434" i="2"/>
  <c r="BA434" i="2"/>
  <c r="AZ434" i="2"/>
  <c r="AX434" i="2"/>
  <c r="AW434" i="2"/>
  <c r="AU434" i="2"/>
  <c r="AT434" i="2"/>
  <c r="BV433" i="2"/>
  <c r="BU433" i="2"/>
  <c r="BS433" i="2"/>
  <c r="BR433" i="2"/>
  <c r="BP433" i="2"/>
  <c r="BO433" i="2"/>
  <c r="BM433" i="2"/>
  <c r="BL433" i="2"/>
  <c r="BJ433" i="2"/>
  <c r="BI433" i="2"/>
  <c r="BG433" i="2"/>
  <c r="BF433" i="2"/>
  <c r="BD433" i="2"/>
  <c r="BC433" i="2"/>
  <c r="BA433" i="2"/>
  <c r="AZ433" i="2"/>
  <c r="AX433" i="2"/>
  <c r="AW433" i="2"/>
  <c r="AU433" i="2"/>
  <c r="AT433" i="2"/>
  <c r="BV432" i="2"/>
  <c r="BU432" i="2"/>
  <c r="BS432" i="2"/>
  <c r="BR432" i="2"/>
  <c r="BP432" i="2"/>
  <c r="BO432" i="2"/>
  <c r="BM432" i="2"/>
  <c r="BL432" i="2"/>
  <c r="BJ432" i="2"/>
  <c r="BI432" i="2"/>
  <c r="BG432" i="2"/>
  <c r="BF432" i="2"/>
  <c r="BD432" i="2"/>
  <c r="BC432" i="2"/>
  <c r="BA432" i="2"/>
  <c r="AZ432" i="2"/>
  <c r="AX432" i="2"/>
  <c r="AW432" i="2"/>
  <c r="AU432" i="2"/>
  <c r="AT432" i="2"/>
  <c r="S432" i="2"/>
  <c r="R432" i="2"/>
  <c r="M432" i="2"/>
  <c r="U432" i="2" s="1"/>
  <c r="B432" i="2"/>
  <c r="BV431" i="2"/>
  <c r="BU431" i="2"/>
  <c r="BS431" i="2"/>
  <c r="BR431" i="2"/>
  <c r="BP431" i="2"/>
  <c r="BO431" i="2"/>
  <c r="BM431" i="2"/>
  <c r="BL431" i="2"/>
  <c r="BJ431" i="2"/>
  <c r="BI431" i="2"/>
  <c r="BG431" i="2"/>
  <c r="BF431" i="2"/>
  <c r="BD431" i="2"/>
  <c r="BC431" i="2"/>
  <c r="BA431" i="2"/>
  <c r="AZ431" i="2"/>
  <c r="AX431" i="2"/>
  <c r="AW431" i="2"/>
  <c r="AU431" i="2"/>
  <c r="AT431" i="2"/>
  <c r="M431" i="2"/>
  <c r="B431" i="2"/>
  <c r="BV430" i="2"/>
  <c r="BU430" i="2"/>
  <c r="BS430" i="2"/>
  <c r="BR430" i="2"/>
  <c r="BP430" i="2"/>
  <c r="BO430" i="2"/>
  <c r="BM430" i="2"/>
  <c r="BL430" i="2"/>
  <c r="BJ430" i="2"/>
  <c r="BI430" i="2"/>
  <c r="BD430" i="2"/>
  <c r="BC430" i="2"/>
  <c r="BA430" i="2"/>
  <c r="AZ430" i="2"/>
  <c r="AX430" i="2"/>
  <c r="AW430" i="2"/>
  <c r="AU430" i="2"/>
  <c r="AT430" i="2"/>
  <c r="M430" i="2"/>
  <c r="U430" i="2" s="1"/>
  <c r="J430" i="2"/>
  <c r="L430" i="2" s="1"/>
  <c r="R430" i="2" s="1"/>
  <c r="B430" i="2"/>
  <c r="BV429" i="2"/>
  <c r="BU429" i="2"/>
  <c r="BS429" i="2"/>
  <c r="BR429" i="2"/>
  <c r="BP429" i="2"/>
  <c r="BO429" i="2"/>
  <c r="BM429" i="2"/>
  <c r="BL429" i="2"/>
  <c r="BJ429" i="2"/>
  <c r="BI429" i="2"/>
  <c r="BD429" i="2"/>
  <c r="BC429" i="2"/>
  <c r="BA429" i="2"/>
  <c r="AZ429" i="2"/>
  <c r="AX429" i="2"/>
  <c r="AW429" i="2"/>
  <c r="AU429" i="2"/>
  <c r="AT429" i="2"/>
  <c r="U429" i="2"/>
  <c r="M429" i="2"/>
  <c r="J429" i="2"/>
  <c r="L429" i="2" s="1"/>
  <c r="R429" i="2" s="1"/>
  <c r="B429" i="2"/>
  <c r="BV428" i="2"/>
  <c r="BU428" i="2"/>
  <c r="BS428" i="2"/>
  <c r="BR428" i="2"/>
  <c r="BP428" i="2"/>
  <c r="BO428" i="2"/>
  <c r="BM428" i="2"/>
  <c r="BL428" i="2"/>
  <c r="BJ428" i="2"/>
  <c r="BI428" i="2"/>
  <c r="BD428" i="2"/>
  <c r="BC428" i="2"/>
  <c r="BA428" i="2"/>
  <c r="AZ428" i="2"/>
  <c r="AX428" i="2"/>
  <c r="AW428" i="2"/>
  <c r="AU428" i="2"/>
  <c r="AT428" i="2"/>
  <c r="M428" i="2"/>
  <c r="U428" i="2" s="1"/>
  <c r="J428" i="2"/>
  <c r="L428" i="2" s="1"/>
  <c r="R428" i="2" s="1"/>
  <c r="B428" i="2"/>
  <c r="BV427" i="2"/>
  <c r="BU427" i="2"/>
  <c r="BS427" i="2"/>
  <c r="BR427" i="2"/>
  <c r="BP427" i="2"/>
  <c r="BO427" i="2"/>
  <c r="BM427" i="2"/>
  <c r="BL427" i="2"/>
  <c r="BJ427" i="2"/>
  <c r="BI427" i="2"/>
  <c r="BD427" i="2"/>
  <c r="BC427" i="2"/>
  <c r="BA427" i="2"/>
  <c r="AZ427" i="2"/>
  <c r="AX427" i="2"/>
  <c r="AW427" i="2"/>
  <c r="AU427" i="2"/>
  <c r="AT427" i="2"/>
  <c r="U427" i="2"/>
  <c r="R427" i="2"/>
  <c r="M427" i="2"/>
  <c r="L427" i="2"/>
  <c r="J427" i="2"/>
  <c r="B427" i="2"/>
  <c r="BV426" i="2"/>
  <c r="BU426" i="2"/>
  <c r="BS426" i="2"/>
  <c r="BR426" i="2"/>
  <c r="BP426" i="2"/>
  <c r="BO426" i="2"/>
  <c r="BM426" i="2"/>
  <c r="BL426" i="2"/>
  <c r="BJ426" i="2"/>
  <c r="BI426" i="2"/>
  <c r="BD426" i="2"/>
  <c r="BC426" i="2"/>
  <c r="BA426" i="2"/>
  <c r="AZ426" i="2"/>
  <c r="AX426" i="2"/>
  <c r="AW426" i="2"/>
  <c r="AU426" i="2"/>
  <c r="AT426" i="2"/>
  <c r="M426" i="2"/>
  <c r="U426" i="2" s="1"/>
  <c r="J426" i="2"/>
  <c r="L426" i="2" s="1"/>
  <c r="R426" i="2" s="1"/>
  <c r="B426" i="2"/>
  <c r="BV425" i="2"/>
  <c r="BU425" i="2"/>
  <c r="BS425" i="2"/>
  <c r="BR425" i="2"/>
  <c r="BP425" i="2"/>
  <c r="BO425" i="2"/>
  <c r="BM425" i="2"/>
  <c r="BL425" i="2"/>
  <c r="BJ425" i="2"/>
  <c r="BI425" i="2"/>
  <c r="BD425" i="2"/>
  <c r="BC425" i="2"/>
  <c r="BA425" i="2"/>
  <c r="AZ425" i="2"/>
  <c r="AX425" i="2"/>
  <c r="AW425" i="2"/>
  <c r="AU425" i="2"/>
  <c r="AT425" i="2"/>
  <c r="U425" i="2"/>
  <c r="M425" i="2"/>
  <c r="J425" i="2"/>
  <c r="L425" i="2" s="1"/>
  <c r="R425" i="2" s="1"/>
  <c r="B425" i="2"/>
  <c r="BV424" i="2"/>
  <c r="BU424" i="2"/>
  <c r="BS424" i="2"/>
  <c r="BR424" i="2"/>
  <c r="BP424" i="2"/>
  <c r="BO424" i="2"/>
  <c r="BM424" i="2"/>
  <c r="BL424" i="2"/>
  <c r="BJ424" i="2"/>
  <c r="BI424" i="2"/>
  <c r="BD424" i="2"/>
  <c r="BC424" i="2"/>
  <c r="BA424" i="2"/>
  <c r="AZ424" i="2"/>
  <c r="AX424" i="2"/>
  <c r="AW424" i="2"/>
  <c r="AU424" i="2"/>
  <c r="AT424" i="2"/>
  <c r="M424" i="2"/>
  <c r="U424" i="2" s="1"/>
  <c r="J424" i="2"/>
  <c r="L424" i="2" s="1"/>
  <c r="R424" i="2" s="1"/>
  <c r="B424" i="2"/>
  <c r="BV423" i="2"/>
  <c r="BU423" i="2"/>
  <c r="BS423" i="2"/>
  <c r="BR423" i="2"/>
  <c r="BP423" i="2"/>
  <c r="BO423" i="2"/>
  <c r="BM423" i="2"/>
  <c r="BL423" i="2"/>
  <c r="BJ423" i="2"/>
  <c r="BI423" i="2"/>
  <c r="BD423" i="2"/>
  <c r="BC423" i="2"/>
  <c r="BA423" i="2"/>
  <c r="AZ423" i="2"/>
  <c r="AX423" i="2"/>
  <c r="AW423" i="2"/>
  <c r="AU423" i="2"/>
  <c r="AT423" i="2"/>
  <c r="U423" i="2"/>
  <c r="R423" i="2"/>
  <c r="M423" i="2"/>
  <c r="L423" i="2"/>
  <c r="J423" i="2"/>
  <c r="B423" i="2"/>
  <c r="BV422" i="2"/>
  <c r="BU422" i="2"/>
  <c r="BS422" i="2"/>
  <c r="BR422" i="2"/>
  <c r="BP422" i="2"/>
  <c r="BO422" i="2"/>
  <c r="BM422" i="2"/>
  <c r="BL422" i="2"/>
  <c r="BJ422" i="2"/>
  <c r="BI422" i="2"/>
  <c r="BD422" i="2"/>
  <c r="BC422" i="2"/>
  <c r="BA422" i="2"/>
  <c r="AZ422" i="2"/>
  <c r="AX422" i="2"/>
  <c r="AW422" i="2"/>
  <c r="AU422" i="2"/>
  <c r="AT422" i="2"/>
  <c r="M422" i="2"/>
  <c r="U422" i="2" s="1"/>
  <c r="J422" i="2"/>
  <c r="L422" i="2" s="1"/>
  <c r="R422" i="2" s="1"/>
  <c r="B422" i="2"/>
  <c r="BV421" i="2"/>
  <c r="BU421" i="2"/>
  <c r="BS421" i="2"/>
  <c r="BR421" i="2"/>
  <c r="BP421" i="2"/>
  <c r="BO421" i="2"/>
  <c r="BM421" i="2"/>
  <c r="BL421" i="2"/>
  <c r="BG421" i="2"/>
  <c r="BF421" i="2"/>
  <c r="BD421" i="2"/>
  <c r="BC421" i="2"/>
  <c r="BA421" i="2"/>
  <c r="AZ421" i="2"/>
  <c r="AX421" i="2"/>
  <c r="AW421" i="2"/>
  <c r="AU421" i="2"/>
  <c r="AT421" i="2"/>
  <c r="U421" i="2"/>
  <c r="R421" i="2"/>
  <c r="BI421" i="2" s="1"/>
  <c r="M421" i="2"/>
  <c r="L421" i="2"/>
  <c r="B421" i="2"/>
  <c r="BV420" i="2"/>
  <c r="BU420" i="2"/>
  <c r="BS420" i="2"/>
  <c r="BR420" i="2"/>
  <c r="BP420" i="2"/>
  <c r="BO420" i="2"/>
  <c r="BM420" i="2"/>
  <c r="BL420" i="2"/>
  <c r="BG420" i="2"/>
  <c r="BF420" i="2"/>
  <c r="BD420" i="2"/>
  <c r="BC420" i="2"/>
  <c r="BA420" i="2"/>
  <c r="AZ420" i="2"/>
  <c r="AX420" i="2"/>
  <c r="AW420" i="2"/>
  <c r="AU420" i="2"/>
  <c r="AT420" i="2"/>
  <c r="R420" i="2"/>
  <c r="BI420" i="2" s="1"/>
  <c r="M420" i="2"/>
  <c r="U420" i="2" s="1"/>
  <c r="L420" i="2"/>
  <c r="J420" i="2"/>
  <c r="B420" i="2"/>
  <c r="BV419" i="2"/>
  <c r="BU419" i="2"/>
  <c r="BS419" i="2"/>
  <c r="BR419" i="2"/>
  <c r="BP419" i="2"/>
  <c r="BO419" i="2"/>
  <c r="BM419" i="2"/>
  <c r="BL419" i="2"/>
  <c r="BG419" i="2"/>
  <c r="BF419" i="2"/>
  <c r="BD419" i="2"/>
  <c r="BC419" i="2"/>
  <c r="BA419" i="2"/>
  <c r="AZ419" i="2"/>
  <c r="AX419" i="2"/>
  <c r="AW419" i="2"/>
  <c r="AU419" i="2"/>
  <c r="AT419" i="2"/>
  <c r="M419" i="2"/>
  <c r="U419" i="2" s="1"/>
  <c r="J419" i="2"/>
  <c r="L419" i="2" s="1"/>
  <c r="R419" i="2" s="1"/>
  <c r="B419" i="2"/>
  <c r="BV418" i="2"/>
  <c r="BU418" i="2"/>
  <c r="BS418" i="2"/>
  <c r="BR418" i="2"/>
  <c r="BP418" i="2"/>
  <c r="BO418" i="2"/>
  <c r="BM418" i="2"/>
  <c r="BL418" i="2"/>
  <c r="BG418" i="2"/>
  <c r="BF418" i="2"/>
  <c r="BD418" i="2"/>
  <c r="BC418" i="2"/>
  <c r="BA418" i="2"/>
  <c r="AZ418" i="2"/>
  <c r="AX418" i="2"/>
  <c r="AW418" i="2"/>
  <c r="AU418" i="2"/>
  <c r="AT418" i="2"/>
  <c r="U418" i="2"/>
  <c r="M418" i="2"/>
  <c r="J418" i="2"/>
  <c r="L418" i="2" s="1"/>
  <c r="R418" i="2" s="1"/>
  <c r="B418" i="2"/>
  <c r="BV417" i="2"/>
  <c r="BU417" i="2"/>
  <c r="BS417" i="2"/>
  <c r="BR417" i="2"/>
  <c r="BP417" i="2"/>
  <c r="BO417" i="2"/>
  <c r="BM417" i="2"/>
  <c r="BL417" i="2"/>
  <c r="BG417" i="2"/>
  <c r="BF417" i="2"/>
  <c r="BD417" i="2"/>
  <c r="BC417" i="2"/>
  <c r="BA417" i="2"/>
  <c r="AZ417" i="2"/>
  <c r="AX417" i="2"/>
  <c r="AW417" i="2"/>
  <c r="AU417" i="2"/>
  <c r="AT417" i="2"/>
  <c r="R417" i="2"/>
  <c r="BI417" i="2" s="1"/>
  <c r="M417" i="2"/>
  <c r="U417" i="2" s="1"/>
  <c r="L417" i="2"/>
  <c r="B417" i="2"/>
  <c r="BV416" i="2"/>
  <c r="BU416" i="2"/>
  <c r="BS416" i="2"/>
  <c r="BR416" i="2"/>
  <c r="BP416" i="2"/>
  <c r="BO416" i="2"/>
  <c r="BM416" i="2"/>
  <c r="BL416" i="2"/>
  <c r="BG416" i="2"/>
  <c r="BF416" i="2"/>
  <c r="BD416" i="2"/>
  <c r="BC416" i="2"/>
  <c r="BA416" i="2"/>
  <c r="AZ416" i="2"/>
  <c r="AX416" i="2"/>
  <c r="AW416" i="2"/>
  <c r="AU416" i="2"/>
  <c r="AT416" i="2"/>
  <c r="U416" i="2"/>
  <c r="M416" i="2"/>
  <c r="L416" i="2"/>
  <c r="R416" i="2" s="1"/>
  <c r="J416" i="2"/>
  <c r="B416" i="2"/>
  <c r="BV415" i="2"/>
  <c r="BU415" i="2"/>
  <c r="BS415" i="2"/>
  <c r="BR415" i="2"/>
  <c r="BP415" i="2"/>
  <c r="BO415" i="2"/>
  <c r="BM415" i="2"/>
  <c r="BL415" i="2"/>
  <c r="BG415" i="2"/>
  <c r="BF415" i="2"/>
  <c r="BD415" i="2"/>
  <c r="BC415" i="2"/>
  <c r="BA415" i="2"/>
  <c r="AZ415" i="2"/>
  <c r="AX415" i="2"/>
  <c r="AW415" i="2"/>
  <c r="AU415" i="2"/>
  <c r="AT415" i="2"/>
  <c r="U415" i="2"/>
  <c r="M415" i="2"/>
  <c r="L415" i="2"/>
  <c r="R415" i="2" s="1"/>
  <c r="J415" i="2"/>
  <c r="B415" i="2"/>
  <c r="BV414" i="2"/>
  <c r="BU414" i="2"/>
  <c r="BS414" i="2"/>
  <c r="BR414" i="2"/>
  <c r="BP414" i="2"/>
  <c r="BO414" i="2"/>
  <c r="BM414" i="2"/>
  <c r="BL414" i="2"/>
  <c r="BI414" i="2"/>
  <c r="BG414" i="2"/>
  <c r="BF414" i="2"/>
  <c r="BD414" i="2"/>
  <c r="BC414" i="2"/>
  <c r="BA414" i="2"/>
  <c r="AZ414" i="2"/>
  <c r="AX414" i="2"/>
  <c r="AW414" i="2"/>
  <c r="AU414" i="2"/>
  <c r="AT414" i="2"/>
  <c r="M414" i="2"/>
  <c r="U414" i="2" s="1"/>
  <c r="J414" i="2"/>
  <c r="L414" i="2" s="1"/>
  <c r="R414" i="2" s="1"/>
  <c r="B414" i="2"/>
  <c r="BV413" i="2"/>
  <c r="BU413" i="2"/>
  <c r="BS413" i="2"/>
  <c r="BR413" i="2"/>
  <c r="BP413" i="2"/>
  <c r="BO413" i="2"/>
  <c r="BM413" i="2"/>
  <c r="BL413" i="2"/>
  <c r="BG413" i="2"/>
  <c r="BF413" i="2"/>
  <c r="BD413" i="2"/>
  <c r="BC413" i="2"/>
  <c r="BA413" i="2"/>
  <c r="AZ413" i="2"/>
  <c r="AX413" i="2"/>
  <c r="AW413" i="2"/>
  <c r="AU413" i="2"/>
  <c r="AT413" i="2"/>
  <c r="U413" i="2"/>
  <c r="M413" i="2"/>
  <c r="L413" i="2"/>
  <c r="R413" i="2" s="1"/>
  <c r="J413" i="2"/>
  <c r="B413" i="2"/>
  <c r="BV412" i="2"/>
  <c r="BU412" i="2"/>
  <c r="BS412" i="2"/>
  <c r="BR412" i="2"/>
  <c r="BP412" i="2"/>
  <c r="BO412" i="2"/>
  <c r="BM412" i="2"/>
  <c r="BL412" i="2"/>
  <c r="BG412" i="2"/>
  <c r="BF412" i="2"/>
  <c r="BD412" i="2"/>
  <c r="BC412" i="2"/>
  <c r="BA412" i="2"/>
  <c r="AZ412" i="2"/>
  <c r="AX412" i="2"/>
  <c r="AW412" i="2"/>
  <c r="AU412" i="2"/>
  <c r="AT412" i="2"/>
  <c r="U412" i="2"/>
  <c r="M412" i="2"/>
  <c r="L412" i="2"/>
  <c r="R412" i="2" s="1"/>
  <c r="J412" i="2"/>
  <c r="B412" i="2"/>
  <c r="BV411" i="2"/>
  <c r="BU411" i="2"/>
  <c r="BS411" i="2"/>
  <c r="BR411" i="2"/>
  <c r="BP411" i="2"/>
  <c r="BO411" i="2"/>
  <c r="BM411" i="2"/>
  <c r="BL411" i="2"/>
  <c r="BG411" i="2"/>
  <c r="BF411" i="2"/>
  <c r="BD411" i="2"/>
  <c r="BC411" i="2"/>
  <c r="BA411" i="2"/>
  <c r="AZ411" i="2"/>
  <c r="AX411" i="2"/>
  <c r="AW411" i="2"/>
  <c r="AU411" i="2"/>
  <c r="AT411" i="2"/>
  <c r="U411" i="2"/>
  <c r="M411" i="2"/>
  <c r="L411" i="2"/>
  <c r="R411" i="2" s="1"/>
  <c r="J411" i="2"/>
  <c r="B411" i="2"/>
  <c r="BV410" i="2"/>
  <c r="BU410" i="2"/>
  <c r="BS410" i="2"/>
  <c r="BR410" i="2"/>
  <c r="BP410" i="2"/>
  <c r="BO410" i="2"/>
  <c r="BM410" i="2"/>
  <c r="BL410" i="2"/>
  <c r="BI410" i="2"/>
  <c r="BG410" i="2"/>
  <c r="BF410" i="2"/>
  <c r="BD410" i="2"/>
  <c r="BC410" i="2"/>
  <c r="BA410" i="2"/>
  <c r="AZ410" i="2"/>
  <c r="AX410" i="2"/>
  <c r="AW410" i="2"/>
  <c r="AU410" i="2"/>
  <c r="AT410" i="2"/>
  <c r="M410" i="2"/>
  <c r="U410" i="2" s="1"/>
  <c r="J410" i="2"/>
  <c r="L410" i="2" s="1"/>
  <c r="R410" i="2" s="1"/>
  <c r="B410" i="2"/>
  <c r="BV409" i="2"/>
  <c r="BU409" i="2"/>
  <c r="BS409" i="2"/>
  <c r="BR409" i="2"/>
  <c r="BP409" i="2"/>
  <c r="BO409" i="2"/>
  <c r="BM409" i="2"/>
  <c r="BL409" i="2"/>
  <c r="BG409" i="2"/>
  <c r="BF409" i="2"/>
  <c r="BD409" i="2"/>
  <c r="BC409" i="2"/>
  <c r="BA409" i="2"/>
  <c r="AZ409" i="2"/>
  <c r="AX409" i="2"/>
  <c r="AW409" i="2"/>
  <c r="AU409" i="2"/>
  <c r="AT409" i="2"/>
  <c r="U409" i="2"/>
  <c r="M409" i="2"/>
  <c r="L409" i="2"/>
  <c r="R409" i="2" s="1"/>
  <c r="J409" i="2"/>
  <c r="B409" i="2"/>
  <c r="BV408" i="2"/>
  <c r="BU408" i="2"/>
  <c r="BS408" i="2"/>
  <c r="BR408" i="2"/>
  <c r="BP408" i="2"/>
  <c r="BO408" i="2"/>
  <c r="BM408" i="2"/>
  <c r="BL408" i="2"/>
  <c r="BJ408" i="2"/>
  <c r="BI408" i="2"/>
  <c r="BD408" i="2"/>
  <c r="BC408" i="2"/>
  <c r="BA408" i="2"/>
  <c r="AZ408" i="2"/>
  <c r="AX408" i="2"/>
  <c r="AW408" i="2"/>
  <c r="AU408" i="2"/>
  <c r="AT408" i="2"/>
  <c r="U408" i="2"/>
  <c r="M408" i="2"/>
  <c r="L408" i="2"/>
  <c r="R408" i="2" s="1"/>
  <c r="J408" i="2"/>
  <c r="B408" i="2"/>
  <c r="BV407" i="2"/>
  <c r="BU407" i="2"/>
  <c r="BS407" i="2"/>
  <c r="BR407" i="2"/>
  <c r="BP407" i="2"/>
  <c r="BO407" i="2"/>
  <c r="BM407" i="2"/>
  <c r="BL407" i="2"/>
  <c r="BJ407" i="2"/>
  <c r="BI407" i="2"/>
  <c r="BD407" i="2"/>
  <c r="BC407" i="2"/>
  <c r="BA407" i="2"/>
  <c r="AZ407" i="2"/>
  <c r="AX407" i="2"/>
  <c r="AW407" i="2"/>
  <c r="AU407" i="2"/>
  <c r="AT407" i="2"/>
  <c r="U407" i="2"/>
  <c r="M407" i="2"/>
  <c r="L407" i="2"/>
  <c r="R407" i="2" s="1"/>
  <c r="J407" i="2"/>
  <c r="B407" i="2"/>
  <c r="BV406" i="2"/>
  <c r="BU406" i="2"/>
  <c r="BS406" i="2"/>
  <c r="BR406" i="2"/>
  <c r="BP406" i="2"/>
  <c r="BO406" i="2"/>
  <c r="BM406" i="2"/>
  <c r="BL406" i="2"/>
  <c r="BJ406" i="2"/>
  <c r="BI406" i="2"/>
  <c r="BD406" i="2"/>
  <c r="BC406" i="2"/>
  <c r="BA406" i="2"/>
  <c r="AZ406" i="2"/>
  <c r="AX406" i="2"/>
  <c r="AW406" i="2"/>
  <c r="AU406" i="2"/>
  <c r="AT406" i="2"/>
  <c r="M406" i="2"/>
  <c r="U406" i="2" s="1"/>
  <c r="J406" i="2"/>
  <c r="L406" i="2" s="1"/>
  <c r="R406" i="2" s="1"/>
  <c r="BF406" i="2" s="1"/>
  <c r="B406" i="2"/>
  <c r="BV405" i="2"/>
  <c r="BU405" i="2"/>
  <c r="BS405" i="2"/>
  <c r="BR405" i="2"/>
  <c r="BP405" i="2"/>
  <c r="BO405" i="2"/>
  <c r="BM405" i="2"/>
  <c r="BL405" i="2"/>
  <c r="BJ405" i="2"/>
  <c r="BI405" i="2"/>
  <c r="BD405" i="2"/>
  <c r="BC405" i="2"/>
  <c r="BA405" i="2"/>
  <c r="AZ405" i="2"/>
  <c r="AX405" i="2"/>
  <c r="AW405" i="2"/>
  <c r="AU405" i="2"/>
  <c r="AT405" i="2"/>
  <c r="U405" i="2"/>
  <c r="M405" i="2"/>
  <c r="L405" i="2"/>
  <c r="R405" i="2" s="1"/>
  <c r="J405" i="2"/>
  <c r="B405" i="2"/>
  <c r="BV404" i="2"/>
  <c r="BU404" i="2"/>
  <c r="BS404" i="2"/>
  <c r="BR404" i="2"/>
  <c r="BP404" i="2"/>
  <c r="BO404" i="2"/>
  <c r="BM404" i="2"/>
  <c r="BL404" i="2"/>
  <c r="BJ404" i="2"/>
  <c r="BI404" i="2"/>
  <c r="BD404" i="2"/>
  <c r="BC404" i="2"/>
  <c r="BA404" i="2"/>
  <c r="AZ404" i="2"/>
  <c r="AX404" i="2"/>
  <c r="AW404" i="2"/>
  <c r="AU404" i="2"/>
  <c r="AT404" i="2"/>
  <c r="U404" i="2"/>
  <c r="M404" i="2"/>
  <c r="L404" i="2"/>
  <c r="R404" i="2" s="1"/>
  <c r="J404" i="2"/>
  <c r="B404" i="2"/>
  <c r="BV403" i="2"/>
  <c r="BU403" i="2"/>
  <c r="BS403" i="2"/>
  <c r="BR403" i="2"/>
  <c r="BP403" i="2"/>
  <c r="BO403" i="2"/>
  <c r="BM403" i="2"/>
  <c r="BL403" i="2"/>
  <c r="BJ403" i="2"/>
  <c r="BI403" i="2"/>
  <c r="BD403" i="2"/>
  <c r="BC403" i="2"/>
  <c r="BA403" i="2"/>
  <c r="AZ403" i="2"/>
  <c r="AX403" i="2"/>
  <c r="AW403" i="2"/>
  <c r="AU403" i="2"/>
  <c r="AT403" i="2"/>
  <c r="U403" i="2"/>
  <c r="M403" i="2"/>
  <c r="L403" i="2"/>
  <c r="R403" i="2" s="1"/>
  <c r="J403" i="2"/>
  <c r="B403" i="2"/>
  <c r="BV402" i="2"/>
  <c r="BU402" i="2"/>
  <c r="BS402" i="2"/>
  <c r="BR402" i="2"/>
  <c r="BP402" i="2"/>
  <c r="BO402" i="2"/>
  <c r="BM402" i="2"/>
  <c r="BL402" i="2"/>
  <c r="BJ402" i="2"/>
  <c r="BI402" i="2"/>
  <c r="BD402" i="2"/>
  <c r="BC402" i="2"/>
  <c r="BA402" i="2"/>
  <c r="AZ402" i="2"/>
  <c r="AX402" i="2"/>
  <c r="AW402" i="2"/>
  <c r="AU402" i="2"/>
  <c r="AT402" i="2"/>
  <c r="M402" i="2"/>
  <c r="U402" i="2" s="1"/>
  <c r="L402" i="2"/>
  <c r="R402" i="2" s="1"/>
  <c r="BF402" i="2" s="1"/>
  <c r="B402" i="2"/>
  <c r="BV401" i="2"/>
  <c r="BU401" i="2"/>
  <c r="BS401" i="2"/>
  <c r="BR401" i="2"/>
  <c r="BP401" i="2"/>
  <c r="BO401" i="2"/>
  <c r="BM401" i="2"/>
  <c r="BL401" i="2"/>
  <c r="BJ401" i="2"/>
  <c r="BI401" i="2"/>
  <c r="BD401" i="2"/>
  <c r="BC401" i="2"/>
  <c r="BA401" i="2"/>
  <c r="AZ401" i="2"/>
  <c r="AX401" i="2"/>
  <c r="AW401" i="2"/>
  <c r="AU401" i="2"/>
  <c r="AT401" i="2"/>
  <c r="M401" i="2"/>
  <c r="U401" i="2" s="1"/>
  <c r="L401" i="2"/>
  <c r="R401" i="2" s="1"/>
  <c r="B401" i="2"/>
  <c r="BV400" i="2"/>
  <c r="BU400" i="2"/>
  <c r="BS400" i="2"/>
  <c r="BR400" i="2"/>
  <c r="BP400" i="2"/>
  <c r="BO400" i="2"/>
  <c r="BM400" i="2"/>
  <c r="BL400" i="2"/>
  <c r="BJ400" i="2"/>
  <c r="BI400" i="2"/>
  <c r="BD400" i="2"/>
  <c r="BC400" i="2"/>
  <c r="BA400" i="2"/>
  <c r="AZ400" i="2"/>
  <c r="AX400" i="2"/>
  <c r="AW400" i="2"/>
  <c r="AU400" i="2"/>
  <c r="AT400" i="2"/>
  <c r="R400" i="2"/>
  <c r="M400" i="2"/>
  <c r="U400" i="2" s="1"/>
  <c r="L400" i="2"/>
  <c r="B400" i="2"/>
  <c r="BV399" i="2"/>
  <c r="BU399" i="2"/>
  <c r="BS399" i="2"/>
  <c r="BR399" i="2"/>
  <c r="BP399" i="2"/>
  <c r="BO399" i="2"/>
  <c r="BM399" i="2"/>
  <c r="BL399" i="2"/>
  <c r="BJ399" i="2"/>
  <c r="BI399" i="2"/>
  <c r="BD399" i="2"/>
  <c r="BC399" i="2"/>
  <c r="BA399" i="2"/>
  <c r="AZ399" i="2"/>
  <c r="AX399" i="2"/>
  <c r="AW399" i="2"/>
  <c r="AU399" i="2"/>
  <c r="AT399" i="2"/>
  <c r="U399" i="2"/>
  <c r="M399" i="2"/>
  <c r="L399" i="2"/>
  <c r="R399" i="2" s="1"/>
  <c r="B399" i="2"/>
  <c r="BV398" i="2"/>
  <c r="BU398" i="2"/>
  <c r="BS398" i="2"/>
  <c r="BR398" i="2"/>
  <c r="BP398" i="2"/>
  <c r="BO398" i="2"/>
  <c r="BM398" i="2"/>
  <c r="BL398" i="2"/>
  <c r="BJ398" i="2"/>
  <c r="BI398" i="2"/>
  <c r="BD398" i="2"/>
  <c r="BC398" i="2"/>
  <c r="BA398" i="2"/>
  <c r="AZ398" i="2"/>
  <c r="AX398" i="2"/>
  <c r="AW398" i="2"/>
  <c r="AU398" i="2"/>
  <c r="AT398" i="2"/>
  <c r="R398" i="2"/>
  <c r="M398" i="2"/>
  <c r="U398" i="2" s="1"/>
  <c r="L398" i="2"/>
  <c r="B398" i="2"/>
  <c r="BV397" i="2"/>
  <c r="BU397" i="2"/>
  <c r="BS397" i="2"/>
  <c r="BR397" i="2"/>
  <c r="BP397" i="2"/>
  <c r="BO397" i="2"/>
  <c r="BM397" i="2"/>
  <c r="BL397" i="2"/>
  <c r="BJ397" i="2"/>
  <c r="BI397" i="2"/>
  <c r="BF397" i="2"/>
  <c r="BD397" i="2"/>
  <c r="BC397" i="2"/>
  <c r="BA397" i="2"/>
  <c r="AZ397" i="2"/>
  <c r="AX397" i="2"/>
  <c r="AW397" i="2"/>
  <c r="AU397" i="2"/>
  <c r="AT397" i="2"/>
  <c r="R397" i="2"/>
  <c r="M397" i="2"/>
  <c r="U397" i="2" s="1"/>
  <c r="L397" i="2"/>
  <c r="B397" i="2"/>
  <c r="BV396" i="2"/>
  <c r="BU396" i="2"/>
  <c r="BS396" i="2"/>
  <c r="BR396" i="2"/>
  <c r="BP396" i="2"/>
  <c r="BO396" i="2"/>
  <c r="BM396" i="2"/>
  <c r="BL396" i="2"/>
  <c r="BJ396" i="2"/>
  <c r="BI396" i="2"/>
  <c r="BG396" i="2"/>
  <c r="BF396" i="2"/>
  <c r="BA396" i="2"/>
  <c r="AZ396" i="2"/>
  <c r="AX396" i="2"/>
  <c r="AW396" i="2"/>
  <c r="AU396" i="2"/>
  <c r="AT396" i="2"/>
  <c r="M396" i="2"/>
  <c r="U396" i="2" s="1"/>
  <c r="L396" i="2"/>
  <c r="R396" i="2" s="1"/>
  <c r="BC396" i="2" s="1"/>
  <c r="B396" i="2"/>
  <c r="BV395" i="2"/>
  <c r="BU395" i="2"/>
  <c r="BS395" i="2"/>
  <c r="BR395" i="2"/>
  <c r="BP395" i="2"/>
  <c r="BO395" i="2"/>
  <c r="BM395" i="2"/>
  <c r="BL395" i="2"/>
  <c r="BJ395" i="2"/>
  <c r="BI395" i="2"/>
  <c r="BG395" i="2"/>
  <c r="BF395" i="2"/>
  <c r="BA395" i="2"/>
  <c r="AZ395" i="2"/>
  <c r="AX395" i="2"/>
  <c r="AW395" i="2"/>
  <c r="AU395" i="2"/>
  <c r="AT395" i="2"/>
  <c r="M395" i="2"/>
  <c r="U395" i="2" s="1"/>
  <c r="L395" i="2"/>
  <c r="R395" i="2" s="1"/>
  <c r="B395" i="2"/>
  <c r="BV394" i="2"/>
  <c r="BU394" i="2"/>
  <c r="BS394" i="2"/>
  <c r="BR394" i="2"/>
  <c r="BP394" i="2"/>
  <c r="BO394" i="2"/>
  <c r="BM394" i="2"/>
  <c r="BL394" i="2"/>
  <c r="BJ394" i="2"/>
  <c r="BI394" i="2"/>
  <c r="BG394" i="2"/>
  <c r="BF394" i="2"/>
  <c r="BA394" i="2"/>
  <c r="AZ394" i="2"/>
  <c r="AX394" i="2"/>
  <c r="AW394" i="2"/>
  <c r="AU394" i="2"/>
  <c r="AT394" i="2"/>
  <c r="R394" i="2"/>
  <c r="M394" i="2"/>
  <c r="U394" i="2" s="1"/>
  <c r="L394" i="2"/>
  <c r="B394" i="2"/>
  <c r="BV393" i="2"/>
  <c r="BU393" i="2"/>
  <c r="BS393" i="2"/>
  <c r="BR393" i="2"/>
  <c r="BP393" i="2"/>
  <c r="BO393" i="2"/>
  <c r="BM393" i="2"/>
  <c r="BL393" i="2"/>
  <c r="BJ393" i="2"/>
  <c r="BI393" i="2"/>
  <c r="BG393" i="2"/>
  <c r="BF393" i="2"/>
  <c r="BA393" i="2"/>
  <c r="AZ393" i="2"/>
  <c r="AX393" i="2"/>
  <c r="AW393" i="2"/>
  <c r="AU393" i="2"/>
  <c r="AT393" i="2"/>
  <c r="U393" i="2"/>
  <c r="M393" i="2"/>
  <c r="L393" i="2"/>
  <c r="R393" i="2" s="1"/>
  <c r="B393" i="2"/>
  <c r="BV392" i="2"/>
  <c r="BU392" i="2"/>
  <c r="BS392" i="2"/>
  <c r="BR392" i="2"/>
  <c r="BP392" i="2"/>
  <c r="BO392" i="2"/>
  <c r="BM392" i="2"/>
  <c r="BL392" i="2"/>
  <c r="BJ392" i="2"/>
  <c r="BI392" i="2"/>
  <c r="BG392" i="2"/>
  <c r="BF392" i="2"/>
  <c r="BA392" i="2"/>
  <c r="AZ392" i="2"/>
  <c r="AX392" i="2"/>
  <c r="AW392" i="2"/>
  <c r="AU392" i="2"/>
  <c r="AT392" i="2"/>
  <c r="M392" i="2"/>
  <c r="U392" i="2" s="1"/>
  <c r="L392" i="2"/>
  <c r="R392" i="2" s="1"/>
  <c r="B392" i="2"/>
  <c r="BV391" i="2"/>
  <c r="BU391" i="2"/>
  <c r="BS391" i="2"/>
  <c r="BR391" i="2"/>
  <c r="BP391" i="2"/>
  <c r="BO391" i="2"/>
  <c r="BM391" i="2"/>
  <c r="BL391" i="2"/>
  <c r="BJ391" i="2"/>
  <c r="BI391" i="2"/>
  <c r="BG391" i="2"/>
  <c r="BF391" i="2"/>
  <c r="BA391" i="2"/>
  <c r="AZ391" i="2"/>
  <c r="AX391" i="2"/>
  <c r="AW391" i="2"/>
  <c r="AU391" i="2"/>
  <c r="AT391" i="2"/>
  <c r="U391" i="2"/>
  <c r="R391" i="2"/>
  <c r="M391" i="2"/>
  <c r="L391" i="2"/>
  <c r="B391" i="2"/>
  <c r="BV390" i="2"/>
  <c r="BU390" i="2"/>
  <c r="BS390" i="2"/>
  <c r="BR390" i="2"/>
  <c r="BP390" i="2"/>
  <c r="BO390" i="2"/>
  <c r="BM390" i="2"/>
  <c r="BL390" i="2"/>
  <c r="BJ390" i="2"/>
  <c r="BI390" i="2"/>
  <c r="BG390" i="2"/>
  <c r="BF390" i="2"/>
  <c r="BA390" i="2"/>
  <c r="AZ390" i="2"/>
  <c r="AX390" i="2"/>
  <c r="AW390" i="2"/>
  <c r="AU390" i="2"/>
  <c r="AT390" i="2"/>
  <c r="U390" i="2"/>
  <c r="R390" i="2"/>
  <c r="M390" i="2"/>
  <c r="L390" i="2"/>
  <c r="B390" i="2"/>
  <c r="BV389" i="2"/>
  <c r="BU389" i="2"/>
  <c r="BS389" i="2"/>
  <c r="BR389" i="2"/>
  <c r="BP389" i="2"/>
  <c r="BO389" i="2"/>
  <c r="BM389" i="2"/>
  <c r="BL389" i="2"/>
  <c r="BJ389" i="2"/>
  <c r="BI389" i="2"/>
  <c r="BG389" i="2"/>
  <c r="BF389" i="2"/>
  <c r="BA389" i="2"/>
  <c r="AZ389" i="2"/>
  <c r="AX389" i="2"/>
  <c r="AW389" i="2"/>
  <c r="AU389" i="2"/>
  <c r="AT389" i="2"/>
  <c r="U389" i="2"/>
  <c r="M389" i="2"/>
  <c r="L389" i="2"/>
  <c r="R389" i="2" s="1"/>
  <c r="B389" i="2"/>
  <c r="BV388" i="2"/>
  <c r="BU388" i="2"/>
  <c r="BS388" i="2"/>
  <c r="BR388" i="2"/>
  <c r="BP388" i="2"/>
  <c r="BO388" i="2"/>
  <c r="BM388" i="2"/>
  <c r="BL388" i="2"/>
  <c r="BJ388" i="2"/>
  <c r="BI388" i="2"/>
  <c r="BD388" i="2"/>
  <c r="BC388" i="2"/>
  <c r="BA388" i="2"/>
  <c r="AZ388" i="2"/>
  <c r="AX388" i="2"/>
  <c r="AW388" i="2"/>
  <c r="AU388" i="2"/>
  <c r="AT388" i="2"/>
  <c r="U388" i="2"/>
  <c r="M388" i="2"/>
  <c r="J388" i="2"/>
  <c r="L388" i="2" s="1"/>
  <c r="R388" i="2" s="1"/>
  <c r="B388" i="2"/>
  <c r="BV387" i="2"/>
  <c r="BU387" i="2"/>
  <c r="BS387" i="2"/>
  <c r="BR387" i="2"/>
  <c r="BP387" i="2"/>
  <c r="BO387" i="2"/>
  <c r="BM387" i="2"/>
  <c r="BL387" i="2"/>
  <c r="BJ387" i="2"/>
  <c r="BI387" i="2"/>
  <c r="BD387" i="2"/>
  <c r="BC387" i="2"/>
  <c r="BA387" i="2"/>
  <c r="AZ387" i="2"/>
  <c r="AX387" i="2"/>
  <c r="AW387" i="2"/>
  <c r="AU387" i="2"/>
  <c r="AT387" i="2"/>
  <c r="M387" i="2"/>
  <c r="U387" i="2" s="1"/>
  <c r="J387" i="2"/>
  <c r="L387" i="2" s="1"/>
  <c r="R387" i="2" s="1"/>
  <c r="B387" i="2"/>
  <c r="BV386" i="2"/>
  <c r="BU386" i="2"/>
  <c r="BS386" i="2"/>
  <c r="BR386" i="2"/>
  <c r="BP386" i="2"/>
  <c r="BO386" i="2"/>
  <c r="BM386" i="2"/>
  <c r="BL386" i="2"/>
  <c r="BJ386" i="2"/>
  <c r="BI386" i="2"/>
  <c r="BD386" i="2"/>
  <c r="BC386" i="2"/>
  <c r="BA386" i="2"/>
  <c r="AZ386" i="2"/>
  <c r="AX386" i="2"/>
  <c r="AW386" i="2"/>
  <c r="AU386" i="2"/>
  <c r="AT386" i="2"/>
  <c r="U386" i="2"/>
  <c r="R386" i="2"/>
  <c r="M386" i="2"/>
  <c r="L386" i="2"/>
  <c r="J386" i="2"/>
  <c r="B386" i="2"/>
  <c r="BV385" i="2"/>
  <c r="BU385" i="2"/>
  <c r="BS385" i="2"/>
  <c r="BR385" i="2"/>
  <c r="BP385" i="2"/>
  <c r="BO385" i="2"/>
  <c r="BM385" i="2"/>
  <c r="BL385" i="2"/>
  <c r="BJ385" i="2"/>
  <c r="BI385" i="2"/>
  <c r="BD385" i="2"/>
  <c r="BC385" i="2"/>
  <c r="BA385" i="2"/>
  <c r="AZ385" i="2"/>
  <c r="AX385" i="2"/>
  <c r="AW385" i="2"/>
  <c r="AU385" i="2"/>
  <c r="AT385" i="2"/>
  <c r="M385" i="2"/>
  <c r="U385" i="2" s="1"/>
  <c r="L385" i="2"/>
  <c r="R385" i="2" s="1"/>
  <c r="J385" i="2"/>
  <c r="B385" i="2"/>
  <c r="BV384" i="2"/>
  <c r="BU384" i="2"/>
  <c r="BS384" i="2"/>
  <c r="BR384" i="2"/>
  <c r="BP384" i="2"/>
  <c r="BO384" i="2"/>
  <c r="BM384" i="2"/>
  <c r="BL384" i="2"/>
  <c r="BJ384" i="2"/>
  <c r="BI384" i="2"/>
  <c r="BD384" i="2"/>
  <c r="BC384" i="2"/>
  <c r="BA384" i="2"/>
  <c r="AZ384" i="2"/>
  <c r="AX384" i="2"/>
  <c r="AW384" i="2"/>
  <c r="AU384" i="2"/>
  <c r="AT384" i="2"/>
  <c r="U384" i="2"/>
  <c r="M384" i="2"/>
  <c r="J384" i="2"/>
  <c r="L384" i="2" s="1"/>
  <c r="R384" i="2" s="1"/>
  <c r="B384" i="2"/>
  <c r="BV383" i="2"/>
  <c r="BU383" i="2"/>
  <c r="BS383" i="2"/>
  <c r="BR383" i="2"/>
  <c r="BP383" i="2"/>
  <c r="BO383" i="2"/>
  <c r="BM383" i="2"/>
  <c r="BL383" i="2"/>
  <c r="BJ383" i="2"/>
  <c r="BI383" i="2"/>
  <c r="BD383" i="2"/>
  <c r="BC383" i="2"/>
  <c r="BA383" i="2"/>
  <c r="AZ383" i="2"/>
  <c r="AX383" i="2"/>
  <c r="AW383" i="2"/>
  <c r="AU383" i="2"/>
  <c r="AT383" i="2"/>
  <c r="M383" i="2"/>
  <c r="U383" i="2" s="1"/>
  <c r="J383" i="2"/>
  <c r="L383" i="2" s="1"/>
  <c r="R383" i="2" s="1"/>
  <c r="B383" i="2"/>
  <c r="BV382" i="2"/>
  <c r="BU382" i="2"/>
  <c r="BS382" i="2"/>
  <c r="BR382" i="2"/>
  <c r="BP382" i="2"/>
  <c r="BO382" i="2"/>
  <c r="BM382" i="2"/>
  <c r="BL382" i="2"/>
  <c r="BJ382" i="2"/>
  <c r="BI382" i="2"/>
  <c r="BD382" i="2"/>
  <c r="BC382" i="2"/>
  <c r="BA382" i="2"/>
  <c r="AZ382" i="2"/>
  <c r="AX382" i="2"/>
  <c r="AW382" i="2"/>
  <c r="AU382" i="2"/>
  <c r="AT382" i="2"/>
  <c r="U382" i="2"/>
  <c r="R382" i="2"/>
  <c r="M382" i="2"/>
  <c r="L382" i="2"/>
  <c r="J382" i="2"/>
  <c r="B382" i="2"/>
  <c r="BV381" i="2"/>
  <c r="BU381" i="2"/>
  <c r="BS381" i="2"/>
  <c r="BR381" i="2"/>
  <c r="BP381" i="2"/>
  <c r="BO381" i="2"/>
  <c r="BM381" i="2"/>
  <c r="BL381" i="2"/>
  <c r="BJ381" i="2"/>
  <c r="BI381" i="2"/>
  <c r="BD381" i="2"/>
  <c r="BC381" i="2"/>
  <c r="BA381" i="2"/>
  <c r="AZ381" i="2"/>
  <c r="AX381" i="2"/>
  <c r="AW381" i="2"/>
  <c r="AU381" i="2"/>
  <c r="AT381" i="2"/>
  <c r="M381" i="2"/>
  <c r="U381" i="2" s="1"/>
  <c r="L381" i="2"/>
  <c r="R381" i="2" s="1"/>
  <c r="J381" i="2"/>
  <c r="B381" i="2"/>
  <c r="BV380" i="2"/>
  <c r="BU380" i="2"/>
  <c r="BS380" i="2"/>
  <c r="BR380" i="2"/>
  <c r="BP380" i="2"/>
  <c r="BO380" i="2"/>
  <c r="BM380" i="2"/>
  <c r="BL380" i="2"/>
  <c r="BJ380" i="2"/>
  <c r="BI380" i="2"/>
  <c r="BD380" i="2"/>
  <c r="BC380" i="2"/>
  <c r="BA380" i="2"/>
  <c r="AZ380" i="2"/>
  <c r="AX380" i="2"/>
  <c r="AW380" i="2"/>
  <c r="AU380" i="2"/>
  <c r="AT380" i="2"/>
  <c r="U380" i="2"/>
  <c r="M380" i="2"/>
  <c r="J380" i="2"/>
  <c r="L380" i="2" s="1"/>
  <c r="R380" i="2" s="1"/>
  <c r="B380" i="2"/>
  <c r="BV379" i="2"/>
  <c r="BU379" i="2"/>
  <c r="BS379" i="2"/>
  <c r="BR379" i="2"/>
  <c r="BP379" i="2"/>
  <c r="BO379" i="2"/>
  <c r="BM379" i="2"/>
  <c r="BL379" i="2"/>
  <c r="BJ379" i="2"/>
  <c r="BI379" i="2"/>
  <c r="BD379" i="2"/>
  <c r="BC379" i="2"/>
  <c r="BA379" i="2"/>
  <c r="AZ379" i="2"/>
  <c r="AX379" i="2"/>
  <c r="AW379" i="2"/>
  <c r="AU379" i="2"/>
  <c r="AT379" i="2"/>
  <c r="R379" i="2"/>
  <c r="M379" i="2"/>
  <c r="U379" i="2" s="1"/>
  <c r="L379" i="2"/>
  <c r="B379" i="2"/>
  <c r="BV378" i="2"/>
  <c r="BU378" i="2"/>
  <c r="BS378" i="2"/>
  <c r="BR378" i="2"/>
  <c r="BP378" i="2"/>
  <c r="BO378" i="2"/>
  <c r="BM378" i="2"/>
  <c r="BL378" i="2"/>
  <c r="BJ378" i="2"/>
  <c r="BI378" i="2"/>
  <c r="BF378" i="2"/>
  <c r="BD378" i="2"/>
  <c r="BC378" i="2"/>
  <c r="BA378" i="2"/>
  <c r="AZ378" i="2"/>
  <c r="AX378" i="2"/>
  <c r="AW378" i="2"/>
  <c r="AU378" i="2"/>
  <c r="AT378" i="2"/>
  <c r="R378" i="2"/>
  <c r="M378" i="2"/>
  <c r="U378" i="2" s="1"/>
  <c r="L378" i="2"/>
  <c r="B378" i="2"/>
  <c r="BV377" i="2"/>
  <c r="BU377" i="2"/>
  <c r="BS377" i="2"/>
  <c r="BR377" i="2"/>
  <c r="BP377" i="2"/>
  <c r="BO377" i="2"/>
  <c r="BM377" i="2"/>
  <c r="BL377" i="2"/>
  <c r="BJ377" i="2"/>
  <c r="BI377" i="2"/>
  <c r="BD377" i="2"/>
  <c r="BC377" i="2"/>
  <c r="BA377" i="2"/>
  <c r="AZ377" i="2"/>
  <c r="AX377" i="2"/>
  <c r="AW377" i="2"/>
  <c r="AU377" i="2"/>
  <c r="AT377" i="2"/>
  <c r="M377" i="2"/>
  <c r="U377" i="2" s="1"/>
  <c r="L377" i="2"/>
  <c r="R377" i="2" s="1"/>
  <c r="BF377" i="2" s="1"/>
  <c r="B377" i="2"/>
  <c r="BV376" i="2"/>
  <c r="BU376" i="2"/>
  <c r="BS376" i="2"/>
  <c r="BR376" i="2"/>
  <c r="BP376" i="2"/>
  <c r="BO376" i="2"/>
  <c r="BM376" i="2"/>
  <c r="BL376" i="2"/>
  <c r="BJ376" i="2"/>
  <c r="BI376" i="2"/>
  <c r="BD376" i="2"/>
  <c r="BC376" i="2"/>
  <c r="BA376" i="2"/>
  <c r="AZ376" i="2"/>
  <c r="AX376" i="2"/>
  <c r="AW376" i="2"/>
  <c r="AU376" i="2"/>
  <c r="AT376" i="2"/>
  <c r="M376" i="2"/>
  <c r="U376" i="2" s="1"/>
  <c r="L376" i="2"/>
  <c r="R376" i="2" s="1"/>
  <c r="B376" i="2"/>
  <c r="BV375" i="2"/>
  <c r="BU375" i="2"/>
  <c r="BS375" i="2"/>
  <c r="BR375" i="2"/>
  <c r="BP375" i="2"/>
  <c r="BO375" i="2"/>
  <c r="BM375" i="2"/>
  <c r="BL375" i="2"/>
  <c r="BJ375" i="2"/>
  <c r="BI375" i="2"/>
  <c r="BD375" i="2"/>
  <c r="BC375" i="2"/>
  <c r="BA375" i="2"/>
  <c r="AZ375" i="2"/>
  <c r="AX375" i="2"/>
  <c r="AW375" i="2"/>
  <c r="AU375" i="2"/>
  <c r="AT375" i="2"/>
  <c r="R375" i="2"/>
  <c r="M375" i="2"/>
  <c r="U375" i="2" s="1"/>
  <c r="L375" i="2"/>
  <c r="B375" i="2"/>
  <c r="BV374" i="2"/>
  <c r="BU374" i="2"/>
  <c r="BS374" i="2"/>
  <c r="BR374" i="2"/>
  <c r="BP374" i="2"/>
  <c r="BO374" i="2"/>
  <c r="BM374" i="2"/>
  <c r="BL374" i="2"/>
  <c r="BJ374" i="2"/>
  <c r="BI374" i="2"/>
  <c r="BD374" i="2"/>
  <c r="BC374" i="2"/>
  <c r="BA374" i="2"/>
  <c r="AZ374" i="2"/>
  <c r="AX374" i="2"/>
  <c r="AW374" i="2"/>
  <c r="AU374" i="2"/>
  <c r="AT374" i="2"/>
  <c r="U374" i="2"/>
  <c r="M374" i="2"/>
  <c r="L374" i="2"/>
  <c r="R374" i="2" s="1"/>
  <c r="B374" i="2"/>
  <c r="BV373" i="2"/>
  <c r="BU373" i="2"/>
  <c r="BS373" i="2"/>
  <c r="BR373" i="2"/>
  <c r="BP373" i="2"/>
  <c r="BO373" i="2"/>
  <c r="BM373" i="2"/>
  <c r="BL373" i="2"/>
  <c r="BJ373" i="2"/>
  <c r="BI373" i="2"/>
  <c r="BD373" i="2"/>
  <c r="BC373" i="2"/>
  <c r="BA373" i="2"/>
  <c r="AZ373" i="2"/>
  <c r="AX373" i="2"/>
  <c r="AW373" i="2"/>
  <c r="AU373" i="2"/>
  <c r="AT373" i="2"/>
  <c r="M373" i="2"/>
  <c r="U373" i="2" s="1"/>
  <c r="J373" i="2"/>
  <c r="L373" i="2" s="1"/>
  <c r="R373" i="2" s="1"/>
  <c r="B373" i="2"/>
  <c r="BV372" i="2"/>
  <c r="BU372" i="2"/>
  <c r="BS372" i="2"/>
  <c r="BR372" i="2"/>
  <c r="BP372" i="2"/>
  <c r="BO372" i="2"/>
  <c r="BM372" i="2"/>
  <c r="BL372" i="2"/>
  <c r="BJ372" i="2"/>
  <c r="BI372" i="2"/>
  <c r="BD372" i="2"/>
  <c r="BC372" i="2"/>
  <c r="BA372" i="2"/>
  <c r="AZ372" i="2"/>
  <c r="AX372" i="2"/>
  <c r="AW372" i="2"/>
  <c r="AU372" i="2"/>
  <c r="AT372" i="2"/>
  <c r="U372" i="2"/>
  <c r="M372" i="2"/>
  <c r="L372" i="2"/>
  <c r="R372" i="2" s="1"/>
  <c r="J372" i="2"/>
  <c r="B372" i="2"/>
  <c r="BV371" i="2"/>
  <c r="BU371" i="2"/>
  <c r="BS371" i="2"/>
  <c r="BR371" i="2"/>
  <c r="BP371" i="2"/>
  <c r="BO371" i="2"/>
  <c r="BM371" i="2"/>
  <c r="BL371" i="2"/>
  <c r="BJ371" i="2"/>
  <c r="BI371" i="2"/>
  <c r="BD371" i="2"/>
  <c r="BC371" i="2"/>
  <c r="BA371" i="2"/>
  <c r="AZ371" i="2"/>
  <c r="AX371" i="2"/>
  <c r="AW371" i="2"/>
  <c r="AU371" i="2"/>
  <c r="AT371" i="2"/>
  <c r="M371" i="2"/>
  <c r="U371" i="2" s="1"/>
  <c r="L371" i="2"/>
  <c r="R371" i="2" s="1"/>
  <c r="BF371" i="2" s="1"/>
  <c r="J371" i="2"/>
  <c r="B371" i="2"/>
  <c r="BV370" i="2"/>
  <c r="BU370" i="2"/>
  <c r="BS370" i="2"/>
  <c r="BR370" i="2"/>
  <c r="BP370" i="2"/>
  <c r="BO370" i="2"/>
  <c r="BM370" i="2"/>
  <c r="BL370" i="2"/>
  <c r="BJ370" i="2"/>
  <c r="BI370" i="2"/>
  <c r="BD370" i="2"/>
  <c r="BC370" i="2"/>
  <c r="BA370" i="2"/>
  <c r="AZ370" i="2"/>
  <c r="AX370" i="2"/>
  <c r="AW370" i="2"/>
  <c r="AU370" i="2"/>
  <c r="AT370" i="2"/>
  <c r="U370" i="2"/>
  <c r="M370" i="2"/>
  <c r="J370" i="2"/>
  <c r="L370" i="2" s="1"/>
  <c r="R370" i="2" s="1"/>
  <c r="B370" i="2"/>
  <c r="BV369" i="2"/>
  <c r="BU369" i="2"/>
  <c r="BS369" i="2"/>
  <c r="BR369" i="2"/>
  <c r="BP369" i="2"/>
  <c r="BO369" i="2"/>
  <c r="BM369" i="2"/>
  <c r="BL369" i="2"/>
  <c r="BJ369" i="2"/>
  <c r="BI369" i="2"/>
  <c r="BD369" i="2"/>
  <c r="BC369" i="2"/>
  <c r="BA369" i="2"/>
  <c r="AZ369" i="2"/>
  <c r="AX369" i="2"/>
  <c r="AW369" i="2"/>
  <c r="AU369" i="2"/>
  <c r="AT369" i="2"/>
  <c r="M369" i="2"/>
  <c r="U369" i="2" s="1"/>
  <c r="J369" i="2"/>
  <c r="L369" i="2" s="1"/>
  <c r="R369" i="2" s="1"/>
  <c r="B369" i="2"/>
  <c r="BV368" i="2"/>
  <c r="BU368" i="2"/>
  <c r="BS368" i="2"/>
  <c r="BR368" i="2"/>
  <c r="BP368" i="2"/>
  <c r="BO368" i="2"/>
  <c r="BM368" i="2"/>
  <c r="BL368" i="2"/>
  <c r="BJ368" i="2"/>
  <c r="BI368" i="2"/>
  <c r="BD368" i="2"/>
  <c r="BC368" i="2"/>
  <c r="BA368" i="2"/>
  <c r="AZ368" i="2"/>
  <c r="AX368" i="2"/>
  <c r="AW368" i="2"/>
  <c r="AU368" i="2"/>
  <c r="AT368" i="2"/>
  <c r="U368" i="2"/>
  <c r="M368" i="2"/>
  <c r="L368" i="2"/>
  <c r="R368" i="2" s="1"/>
  <c r="J368" i="2"/>
  <c r="B368" i="2"/>
  <c r="BV367" i="2"/>
  <c r="BU367" i="2"/>
  <c r="BS367" i="2"/>
  <c r="BR367" i="2"/>
  <c r="BP367" i="2"/>
  <c r="BO367" i="2"/>
  <c r="BM367" i="2"/>
  <c r="BL367" i="2"/>
  <c r="BJ367" i="2"/>
  <c r="BI367" i="2"/>
  <c r="BD367" i="2"/>
  <c r="BC367" i="2"/>
  <c r="BA367" i="2"/>
  <c r="AZ367" i="2"/>
  <c r="AX367" i="2"/>
  <c r="AW367" i="2"/>
  <c r="AU367" i="2"/>
  <c r="AT367" i="2"/>
  <c r="M367" i="2"/>
  <c r="U367" i="2" s="1"/>
  <c r="J367" i="2"/>
  <c r="L367" i="2" s="1"/>
  <c r="R367" i="2" s="1"/>
  <c r="B367" i="2"/>
  <c r="BV366" i="2"/>
  <c r="BU366" i="2"/>
  <c r="BS366" i="2"/>
  <c r="BR366" i="2"/>
  <c r="BP366" i="2"/>
  <c r="BO366" i="2"/>
  <c r="BM366" i="2"/>
  <c r="BL366" i="2"/>
  <c r="BJ366" i="2"/>
  <c r="BI366" i="2"/>
  <c r="BD366" i="2"/>
  <c r="BC366" i="2"/>
  <c r="BA366" i="2"/>
  <c r="AZ366" i="2"/>
  <c r="AX366" i="2"/>
  <c r="AW366" i="2"/>
  <c r="AU366" i="2"/>
  <c r="AT366" i="2"/>
  <c r="U366" i="2"/>
  <c r="R366" i="2"/>
  <c r="BF366" i="2" s="1"/>
  <c r="M366" i="2"/>
  <c r="J366" i="2"/>
  <c r="L366" i="2" s="1"/>
  <c r="B366" i="2"/>
  <c r="BV365" i="2"/>
  <c r="BU365" i="2"/>
  <c r="BS365" i="2"/>
  <c r="BR365" i="2"/>
  <c r="BP365" i="2"/>
  <c r="BO365" i="2"/>
  <c r="BM365" i="2"/>
  <c r="BL365" i="2"/>
  <c r="BJ365" i="2"/>
  <c r="BI365" i="2"/>
  <c r="BD365" i="2"/>
  <c r="BC365" i="2"/>
  <c r="BA365" i="2"/>
  <c r="AZ365" i="2"/>
  <c r="AX365" i="2"/>
  <c r="AW365" i="2"/>
  <c r="AU365" i="2"/>
  <c r="AT365" i="2"/>
  <c r="M365" i="2"/>
  <c r="U365" i="2" s="1"/>
  <c r="J365" i="2"/>
  <c r="L365" i="2" s="1"/>
  <c r="R365" i="2" s="1"/>
  <c r="B365" i="2"/>
  <c r="BV364" i="2"/>
  <c r="BU364" i="2"/>
  <c r="BS364" i="2"/>
  <c r="BR364" i="2"/>
  <c r="BP364" i="2"/>
  <c r="BO364" i="2"/>
  <c r="BM364" i="2"/>
  <c r="BL364" i="2"/>
  <c r="BJ364" i="2"/>
  <c r="BI364" i="2"/>
  <c r="BD364" i="2"/>
  <c r="BC364" i="2"/>
  <c r="BA364" i="2"/>
  <c r="AZ364" i="2"/>
  <c r="AX364" i="2"/>
  <c r="AW364" i="2"/>
  <c r="AU364" i="2"/>
  <c r="AT364" i="2"/>
  <c r="U364" i="2"/>
  <c r="M364" i="2"/>
  <c r="L364" i="2"/>
  <c r="R364" i="2" s="1"/>
  <c r="J364" i="2"/>
  <c r="B364" i="2"/>
  <c r="BV363" i="2"/>
  <c r="BU363" i="2"/>
  <c r="BS363" i="2"/>
  <c r="BR363" i="2"/>
  <c r="BP363" i="2"/>
  <c r="BO363" i="2"/>
  <c r="BM363" i="2"/>
  <c r="BL363" i="2"/>
  <c r="BJ363" i="2"/>
  <c r="BI363" i="2"/>
  <c r="BD363" i="2"/>
  <c r="BC363" i="2"/>
  <c r="BA363" i="2"/>
  <c r="AZ363" i="2"/>
  <c r="AX363" i="2"/>
  <c r="AW363" i="2"/>
  <c r="AU363" i="2"/>
  <c r="AT363" i="2"/>
  <c r="M363" i="2"/>
  <c r="U363" i="2" s="1"/>
  <c r="L363" i="2"/>
  <c r="R363" i="2" s="1"/>
  <c r="J363" i="2"/>
  <c r="B363" i="2"/>
  <c r="BV362" i="2"/>
  <c r="BU362" i="2"/>
  <c r="BS362" i="2"/>
  <c r="BR362" i="2"/>
  <c r="BP362" i="2"/>
  <c r="BO362" i="2"/>
  <c r="BM362" i="2"/>
  <c r="BL362" i="2"/>
  <c r="BJ362" i="2"/>
  <c r="BI362" i="2"/>
  <c r="BD362" i="2"/>
  <c r="BC362" i="2"/>
  <c r="BA362" i="2"/>
  <c r="AZ362" i="2"/>
  <c r="AX362" i="2"/>
  <c r="AW362" i="2"/>
  <c r="AU362" i="2"/>
  <c r="AT362" i="2"/>
  <c r="U362" i="2"/>
  <c r="R362" i="2"/>
  <c r="BF362" i="2" s="1"/>
  <c r="M362" i="2"/>
  <c r="J362" i="2"/>
  <c r="L362" i="2" s="1"/>
  <c r="B362" i="2"/>
  <c r="BV361" i="2"/>
  <c r="BU361" i="2"/>
  <c r="BS361" i="2"/>
  <c r="BR361" i="2"/>
  <c r="BP361" i="2"/>
  <c r="BO361" i="2"/>
  <c r="BM361" i="2"/>
  <c r="BL361" i="2"/>
  <c r="BJ361" i="2"/>
  <c r="BI361" i="2"/>
  <c r="BD361" i="2"/>
  <c r="BC361" i="2"/>
  <c r="BA361" i="2"/>
  <c r="AZ361" i="2"/>
  <c r="AX361" i="2"/>
  <c r="AW361" i="2"/>
  <c r="AU361" i="2"/>
  <c r="AT361" i="2"/>
  <c r="R361" i="2"/>
  <c r="M361" i="2"/>
  <c r="U361" i="2" s="1"/>
  <c r="J361" i="2"/>
  <c r="L361" i="2" s="1"/>
  <c r="B361" i="2"/>
  <c r="BV360" i="2"/>
  <c r="BU360" i="2"/>
  <c r="BS360" i="2"/>
  <c r="BR360" i="2"/>
  <c r="BP360" i="2"/>
  <c r="BO360" i="2"/>
  <c r="BM360" i="2"/>
  <c r="BL360" i="2"/>
  <c r="BJ360" i="2"/>
  <c r="BI360" i="2"/>
  <c r="BG360" i="2"/>
  <c r="BF360" i="2"/>
  <c r="BA360" i="2"/>
  <c r="AZ360" i="2"/>
  <c r="AX360" i="2"/>
  <c r="AW360" i="2"/>
  <c r="AU360" i="2"/>
  <c r="AT360" i="2"/>
  <c r="U360" i="2"/>
  <c r="R360" i="2"/>
  <c r="M360" i="2"/>
  <c r="L360" i="2"/>
  <c r="B360" i="2"/>
  <c r="BV359" i="2"/>
  <c r="BU359" i="2"/>
  <c r="BS359" i="2"/>
  <c r="BR359" i="2"/>
  <c r="BP359" i="2"/>
  <c r="BO359" i="2"/>
  <c r="BM359" i="2"/>
  <c r="BL359" i="2"/>
  <c r="BJ359" i="2"/>
  <c r="BI359" i="2"/>
  <c r="BG359" i="2"/>
  <c r="BF359" i="2"/>
  <c r="BA359" i="2"/>
  <c r="AZ359" i="2"/>
  <c r="AX359" i="2"/>
  <c r="AW359" i="2"/>
  <c r="AU359" i="2"/>
  <c r="AT359" i="2"/>
  <c r="U359" i="2"/>
  <c r="R359" i="2"/>
  <c r="BC359" i="2" s="1"/>
  <c r="M359" i="2"/>
  <c r="L359" i="2"/>
  <c r="J359" i="2"/>
  <c r="B359" i="2"/>
  <c r="BV358" i="2"/>
  <c r="BU358" i="2"/>
  <c r="BS358" i="2"/>
  <c r="BR358" i="2"/>
  <c r="BP358" i="2"/>
  <c r="BO358" i="2"/>
  <c r="BM358" i="2"/>
  <c r="BL358" i="2"/>
  <c r="BJ358" i="2"/>
  <c r="BI358" i="2"/>
  <c r="BG358" i="2"/>
  <c r="BF358" i="2"/>
  <c r="BA358" i="2"/>
  <c r="AZ358" i="2"/>
  <c r="AX358" i="2"/>
  <c r="AW358" i="2"/>
  <c r="AU358" i="2"/>
  <c r="AT358" i="2"/>
  <c r="R358" i="2"/>
  <c r="BC358" i="2" s="1"/>
  <c r="M358" i="2"/>
  <c r="U358" i="2" s="1"/>
  <c r="J358" i="2"/>
  <c r="L358" i="2" s="1"/>
  <c r="B358" i="2"/>
  <c r="BV357" i="2"/>
  <c r="BU357" i="2"/>
  <c r="BS357" i="2"/>
  <c r="BR357" i="2"/>
  <c r="BP357" i="2"/>
  <c r="BO357" i="2"/>
  <c r="BM357" i="2"/>
  <c r="BL357" i="2"/>
  <c r="BG357" i="2"/>
  <c r="BF357" i="2"/>
  <c r="BD357" i="2"/>
  <c r="BC357" i="2"/>
  <c r="BA357" i="2"/>
  <c r="AZ357" i="2"/>
  <c r="AX357" i="2"/>
  <c r="AW357" i="2"/>
  <c r="AU357" i="2"/>
  <c r="AT357" i="2"/>
  <c r="M357" i="2"/>
  <c r="U357" i="2" s="1"/>
  <c r="L357" i="2"/>
  <c r="R357" i="2" s="1"/>
  <c r="B357" i="2"/>
  <c r="BV356" i="2"/>
  <c r="BU356" i="2"/>
  <c r="BS356" i="2"/>
  <c r="BR356" i="2"/>
  <c r="BP356" i="2"/>
  <c r="BO356" i="2"/>
  <c r="BM356" i="2"/>
  <c r="BL356" i="2"/>
  <c r="BG356" i="2"/>
  <c r="BF356" i="2"/>
  <c r="BD356" i="2"/>
  <c r="BC356" i="2"/>
  <c r="BA356" i="2"/>
  <c r="AZ356" i="2"/>
  <c r="AX356" i="2"/>
  <c r="AW356" i="2"/>
  <c r="AU356" i="2"/>
  <c r="AT356" i="2"/>
  <c r="M356" i="2"/>
  <c r="U356" i="2" s="1"/>
  <c r="L356" i="2"/>
  <c r="R356" i="2" s="1"/>
  <c r="B356" i="2"/>
  <c r="BV355" i="2"/>
  <c r="BU355" i="2"/>
  <c r="BS355" i="2"/>
  <c r="BR355" i="2"/>
  <c r="BP355" i="2"/>
  <c r="BO355" i="2"/>
  <c r="BM355" i="2"/>
  <c r="BL355" i="2"/>
  <c r="BG355" i="2"/>
  <c r="BF355" i="2"/>
  <c r="BD355" i="2"/>
  <c r="BC355" i="2"/>
  <c r="BA355" i="2"/>
  <c r="AZ355" i="2"/>
  <c r="AX355" i="2"/>
  <c r="AW355" i="2"/>
  <c r="AU355" i="2"/>
  <c r="AT355" i="2"/>
  <c r="U355" i="2"/>
  <c r="R355" i="2"/>
  <c r="M355" i="2"/>
  <c r="L355" i="2"/>
  <c r="B355" i="2"/>
  <c r="BV354" i="2"/>
  <c r="BU354" i="2"/>
  <c r="BS354" i="2"/>
  <c r="BR354" i="2"/>
  <c r="BP354" i="2"/>
  <c r="BO354" i="2"/>
  <c r="BM354" i="2"/>
  <c r="BL354" i="2"/>
  <c r="BG354" i="2"/>
  <c r="BF354" i="2"/>
  <c r="BD354" i="2"/>
  <c r="BC354" i="2"/>
  <c r="BA354" i="2"/>
  <c r="AZ354" i="2"/>
  <c r="AX354" i="2"/>
  <c r="AW354" i="2"/>
  <c r="AU354" i="2"/>
  <c r="AT354" i="2"/>
  <c r="U354" i="2"/>
  <c r="R354" i="2"/>
  <c r="M354" i="2"/>
  <c r="L354" i="2"/>
  <c r="B354" i="2"/>
  <c r="BV353" i="2"/>
  <c r="BU353" i="2"/>
  <c r="BS353" i="2"/>
  <c r="BR353" i="2"/>
  <c r="BP353" i="2"/>
  <c r="BO353" i="2"/>
  <c r="BM353" i="2"/>
  <c r="BL353" i="2"/>
  <c r="BG353" i="2"/>
  <c r="BF353" i="2"/>
  <c r="BD353" i="2"/>
  <c r="BC353" i="2"/>
  <c r="BA353" i="2"/>
  <c r="AZ353" i="2"/>
  <c r="AX353" i="2"/>
  <c r="AW353" i="2"/>
  <c r="AU353" i="2"/>
  <c r="AT353" i="2"/>
  <c r="R353" i="2"/>
  <c r="M353" i="2"/>
  <c r="U353" i="2" s="1"/>
  <c r="L353" i="2"/>
  <c r="B353" i="2"/>
  <c r="BV352" i="2"/>
  <c r="BU352" i="2"/>
  <c r="BS352" i="2"/>
  <c r="BR352" i="2"/>
  <c r="BP352" i="2"/>
  <c r="BO352" i="2"/>
  <c r="BM352" i="2"/>
  <c r="BL352" i="2"/>
  <c r="BI352" i="2"/>
  <c r="BG352" i="2"/>
  <c r="BF352" i="2"/>
  <c r="BD352" i="2"/>
  <c r="BC352" i="2"/>
  <c r="BA352" i="2"/>
  <c r="AZ352" i="2"/>
  <c r="AX352" i="2"/>
  <c r="AW352" i="2"/>
  <c r="AU352" i="2"/>
  <c r="AT352" i="2"/>
  <c r="U352" i="2"/>
  <c r="R352" i="2"/>
  <c r="M352" i="2"/>
  <c r="L352" i="2"/>
  <c r="B352" i="2"/>
  <c r="BV351" i="2"/>
  <c r="BU351" i="2"/>
  <c r="BS351" i="2"/>
  <c r="BR351" i="2"/>
  <c r="BP351" i="2"/>
  <c r="BO351" i="2"/>
  <c r="BM351" i="2"/>
  <c r="BL351" i="2"/>
  <c r="BJ351" i="2"/>
  <c r="BI351" i="2"/>
  <c r="BG351" i="2"/>
  <c r="BF351" i="2"/>
  <c r="BD351" i="2"/>
  <c r="BC351" i="2"/>
  <c r="BA351" i="2"/>
  <c r="AZ351" i="2"/>
  <c r="AU351" i="2"/>
  <c r="AT351" i="2"/>
  <c r="U351" i="2"/>
  <c r="R351" i="2"/>
  <c r="M351" i="2"/>
  <c r="L351" i="2"/>
  <c r="B351" i="2"/>
  <c r="BV350" i="2"/>
  <c r="BU350" i="2"/>
  <c r="BS350" i="2"/>
  <c r="BR350" i="2"/>
  <c r="BP350" i="2"/>
  <c r="BO350" i="2"/>
  <c r="BM350" i="2"/>
  <c r="BL350" i="2"/>
  <c r="BJ350" i="2"/>
  <c r="BI350" i="2"/>
  <c r="BG350" i="2"/>
  <c r="BF350" i="2"/>
  <c r="BD350" i="2"/>
  <c r="BC350" i="2"/>
  <c r="BA350" i="2"/>
  <c r="AZ350" i="2"/>
  <c r="AU350" i="2"/>
  <c r="AT350" i="2"/>
  <c r="U350" i="2"/>
  <c r="R350" i="2"/>
  <c r="M350" i="2"/>
  <c r="L350" i="2"/>
  <c r="B350" i="2"/>
  <c r="BV349" i="2"/>
  <c r="BU349" i="2"/>
  <c r="BS349" i="2"/>
  <c r="BR349" i="2"/>
  <c r="BP349" i="2"/>
  <c r="BO349" i="2"/>
  <c r="BM349" i="2"/>
  <c r="BL349" i="2"/>
  <c r="BJ349" i="2"/>
  <c r="BI349" i="2"/>
  <c r="BG349" i="2"/>
  <c r="BF349" i="2"/>
  <c r="BD349" i="2"/>
  <c r="BC349" i="2"/>
  <c r="BA349" i="2"/>
  <c r="AZ349" i="2"/>
  <c r="AW349" i="2"/>
  <c r="AU349" i="2"/>
  <c r="AT349" i="2"/>
  <c r="U349" i="2"/>
  <c r="M349" i="2"/>
  <c r="L349" i="2"/>
  <c r="R349" i="2" s="1"/>
  <c r="B349" i="2"/>
  <c r="BV348" i="2"/>
  <c r="BU348" i="2"/>
  <c r="BS348" i="2"/>
  <c r="BR348" i="2"/>
  <c r="BP348" i="2"/>
  <c r="BO348" i="2"/>
  <c r="BM348" i="2"/>
  <c r="BL348" i="2"/>
  <c r="BJ348" i="2"/>
  <c r="BI348" i="2"/>
  <c r="BG348" i="2"/>
  <c r="BF348" i="2"/>
  <c r="BD348" i="2"/>
  <c r="BC348" i="2"/>
  <c r="BA348" i="2"/>
  <c r="AZ348" i="2"/>
  <c r="AW348" i="2"/>
  <c r="AU348" i="2"/>
  <c r="AT348" i="2"/>
  <c r="U348" i="2"/>
  <c r="R348" i="2"/>
  <c r="M348" i="2"/>
  <c r="L348" i="2"/>
  <c r="B348" i="2"/>
  <c r="BV347" i="2"/>
  <c r="BU347" i="2"/>
  <c r="BS347" i="2"/>
  <c r="BR347" i="2"/>
  <c r="BP347" i="2"/>
  <c r="BO347" i="2"/>
  <c r="BM347" i="2"/>
  <c r="BL347" i="2"/>
  <c r="BJ347" i="2"/>
  <c r="BI347" i="2"/>
  <c r="BG347" i="2"/>
  <c r="BF347" i="2"/>
  <c r="BD347" i="2"/>
  <c r="BC347" i="2"/>
  <c r="BA347" i="2"/>
  <c r="AZ347" i="2"/>
  <c r="AW347" i="2"/>
  <c r="AU347" i="2"/>
  <c r="AT347" i="2"/>
  <c r="U347" i="2"/>
  <c r="R347" i="2"/>
  <c r="M347" i="2"/>
  <c r="L347" i="2"/>
  <c r="B347" i="2"/>
  <c r="BV346" i="2"/>
  <c r="BU346" i="2"/>
  <c r="BS346" i="2"/>
  <c r="BR346" i="2"/>
  <c r="BP346" i="2"/>
  <c r="BO346" i="2"/>
  <c r="BM346" i="2"/>
  <c r="BL346" i="2"/>
  <c r="BJ346" i="2"/>
  <c r="BI346" i="2"/>
  <c r="BG346" i="2"/>
  <c r="BF346" i="2"/>
  <c r="BD346" i="2"/>
  <c r="BC346" i="2"/>
  <c r="BA346" i="2"/>
  <c r="AZ346" i="2"/>
  <c r="AW346" i="2"/>
  <c r="AU346" i="2"/>
  <c r="AT346" i="2"/>
  <c r="U346" i="2"/>
  <c r="R346" i="2"/>
  <c r="M346" i="2"/>
  <c r="L346" i="2"/>
  <c r="B346" i="2"/>
  <c r="BV345" i="2"/>
  <c r="BU345" i="2"/>
  <c r="BS345" i="2"/>
  <c r="BR345" i="2"/>
  <c r="BP345" i="2"/>
  <c r="BO345" i="2"/>
  <c r="BM345" i="2"/>
  <c r="BL345" i="2"/>
  <c r="BJ345" i="2"/>
  <c r="BI345" i="2"/>
  <c r="BG345" i="2"/>
  <c r="BF345" i="2"/>
  <c r="BD345" i="2"/>
  <c r="BC345" i="2"/>
  <c r="BA345" i="2"/>
  <c r="AZ345" i="2"/>
  <c r="AU345" i="2"/>
  <c r="AT345" i="2"/>
  <c r="U345" i="2"/>
  <c r="M345" i="2"/>
  <c r="L345" i="2"/>
  <c r="R345" i="2" s="1"/>
  <c r="B345" i="2"/>
  <c r="BV344" i="2"/>
  <c r="BU344" i="2"/>
  <c r="BS344" i="2"/>
  <c r="BR344" i="2"/>
  <c r="BP344" i="2"/>
  <c r="BO344" i="2"/>
  <c r="BM344" i="2"/>
  <c r="BL344" i="2"/>
  <c r="BJ344" i="2"/>
  <c r="BI344" i="2"/>
  <c r="BG344" i="2"/>
  <c r="BF344" i="2"/>
  <c r="BD344" i="2"/>
  <c r="BC344" i="2"/>
  <c r="BA344" i="2"/>
  <c r="AZ344" i="2"/>
  <c r="AU344" i="2"/>
  <c r="AT344" i="2"/>
  <c r="U344" i="2"/>
  <c r="R344" i="2"/>
  <c r="AW344" i="2" s="1"/>
  <c r="M344" i="2"/>
  <c r="L344" i="2"/>
  <c r="B344" i="2"/>
  <c r="BV343" i="2"/>
  <c r="BU343" i="2"/>
  <c r="BS343" i="2"/>
  <c r="BR343" i="2"/>
  <c r="BP343" i="2"/>
  <c r="BO343" i="2"/>
  <c r="BM343" i="2"/>
  <c r="BL343" i="2"/>
  <c r="BJ343" i="2"/>
  <c r="BI343" i="2"/>
  <c r="BG343" i="2"/>
  <c r="BF343" i="2"/>
  <c r="BD343" i="2"/>
  <c r="BC343" i="2"/>
  <c r="BA343" i="2"/>
  <c r="AZ343" i="2"/>
  <c r="AU343" i="2"/>
  <c r="AT343" i="2"/>
  <c r="R343" i="2"/>
  <c r="AW343" i="2" s="1"/>
  <c r="M343" i="2"/>
  <c r="U343" i="2" s="1"/>
  <c r="L343" i="2"/>
  <c r="B343" i="2"/>
  <c r="BV342" i="2"/>
  <c r="BU342" i="2"/>
  <c r="BS342" i="2"/>
  <c r="BR342" i="2"/>
  <c r="BP342" i="2"/>
  <c r="BO342" i="2"/>
  <c r="BM342" i="2"/>
  <c r="BL342" i="2"/>
  <c r="BJ342" i="2"/>
  <c r="BI342" i="2"/>
  <c r="BG342" i="2"/>
  <c r="BF342" i="2"/>
  <c r="BD342" i="2"/>
  <c r="BC342" i="2"/>
  <c r="BA342" i="2"/>
  <c r="AZ342" i="2"/>
  <c r="AU342" i="2"/>
  <c r="AT342" i="2"/>
  <c r="U342" i="2"/>
  <c r="R342" i="2"/>
  <c r="AW342" i="2" s="1"/>
  <c r="M342" i="2"/>
  <c r="L342" i="2"/>
  <c r="B342" i="2"/>
  <c r="BV341" i="2"/>
  <c r="BU341" i="2"/>
  <c r="BS341" i="2"/>
  <c r="BR341" i="2"/>
  <c r="BP341" i="2"/>
  <c r="BO341" i="2"/>
  <c r="BM341" i="2"/>
  <c r="BL341" i="2"/>
  <c r="BJ341" i="2"/>
  <c r="BI341" i="2"/>
  <c r="BG341" i="2"/>
  <c r="BF341" i="2"/>
  <c r="BD341" i="2"/>
  <c r="BC341" i="2"/>
  <c r="BA341" i="2"/>
  <c r="AZ341" i="2"/>
  <c r="AU341" i="2"/>
  <c r="AT341" i="2"/>
  <c r="U341" i="2"/>
  <c r="R341" i="2"/>
  <c r="AW341" i="2" s="1"/>
  <c r="M341" i="2"/>
  <c r="L341" i="2"/>
  <c r="B341" i="2"/>
  <c r="BV340" i="2"/>
  <c r="BU340" i="2"/>
  <c r="BS340" i="2"/>
  <c r="BR340" i="2"/>
  <c r="BP340" i="2"/>
  <c r="BO340" i="2"/>
  <c r="BM340" i="2"/>
  <c r="BL340" i="2"/>
  <c r="BJ340" i="2"/>
  <c r="BI340" i="2"/>
  <c r="BG340" i="2"/>
  <c r="BF340" i="2"/>
  <c r="BD340" i="2"/>
  <c r="BC340" i="2"/>
  <c r="BA340" i="2"/>
  <c r="AZ340" i="2"/>
  <c r="AW340" i="2"/>
  <c r="AU340" i="2"/>
  <c r="AT340" i="2"/>
  <c r="U340" i="2"/>
  <c r="R340" i="2"/>
  <c r="M340" i="2"/>
  <c r="L340" i="2"/>
  <c r="B340" i="2"/>
  <c r="BV339" i="2"/>
  <c r="BU339" i="2"/>
  <c r="BS339" i="2"/>
  <c r="BR339" i="2"/>
  <c r="BP339" i="2"/>
  <c r="BO339" i="2"/>
  <c r="BM339" i="2"/>
  <c r="BL339" i="2"/>
  <c r="BJ339" i="2"/>
  <c r="BI339" i="2"/>
  <c r="BG339" i="2"/>
  <c r="BF339" i="2"/>
  <c r="BD339" i="2"/>
  <c r="BC339" i="2"/>
  <c r="BA339" i="2"/>
  <c r="AZ339" i="2"/>
  <c r="AW339" i="2"/>
  <c r="AU339" i="2"/>
  <c r="AT339" i="2"/>
  <c r="R339" i="2"/>
  <c r="M339" i="2"/>
  <c r="U339" i="2" s="1"/>
  <c r="L339" i="2"/>
  <c r="B339" i="2"/>
  <c r="BV338" i="2"/>
  <c r="BU338" i="2"/>
  <c r="BS338" i="2"/>
  <c r="BR338" i="2"/>
  <c r="BP338" i="2"/>
  <c r="BO338" i="2"/>
  <c r="BM338" i="2"/>
  <c r="BL338" i="2"/>
  <c r="BJ338" i="2"/>
  <c r="BI338" i="2"/>
  <c r="BG338" i="2"/>
  <c r="BF338" i="2"/>
  <c r="BD338" i="2"/>
  <c r="BC338" i="2"/>
  <c r="BA338" i="2"/>
  <c r="AZ338" i="2"/>
  <c r="AU338" i="2"/>
  <c r="AT338" i="2"/>
  <c r="U338" i="2"/>
  <c r="M338" i="2"/>
  <c r="L338" i="2"/>
  <c r="R338" i="2" s="1"/>
  <c r="B338" i="2"/>
  <c r="BV337" i="2"/>
  <c r="BU337" i="2"/>
  <c r="BS337" i="2"/>
  <c r="BR337" i="2"/>
  <c r="BP337" i="2"/>
  <c r="BO337" i="2"/>
  <c r="BM337" i="2"/>
  <c r="BL337" i="2"/>
  <c r="BJ337" i="2"/>
  <c r="BI337" i="2"/>
  <c r="BG337" i="2"/>
  <c r="BF337" i="2"/>
  <c r="BD337" i="2"/>
  <c r="BC337" i="2"/>
  <c r="BA337" i="2"/>
  <c r="AZ337" i="2"/>
  <c r="AU337" i="2"/>
  <c r="AT337" i="2"/>
  <c r="U337" i="2"/>
  <c r="M337" i="2"/>
  <c r="L337" i="2"/>
  <c r="R337" i="2" s="1"/>
  <c r="B337" i="2"/>
  <c r="BV336" i="2"/>
  <c r="BU336" i="2"/>
  <c r="BS336" i="2"/>
  <c r="BR336" i="2"/>
  <c r="BP336" i="2"/>
  <c r="BO336" i="2"/>
  <c r="BM336" i="2"/>
  <c r="BL336" i="2"/>
  <c r="BJ336" i="2"/>
  <c r="BI336" i="2"/>
  <c r="BG336" i="2"/>
  <c r="BF336" i="2"/>
  <c r="BD336" i="2"/>
  <c r="BC336" i="2"/>
  <c r="BA336" i="2"/>
  <c r="AZ336" i="2"/>
  <c r="AU336" i="2"/>
  <c r="AT336" i="2"/>
  <c r="U336" i="2"/>
  <c r="M336" i="2"/>
  <c r="L336" i="2"/>
  <c r="R336" i="2" s="1"/>
  <c r="B336" i="2"/>
  <c r="BV335" i="2"/>
  <c r="BU335" i="2"/>
  <c r="BS335" i="2"/>
  <c r="BR335" i="2"/>
  <c r="BP335" i="2"/>
  <c r="BO335" i="2"/>
  <c r="BM335" i="2"/>
  <c r="BL335" i="2"/>
  <c r="BJ335" i="2"/>
  <c r="BI335" i="2"/>
  <c r="BG335" i="2"/>
  <c r="BF335" i="2"/>
  <c r="BD335" i="2"/>
  <c r="BC335" i="2"/>
  <c r="BA335" i="2"/>
  <c r="AZ335" i="2"/>
  <c r="AU335" i="2"/>
  <c r="AT335" i="2"/>
  <c r="U335" i="2"/>
  <c r="R335" i="2"/>
  <c r="AW335" i="2" s="1"/>
  <c r="M335" i="2"/>
  <c r="L335" i="2"/>
  <c r="B335" i="2"/>
  <c r="BV334" i="2"/>
  <c r="BU334" i="2"/>
  <c r="BS334" i="2"/>
  <c r="BR334" i="2"/>
  <c r="BP334" i="2"/>
  <c r="BO334" i="2"/>
  <c r="BM334" i="2"/>
  <c r="BL334" i="2"/>
  <c r="BJ334" i="2"/>
  <c r="BI334" i="2"/>
  <c r="BG334" i="2"/>
  <c r="BF334" i="2"/>
  <c r="BD334" i="2"/>
  <c r="BC334" i="2"/>
  <c r="BA334" i="2"/>
  <c r="AZ334" i="2"/>
  <c r="AU334" i="2"/>
  <c r="AT334" i="2"/>
  <c r="U334" i="2"/>
  <c r="M334" i="2"/>
  <c r="L334" i="2"/>
  <c r="R334" i="2" s="1"/>
  <c r="B334" i="2"/>
  <c r="BV333" i="2"/>
  <c r="BU333" i="2"/>
  <c r="BS333" i="2"/>
  <c r="BR333" i="2"/>
  <c r="BP333" i="2"/>
  <c r="BO333" i="2"/>
  <c r="BM333" i="2"/>
  <c r="BL333" i="2"/>
  <c r="BJ333" i="2"/>
  <c r="BI333" i="2"/>
  <c r="BG333" i="2"/>
  <c r="BF333" i="2"/>
  <c r="BD333" i="2"/>
  <c r="BC333" i="2"/>
  <c r="BA333" i="2"/>
  <c r="AZ333" i="2"/>
  <c r="AW333" i="2"/>
  <c r="AU333" i="2"/>
  <c r="AT333" i="2"/>
  <c r="R333" i="2"/>
  <c r="M333" i="2"/>
  <c r="U333" i="2" s="1"/>
  <c r="L333" i="2"/>
  <c r="B333" i="2"/>
  <c r="BV332" i="2"/>
  <c r="BU332" i="2"/>
  <c r="BS332" i="2"/>
  <c r="BR332" i="2"/>
  <c r="BP332" i="2"/>
  <c r="BO332" i="2"/>
  <c r="BM332" i="2"/>
  <c r="BL332" i="2"/>
  <c r="BJ332" i="2"/>
  <c r="BI332" i="2"/>
  <c r="BG332" i="2"/>
  <c r="BF332" i="2"/>
  <c r="BD332" i="2"/>
  <c r="BC332" i="2"/>
  <c r="BA332" i="2"/>
  <c r="AZ332" i="2"/>
  <c r="AU332" i="2"/>
  <c r="AT332" i="2"/>
  <c r="U332" i="2"/>
  <c r="M332" i="2"/>
  <c r="L332" i="2"/>
  <c r="R332" i="2" s="1"/>
  <c r="B332" i="2"/>
  <c r="BV331" i="2"/>
  <c r="BV440" i="2" s="1"/>
  <c r="BV439" i="2" s="1"/>
  <c r="BV438" i="2" s="1"/>
  <c r="BU331" i="2"/>
  <c r="BU440" i="2" s="1"/>
  <c r="BU439" i="2" s="1"/>
  <c r="BU438" i="2" s="1"/>
  <c r="BS331" i="2"/>
  <c r="BR331" i="2"/>
  <c r="BP331" i="2"/>
  <c r="BO331" i="2"/>
  <c r="BM331" i="2"/>
  <c r="BL331" i="2"/>
  <c r="BJ331" i="2"/>
  <c r="BI331" i="2"/>
  <c r="BG331" i="2"/>
  <c r="BF331" i="2"/>
  <c r="BD331" i="2"/>
  <c r="BC331" i="2"/>
  <c r="BA331" i="2"/>
  <c r="AZ331" i="2"/>
  <c r="AU331" i="2"/>
  <c r="AT331" i="2"/>
  <c r="U331" i="2"/>
  <c r="AR331" i="2" s="1"/>
  <c r="R331" i="2"/>
  <c r="M331" i="2"/>
  <c r="L331" i="2"/>
  <c r="B331" i="2"/>
  <c r="AQ328" i="2"/>
  <c r="BL315" i="2"/>
  <c r="BV314" i="2"/>
  <c r="BU314" i="2"/>
  <c r="BS314" i="2"/>
  <c r="BR314" i="2"/>
  <c r="BP314" i="2"/>
  <c r="BO314" i="2"/>
  <c r="BM314" i="2"/>
  <c r="BL314" i="2"/>
  <c r="BJ314" i="2"/>
  <c r="BI314" i="2"/>
  <c r="BG314" i="2"/>
  <c r="BF314" i="2"/>
  <c r="BD314" i="2"/>
  <c r="BC314" i="2"/>
  <c r="BA314" i="2"/>
  <c r="AZ314" i="2"/>
  <c r="AU314" i="2"/>
  <c r="AT314" i="2"/>
  <c r="U314" i="2"/>
  <c r="R314" i="2"/>
  <c r="M314" i="2"/>
  <c r="L314" i="2"/>
  <c r="B314" i="2"/>
  <c r="BV313" i="2"/>
  <c r="BU313" i="2"/>
  <c r="BS313" i="2"/>
  <c r="BR313" i="2"/>
  <c r="BP313" i="2"/>
  <c r="BO313" i="2"/>
  <c r="BM313" i="2"/>
  <c r="BL313" i="2"/>
  <c r="BJ313" i="2"/>
  <c r="BI313" i="2"/>
  <c r="BD313" i="2"/>
  <c r="BC313" i="2"/>
  <c r="BA313" i="2"/>
  <c r="AZ313" i="2"/>
  <c r="AX313" i="2"/>
  <c r="AW313" i="2"/>
  <c r="AU313" i="2"/>
  <c r="AT313" i="2"/>
  <c r="U313" i="2"/>
  <c r="M313" i="2"/>
  <c r="L313" i="2"/>
  <c r="R313" i="2" s="1"/>
  <c r="B313" i="2"/>
  <c r="BV312" i="2"/>
  <c r="BU312" i="2"/>
  <c r="BS312" i="2"/>
  <c r="BR312" i="2"/>
  <c r="BP312" i="2"/>
  <c r="BO312" i="2"/>
  <c r="BM312" i="2"/>
  <c r="BL312" i="2"/>
  <c r="BJ312" i="2"/>
  <c r="BI312" i="2"/>
  <c r="BG312" i="2"/>
  <c r="BF312" i="2"/>
  <c r="BA312" i="2"/>
  <c r="AZ312" i="2"/>
  <c r="AX312" i="2"/>
  <c r="AW312" i="2"/>
  <c r="AU312" i="2"/>
  <c r="AT312" i="2"/>
  <c r="M312" i="2"/>
  <c r="U312" i="2" s="1"/>
  <c r="L312" i="2"/>
  <c r="R312" i="2" s="1"/>
  <c r="B312" i="2"/>
  <c r="BV311" i="2"/>
  <c r="BU311" i="2"/>
  <c r="BS311" i="2"/>
  <c r="BR311" i="2"/>
  <c r="BP311" i="2"/>
  <c r="BO311" i="2"/>
  <c r="BM311" i="2"/>
  <c r="BL311" i="2"/>
  <c r="BJ311" i="2"/>
  <c r="BI311" i="2"/>
  <c r="BG311" i="2"/>
  <c r="BF311" i="2"/>
  <c r="BA311" i="2"/>
  <c r="AZ311" i="2"/>
  <c r="AX311" i="2"/>
  <c r="AW311" i="2"/>
  <c r="AU311" i="2"/>
  <c r="AT311" i="2"/>
  <c r="R311" i="2"/>
  <c r="M311" i="2"/>
  <c r="U311" i="2" s="1"/>
  <c r="L311" i="2"/>
  <c r="B311" i="2"/>
  <c r="BV310" i="2"/>
  <c r="BU310" i="2"/>
  <c r="BS310" i="2"/>
  <c r="BR310" i="2"/>
  <c r="BP310" i="2"/>
  <c r="BO310" i="2"/>
  <c r="BM310" i="2"/>
  <c r="BL310" i="2"/>
  <c r="BJ310" i="2"/>
  <c r="BI310" i="2"/>
  <c r="BG310" i="2"/>
  <c r="BF310" i="2"/>
  <c r="BD310" i="2"/>
  <c r="BC310" i="2"/>
  <c r="BA310" i="2"/>
  <c r="AZ310" i="2"/>
  <c r="AU310" i="2"/>
  <c r="AT310" i="2"/>
  <c r="U310" i="2"/>
  <c r="R310" i="2"/>
  <c r="M310" i="2"/>
  <c r="L310" i="2"/>
  <c r="B310" i="2"/>
  <c r="BV309" i="2"/>
  <c r="BU309" i="2"/>
  <c r="BS309" i="2"/>
  <c r="BR309" i="2"/>
  <c r="BP309" i="2"/>
  <c r="BO309" i="2"/>
  <c r="BM309" i="2"/>
  <c r="BL309" i="2"/>
  <c r="BG309" i="2"/>
  <c r="BF309" i="2"/>
  <c r="BD309" i="2"/>
  <c r="BC309" i="2"/>
  <c r="BA309" i="2"/>
  <c r="AZ309" i="2"/>
  <c r="AX309" i="2"/>
  <c r="AW309" i="2"/>
  <c r="AU309" i="2"/>
  <c r="AT309" i="2"/>
  <c r="U309" i="2"/>
  <c r="M309" i="2"/>
  <c r="L309" i="2"/>
  <c r="R309" i="2" s="1"/>
  <c r="B309" i="2"/>
  <c r="BV308" i="2"/>
  <c r="BU308" i="2"/>
  <c r="BS308" i="2"/>
  <c r="BR308" i="2"/>
  <c r="BP308" i="2"/>
  <c r="BO308" i="2"/>
  <c r="BM308" i="2"/>
  <c r="BL308" i="2"/>
  <c r="BG308" i="2"/>
  <c r="BF308" i="2"/>
  <c r="BD308" i="2"/>
  <c r="BC308" i="2"/>
  <c r="BA308" i="2"/>
  <c r="AZ308" i="2"/>
  <c r="AX308" i="2"/>
  <c r="AW308" i="2"/>
  <c r="AU308" i="2"/>
  <c r="AT308" i="2"/>
  <c r="M308" i="2"/>
  <c r="U308" i="2" s="1"/>
  <c r="L308" i="2"/>
  <c r="R308" i="2" s="1"/>
  <c r="B308" i="2"/>
  <c r="BV307" i="2"/>
  <c r="BU307" i="2"/>
  <c r="BS307" i="2"/>
  <c r="BR307" i="2"/>
  <c r="BP307" i="2"/>
  <c r="BO307" i="2"/>
  <c r="BM307" i="2"/>
  <c r="BL307" i="2"/>
  <c r="BJ307" i="2"/>
  <c r="BI307" i="2"/>
  <c r="BG307" i="2"/>
  <c r="BF307" i="2"/>
  <c r="BD307" i="2"/>
  <c r="BC307" i="2"/>
  <c r="BA307" i="2"/>
  <c r="AZ307" i="2"/>
  <c r="AU307" i="2"/>
  <c r="AT307" i="2"/>
  <c r="R307" i="2"/>
  <c r="M307" i="2"/>
  <c r="U307" i="2" s="1"/>
  <c r="L307" i="2"/>
  <c r="B307" i="2"/>
  <c r="BV306" i="2"/>
  <c r="BU306" i="2"/>
  <c r="BS306" i="2"/>
  <c r="BR306" i="2"/>
  <c r="BP306" i="2"/>
  <c r="BO306" i="2"/>
  <c r="BM306" i="2"/>
  <c r="BL306" i="2"/>
  <c r="BJ306" i="2"/>
  <c r="BI306" i="2"/>
  <c r="BG306" i="2"/>
  <c r="BF306" i="2"/>
  <c r="BD306" i="2"/>
  <c r="BC306" i="2"/>
  <c r="AX306" i="2"/>
  <c r="AW306" i="2"/>
  <c r="AU306" i="2"/>
  <c r="AT306" i="2"/>
  <c r="U306" i="2"/>
  <c r="R306" i="2"/>
  <c r="M306" i="2"/>
  <c r="L306" i="2"/>
  <c r="B306" i="2"/>
  <c r="BV305" i="2"/>
  <c r="BU305" i="2"/>
  <c r="BS305" i="2"/>
  <c r="BR305" i="2"/>
  <c r="BP305" i="2"/>
  <c r="BO305" i="2"/>
  <c r="BM305" i="2"/>
  <c r="BL305" i="2"/>
  <c r="BJ305" i="2"/>
  <c r="BI305" i="2"/>
  <c r="BG305" i="2"/>
  <c r="BF305" i="2"/>
  <c r="BD305" i="2"/>
  <c r="BC305" i="2"/>
  <c r="AX305" i="2"/>
  <c r="AW305" i="2"/>
  <c r="AU305" i="2"/>
  <c r="AT305" i="2"/>
  <c r="U305" i="2"/>
  <c r="M305" i="2"/>
  <c r="L305" i="2"/>
  <c r="R305" i="2" s="1"/>
  <c r="B305" i="2"/>
  <c r="BV304" i="2"/>
  <c r="BU304" i="2"/>
  <c r="BS304" i="2"/>
  <c r="BR304" i="2"/>
  <c r="BP304" i="2"/>
  <c r="BO304" i="2"/>
  <c r="BM304" i="2"/>
  <c r="BL304" i="2"/>
  <c r="BJ304" i="2"/>
  <c r="BI304" i="2"/>
  <c r="BG304" i="2"/>
  <c r="BF304" i="2"/>
  <c r="BD304" i="2"/>
  <c r="BC304" i="2"/>
  <c r="BA304" i="2"/>
  <c r="AZ304" i="2"/>
  <c r="AU304" i="2"/>
  <c r="AT304" i="2"/>
  <c r="M304" i="2"/>
  <c r="U304" i="2" s="1"/>
  <c r="L304" i="2"/>
  <c r="R304" i="2" s="1"/>
  <c r="B304" i="2"/>
  <c r="BV303" i="2"/>
  <c r="BU303" i="2"/>
  <c r="BS303" i="2"/>
  <c r="BR303" i="2"/>
  <c r="BP303" i="2"/>
  <c r="BO303" i="2"/>
  <c r="BM303" i="2"/>
  <c r="BL303" i="2"/>
  <c r="BJ303" i="2"/>
  <c r="BI303" i="2"/>
  <c r="BG303" i="2"/>
  <c r="BF303" i="2"/>
  <c r="BD303" i="2"/>
  <c r="BC303" i="2"/>
  <c r="BA303" i="2"/>
  <c r="AZ303" i="2"/>
  <c r="AX303" i="2"/>
  <c r="AW303" i="2"/>
  <c r="R303" i="2"/>
  <c r="M303" i="2"/>
  <c r="U303" i="2" s="1"/>
  <c r="L303" i="2"/>
  <c r="B303" i="2"/>
  <c r="BV302" i="2"/>
  <c r="BU302" i="2"/>
  <c r="BS302" i="2"/>
  <c r="BR302" i="2"/>
  <c r="BP302" i="2"/>
  <c r="BO302" i="2"/>
  <c r="BM302" i="2"/>
  <c r="BL302" i="2"/>
  <c r="BJ302" i="2"/>
  <c r="BI302" i="2"/>
  <c r="BG302" i="2"/>
  <c r="BF302" i="2"/>
  <c r="BD302" i="2"/>
  <c r="BC302" i="2"/>
  <c r="BA302" i="2"/>
  <c r="AZ302" i="2"/>
  <c r="AU302" i="2"/>
  <c r="AT302" i="2"/>
  <c r="U302" i="2"/>
  <c r="R302" i="2"/>
  <c r="M302" i="2"/>
  <c r="L302" i="2"/>
  <c r="B302" i="2"/>
  <c r="BV301" i="2"/>
  <c r="BU301" i="2"/>
  <c r="BS301" i="2"/>
  <c r="BR301" i="2"/>
  <c r="BP301" i="2"/>
  <c r="BO301" i="2"/>
  <c r="BM301" i="2"/>
  <c r="BL301" i="2"/>
  <c r="BJ301" i="2"/>
  <c r="BI301" i="2"/>
  <c r="BG301" i="2"/>
  <c r="BF301" i="2"/>
  <c r="BA301" i="2"/>
  <c r="AZ301" i="2"/>
  <c r="AX301" i="2"/>
  <c r="AW301" i="2"/>
  <c r="AU301" i="2"/>
  <c r="AT301" i="2"/>
  <c r="U301" i="2"/>
  <c r="M301" i="2"/>
  <c r="L301" i="2"/>
  <c r="R301" i="2" s="1"/>
  <c r="B301" i="2"/>
  <c r="BV300" i="2"/>
  <c r="BU300" i="2"/>
  <c r="BS300" i="2"/>
  <c r="BR300" i="2"/>
  <c r="BP300" i="2"/>
  <c r="BO300" i="2"/>
  <c r="BM300" i="2"/>
  <c r="BL300" i="2"/>
  <c r="BG300" i="2"/>
  <c r="BF300" i="2"/>
  <c r="BD300" i="2"/>
  <c r="BC300" i="2"/>
  <c r="BA300" i="2"/>
  <c r="AZ300" i="2"/>
  <c r="AX300" i="2"/>
  <c r="AW300" i="2"/>
  <c r="AU300" i="2"/>
  <c r="AT300" i="2"/>
  <c r="M300" i="2"/>
  <c r="U300" i="2" s="1"/>
  <c r="L300" i="2"/>
  <c r="R300" i="2" s="1"/>
  <c r="B300" i="2"/>
  <c r="BV299" i="2"/>
  <c r="BU299" i="2"/>
  <c r="BS299" i="2"/>
  <c r="BR299" i="2"/>
  <c r="BP299" i="2"/>
  <c r="BO299" i="2"/>
  <c r="BM299" i="2"/>
  <c r="BL299" i="2"/>
  <c r="BJ299" i="2"/>
  <c r="BI299" i="2"/>
  <c r="BG299" i="2"/>
  <c r="BF299" i="2"/>
  <c r="BD299" i="2"/>
  <c r="BC299" i="2"/>
  <c r="AX299" i="2"/>
  <c r="AW299" i="2"/>
  <c r="AU299" i="2"/>
  <c r="AT299" i="2"/>
  <c r="R299" i="2"/>
  <c r="M299" i="2"/>
  <c r="U299" i="2" s="1"/>
  <c r="L299" i="2"/>
  <c r="B299" i="2"/>
  <c r="BV298" i="2"/>
  <c r="BU298" i="2"/>
  <c r="BS298" i="2"/>
  <c r="BR298" i="2"/>
  <c r="BP298" i="2"/>
  <c r="BO298" i="2"/>
  <c r="BM298" i="2"/>
  <c r="BL298" i="2"/>
  <c r="BJ298" i="2"/>
  <c r="BI298" i="2"/>
  <c r="BD298" i="2"/>
  <c r="BC298" i="2"/>
  <c r="BA298" i="2"/>
  <c r="AZ298" i="2"/>
  <c r="AX298" i="2"/>
  <c r="AW298" i="2"/>
  <c r="AU298" i="2"/>
  <c r="AT298" i="2"/>
  <c r="U298" i="2"/>
  <c r="R298" i="2"/>
  <c r="M298" i="2"/>
  <c r="L298" i="2"/>
  <c r="B298" i="2"/>
  <c r="BV297" i="2"/>
  <c r="BU297" i="2"/>
  <c r="BS297" i="2"/>
  <c r="BR297" i="2"/>
  <c r="BP297" i="2"/>
  <c r="BO297" i="2"/>
  <c r="BM297" i="2"/>
  <c r="BL297" i="2"/>
  <c r="BJ297" i="2"/>
  <c r="BI297" i="2"/>
  <c r="BD297" i="2"/>
  <c r="BC297" i="2"/>
  <c r="BA297" i="2"/>
  <c r="AZ297" i="2"/>
  <c r="AX297" i="2"/>
  <c r="AW297" i="2"/>
  <c r="AU297" i="2"/>
  <c r="AT297" i="2"/>
  <c r="U297" i="2"/>
  <c r="M297" i="2"/>
  <c r="L297" i="2"/>
  <c r="R297" i="2" s="1"/>
  <c r="B297" i="2"/>
  <c r="BV296" i="2"/>
  <c r="BU296" i="2"/>
  <c r="BS296" i="2"/>
  <c r="BR296" i="2"/>
  <c r="BP296" i="2"/>
  <c r="BO296" i="2"/>
  <c r="BM296" i="2"/>
  <c r="BL296" i="2"/>
  <c r="BJ296" i="2"/>
  <c r="BI296" i="2"/>
  <c r="BG296" i="2"/>
  <c r="BF296" i="2"/>
  <c r="BD296" i="2"/>
  <c r="BC296" i="2"/>
  <c r="BA296" i="2"/>
  <c r="AZ296" i="2"/>
  <c r="AU296" i="2"/>
  <c r="AT296" i="2"/>
  <c r="M296" i="2"/>
  <c r="U296" i="2" s="1"/>
  <c r="L296" i="2"/>
  <c r="R296" i="2" s="1"/>
  <c r="B296" i="2"/>
  <c r="BV295" i="2"/>
  <c r="BV315" i="2" s="1"/>
  <c r="BU295" i="2"/>
  <c r="BU322" i="2" s="1"/>
  <c r="BU321" i="2" s="1"/>
  <c r="BS295" i="2"/>
  <c r="BR295" i="2"/>
  <c r="BR322" i="2" s="1"/>
  <c r="BR321" i="2" s="1"/>
  <c r="BP295" i="2"/>
  <c r="BP322" i="2" s="1"/>
  <c r="BP321" i="2" s="1"/>
  <c r="BO295" i="2"/>
  <c r="BM295" i="2"/>
  <c r="BM315" i="2" s="1"/>
  <c r="BL295" i="2"/>
  <c r="BL322" i="2" s="1"/>
  <c r="BL321" i="2" s="1"/>
  <c r="BL320" i="2" s="1"/>
  <c r="BJ295" i="2"/>
  <c r="BI295" i="2"/>
  <c r="BG295" i="2"/>
  <c r="BF295" i="2"/>
  <c r="BD295" i="2"/>
  <c r="BC295" i="2"/>
  <c r="BA295" i="2"/>
  <c r="AZ295" i="2"/>
  <c r="AU295" i="2"/>
  <c r="AT295" i="2"/>
  <c r="M295" i="2"/>
  <c r="U295" i="2" s="1"/>
  <c r="AR295" i="2" s="1"/>
  <c r="L295" i="2"/>
  <c r="R295" i="2" s="1"/>
  <c r="B295" i="2"/>
  <c r="AQ292" i="2"/>
  <c r="BL279" i="2"/>
  <c r="AT279" i="2"/>
  <c r="BV278" i="2"/>
  <c r="BU278" i="2"/>
  <c r="BS278" i="2"/>
  <c r="BR278" i="2"/>
  <c r="BP278" i="2"/>
  <c r="BO278" i="2"/>
  <c r="BM278" i="2"/>
  <c r="BL278" i="2"/>
  <c r="BJ278" i="2"/>
  <c r="BI278" i="2"/>
  <c r="BG278" i="2"/>
  <c r="BF278" i="2"/>
  <c r="BD278" i="2"/>
  <c r="BC278" i="2"/>
  <c r="BA278" i="2"/>
  <c r="AZ278" i="2"/>
  <c r="AX278" i="2"/>
  <c r="AW278" i="2"/>
  <c r="AU278" i="2"/>
  <c r="AT278" i="2"/>
  <c r="U278" i="2"/>
  <c r="R278" i="2"/>
  <c r="M278" i="2"/>
  <c r="B278" i="2"/>
  <c r="BV277" i="2"/>
  <c r="BU277" i="2"/>
  <c r="BS277" i="2"/>
  <c r="BR277" i="2"/>
  <c r="BP277" i="2"/>
  <c r="BO277" i="2"/>
  <c r="BM277" i="2"/>
  <c r="BL277" i="2"/>
  <c r="BJ277" i="2"/>
  <c r="BI277" i="2"/>
  <c r="BG277" i="2"/>
  <c r="BF277" i="2"/>
  <c r="BD277" i="2"/>
  <c r="BC277" i="2"/>
  <c r="BA277" i="2"/>
  <c r="AZ277" i="2"/>
  <c r="AX277" i="2"/>
  <c r="AW277" i="2"/>
  <c r="AU277" i="2"/>
  <c r="AT277" i="2"/>
  <c r="U277" i="2"/>
  <c r="R277" i="2"/>
  <c r="S277" i="2" s="1"/>
  <c r="M277" i="2"/>
  <c r="B277" i="2"/>
  <c r="BV276" i="2"/>
  <c r="BU276" i="2"/>
  <c r="BS276" i="2"/>
  <c r="BR276" i="2"/>
  <c r="BP276" i="2"/>
  <c r="BO276" i="2"/>
  <c r="BM276" i="2"/>
  <c r="BL276" i="2"/>
  <c r="BJ276" i="2"/>
  <c r="BI276" i="2"/>
  <c r="BG276" i="2"/>
  <c r="BF276" i="2"/>
  <c r="BD276" i="2"/>
  <c r="BC276" i="2"/>
  <c r="BA276" i="2"/>
  <c r="AZ276" i="2"/>
  <c r="AX276" i="2"/>
  <c r="AX286" i="2" s="1"/>
  <c r="AX285" i="2" s="1"/>
  <c r="AX284" i="2" s="1"/>
  <c r="AW276" i="2"/>
  <c r="AU276" i="2"/>
  <c r="AT276" i="2"/>
  <c r="R276" i="2"/>
  <c r="M276" i="2"/>
  <c r="U276" i="2" s="1"/>
  <c r="B276" i="2"/>
  <c r="BV275" i="2"/>
  <c r="BU275" i="2"/>
  <c r="BS275" i="2"/>
  <c r="BR275" i="2"/>
  <c r="BP275" i="2"/>
  <c r="BO275" i="2"/>
  <c r="BM275" i="2"/>
  <c r="BL275" i="2"/>
  <c r="BJ275" i="2"/>
  <c r="BI275" i="2"/>
  <c r="BG275" i="2"/>
  <c r="BF275" i="2"/>
  <c r="BD275" i="2"/>
  <c r="BC275" i="2"/>
  <c r="BA275" i="2"/>
  <c r="AZ275" i="2"/>
  <c r="AX275" i="2"/>
  <c r="AW275" i="2"/>
  <c r="AU275" i="2"/>
  <c r="AT275" i="2"/>
  <c r="S275" i="2"/>
  <c r="R275" i="2"/>
  <c r="M275" i="2"/>
  <c r="U275" i="2" s="1"/>
  <c r="B275" i="2"/>
  <c r="BV274" i="2"/>
  <c r="BU274" i="2"/>
  <c r="BS274" i="2"/>
  <c r="BR274" i="2"/>
  <c r="BP274" i="2"/>
  <c r="BO274" i="2"/>
  <c r="BM274" i="2"/>
  <c r="BL274" i="2"/>
  <c r="BJ274" i="2"/>
  <c r="BI274" i="2"/>
  <c r="BG274" i="2"/>
  <c r="BF274" i="2"/>
  <c r="BD274" i="2"/>
  <c r="BC274" i="2"/>
  <c r="BA274" i="2"/>
  <c r="AZ274" i="2"/>
  <c r="AX274" i="2"/>
  <c r="AW274" i="2"/>
  <c r="AU274" i="2"/>
  <c r="AT274" i="2"/>
  <c r="R274" i="2"/>
  <c r="M274" i="2"/>
  <c r="U274" i="2" s="1"/>
  <c r="B274" i="2"/>
  <c r="BV273" i="2"/>
  <c r="BU273" i="2"/>
  <c r="BS273" i="2"/>
  <c r="BR273" i="2"/>
  <c r="BP273" i="2"/>
  <c r="BO273" i="2"/>
  <c r="BM273" i="2"/>
  <c r="BL273" i="2"/>
  <c r="BJ273" i="2"/>
  <c r="BI273" i="2"/>
  <c r="BG273" i="2"/>
  <c r="BF273" i="2"/>
  <c r="BD273" i="2"/>
  <c r="BC273" i="2"/>
  <c r="BA273" i="2"/>
  <c r="AZ273" i="2"/>
  <c r="AX273" i="2"/>
  <c r="AW273" i="2"/>
  <c r="AU273" i="2"/>
  <c r="AT273" i="2"/>
  <c r="S273" i="2"/>
  <c r="R273" i="2"/>
  <c r="M273" i="2"/>
  <c r="U273" i="2" s="1"/>
  <c r="B273" i="2"/>
  <c r="BV272" i="2"/>
  <c r="BU272" i="2"/>
  <c r="BS272" i="2"/>
  <c r="BR272" i="2"/>
  <c r="BP272" i="2"/>
  <c r="BO272" i="2"/>
  <c r="BM272" i="2"/>
  <c r="BL272" i="2"/>
  <c r="BJ272" i="2"/>
  <c r="BI272" i="2"/>
  <c r="BG272" i="2"/>
  <c r="BF272" i="2"/>
  <c r="BD272" i="2"/>
  <c r="BC272" i="2"/>
  <c r="BA272" i="2"/>
  <c r="AZ272" i="2"/>
  <c r="AX272" i="2"/>
  <c r="AW272" i="2"/>
  <c r="AU272" i="2"/>
  <c r="AT272" i="2"/>
  <c r="U272" i="2"/>
  <c r="R272" i="2"/>
  <c r="M272" i="2"/>
  <c r="B272" i="2"/>
  <c r="BV271" i="2"/>
  <c r="BU271" i="2"/>
  <c r="BS271" i="2"/>
  <c r="BR271" i="2"/>
  <c r="BP271" i="2"/>
  <c r="BO271" i="2"/>
  <c r="BM271" i="2"/>
  <c r="BL271" i="2"/>
  <c r="BJ271" i="2"/>
  <c r="BI271" i="2"/>
  <c r="BG271" i="2"/>
  <c r="BF271" i="2"/>
  <c r="BD271" i="2"/>
  <c r="BC271" i="2"/>
  <c r="BA271" i="2"/>
  <c r="AZ271" i="2"/>
  <c r="AX271" i="2"/>
  <c r="AW271" i="2"/>
  <c r="AU271" i="2"/>
  <c r="AT271" i="2"/>
  <c r="U271" i="2"/>
  <c r="R271" i="2"/>
  <c r="S271" i="2" s="1"/>
  <c r="M271" i="2"/>
  <c r="B271" i="2"/>
  <c r="BV270" i="2"/>
  <c r="BU270" i="2"/>
  <c r="BS270" i="2"/>
  <c r="BR270" i="2"/>
  <c r="BP270" i="2"/>
  <c r="BO270" i="2"/>
  <c r="BM270" i="2"/>
  <c r="BL270" i="2"/>
  <c r="BJ270" i="2"/>
  <c r="BI270" i="2"/>
  <c r="BG270" i="2"/>
  <c r="BF270" i="2"/>
  <c r="BD270" i="2"/>
  <c r="BC270" i="2"/>
  <c r="BA270" i="2"/>
  <c r="AZ270" i="2"/>
  <c r="AX270" i="2"/>
  <c r="AW270" i="2"/>
  <c r="AU270" i="2"/>
  <c r="AT270" i="2"/>
  <c r="R270" i="2"/>
  <c r="M270" i="2"/>
  <c r="U270" i="2" s="1"/>
  <c r="B270" i="2"/>
  <c r="BV269" i="2"/>
  <c r="BU269" i="2"/>
  <c r="BS269" i="2"/>
  <c r="BR269" i="2"/>
  <c r="BP269" i="2"/>
  <c r="BO269" i="2"/>
  <c r="BM269" i="2"/>
  <c r="BL269" i="2"/>
  <c r="BJ269" i="2"/>
  <c r="BI269" i="2"/>
  <c r="BG269" i="2"/>
  <c r="BF269" i="2"/>
  <c r="BD269" i="2"/>
  <c r="BC269" i="2"/>
  <c r="BA269" i="2"/>
  <c r="AZ269" i="2"/>
  <c r="AX269" i="2"/>
  <c r="AW269" i="2"/>
  <c r="AU269" i="2"/>
  <c r="AT269" i="2"/>
  <c r="S269" i="2"/>
  <c r="R269" i="2"/>
  <c r="M269" i="2"/>
  <c r="U269" i="2" s="1"/>
  <c r="B269" i="2"/>
  <c r="BV268" i="2"/>
  <c r="BU268" i="2"/>
  <c r="BS268" i="2"/>
  <c r="BR268" i="2"/>
  <c r="BP268" i="2"/>
  <c r="BO268" i="2"/>
  <c r="BM268" i="2"/>
  <c r="BL268" i="2"/>
  <c r="BJ268" i="2"/>
  <c r="BI268" i="2"/>
  <c r="BG268" i="2"/>
  <c r="BF268" i="2"/>
  <c r="BD268" i="2"/>
  <c r="BC268" i="2"/>
  <c r="BA268" i="2"/>
  <c r="AZ268" i="2"/>
  <c r="AX268" i="2"/>
  <c r="AW268" i="2"/>
  <c r="AU268" i="2"/>
  <c r="AT268" i="2"/>
  <c r="R268" i="2"/>
  <c r="M268" i="2"/>
  <c r="U268" i="2" s="1"/>
  <c r="B268" i="2"/>
  <c r="BV267" i="2"/>
  <c r="BU267" i="2"/>
  <c r="BS267" i="2"/>
  <c r="BR267" i="2"/>
  <c r="BP267" i="2"/>
  <c r="BO267" i="2"/>
  <c r="BM267" i="2"/>
  <c r="BL267" i="2"/>
  <c r="BJ267" i="2"/>
  <c r="BI267" i="2"/>
  <c r="BG267" i="2"/>
  <c r="BF267" i="2"/>
  <c r="BD267" i="2"/>
  <c r="BC267" i="2"/>
  <c r="BA267" i="2"/>
  <c r="AZ267" i="2"/>
  <c r="AX267" i="2"/>
  <c r="AW267" i="2"/>
  <c r="AU267" i="2"/>
  <c r="AT267" i="2"/>
  <c r="S267" i="2"/>
  <c r="R267" i="2"/>
  <c r="M267" i="2"/>
  <c r="U267" i="2" s="1"/>
  <c r="B267" i="2"/>
  <c r="BV266" i="2"/>
  <c r="BU266" i="2"/>
  <c r="BS266" i="2"/>
  <c r="BR266" i="2"/>
  <c r="BP266" i="2"/>
  <c r="BO266" i="2"/>
  <c r="BM266" i="2"/>
  <c r="BL266" i="2"/>
  <c r="BJ266" i="2"/>
  <c r="BI266" i="2"/>
  <c r="BG266" i="2"/>
  <c r="BF266" i="2"/>
  <c r="BD266" i="2"/>
  <c r="BC266" i="2"/>
  <c r="BA266" i="2"/>
  <c r="AZ266" i="2"/>
  <c r="AX266" i="2"/>
  <c r="AW266" i="2"/>
  <c r="AU266" i="2"/>
  <c r="AT266" i="2"/>
  <c r="U266" i="2"/>
  <c r="R266" i="2"/>
  <c r="M266" i="2"/>
  <c r="B266" i="2"/>
  <c r="BV265" i="2"/>
  <c r="BU265" i="2"/>
  <c r="BS265" i="2"/>
  <c r="BR265" i="2"/>
  <c r="BP265" i="2"/>
  <c r="BO265" i="2"/>
  <c r="BM265" i="2"/>
  <c r="BL265" i="2"/>
  <c r="BJ265" i="2"/>
  <c r="BI265" i="2"/>
  <c r="BG265" i="2"/>
  <c r="BF265" i="2"/>
  <c r="BD265" i="2"/>
  <c r="BC265" i="2"/>
  <c r="BA265" i="2"/>
  <c r="AZ265" i="2"/>
  <c r="AX265" i="2"/>
  <c r="AW265" i="2"/>
  <c r="AU265" i="2"/>
  <c r="AT265" i="2"/>
  <c r="U265" i="2"/>
  <c r="R265" i="2"/>
  <c r="S265" i="2" s="1"/>
  <c r="M265" i="2"/>
  <c r="B265" i="2"/>
  <c r="BV264" i="2"/>
  <c r="BU264" i="2"/>
  <c r="BS264" i="2"/>
  <c r="BR264" i="2"/>
  <c r="BP264" i="2"/>
  <c r="BP286" i="2" s="1"/>
  <c r="BP285" i="2" s="1"/>
  <c r="BP284" i="2" s="1"/>
  <c r="BO264" i="2"/>
  <c r="BM264" i="2"/>
  <c r="BL264" i="2"/>
  <c r="BJ264" i="2"/>
  <c r="BI264" i="2"/>
  <c r="BG264" i="2"/>
  <c r="BF264" i="2"/>
  <c r="BD264" i="2"/>
  <c r="BC264" i="2"/>
  <c r="BA264" i="2"/>
  <c r="AZ264" i="2"/>
  <c r="AX264" i="2"/>
  <c r="AW264" i="2"/>
  <c r="AU264" i="2"/>
  <c r="AT264" i="2"/>
  <c r="R264" i="2"/>
  <c r="M264" i="2"/>
  <c r="U264" i="2" s="1"/>
  <c r="B264" i="2"/>
  <c r="BV263" i="2"/>
  <c r="BU263" i="2"/>
  <c r="BS263" i="2"/>
  <c r="BR263" i="2"/>
  <c r="BP263" i="2"/>
  <c r="BO263" i="2"/>
  <c r="BM263" i="2"/>
  <c r="BL263" i="2"/>
  <c r="BJ263" i="2"/>
  <c r="BI263" i="2"/>
  <c r="BG263" i="2"/>
  <c r="BF263" i="2"/>
  <c r="BD263" i="2"/>
  <c r="BC263" i="2"/>
  <c r="BA263" i="2"/>
  <c r="AZ263" i="2"/>
  <c r="AX263" i="2"/>
  <c r="AW263" i="2"/>
  <c r="AU263" i="2"/>
  <c r="AT263" i="2"/>
  <c r="S263" i="2"/>
  <c r="R263" i="2"/>
  <c r="M263" i="2"/>
  <c r="U263" i="2" s="1"/>
  <c r="B263" i="2"/>
  <c r="BV262" i="2"/>
  <c r="BU262" i="2"/>
  <c r="BS262" i="2"/>
  <c r="BR262" i="2"/>
  <c r="BP262" i="2"/>
  <c r="BO262" i="2"/>
  <c r="BM262" i="2"/>
  <c r="BL262" i="2"/>
  <c r="BJ262" i="2"/>
  <c r="BI262" i="2"/>
  <c r="BG262" i="2"/>
  <c r="BF262" i="2"/>
  <c r="BD262" i="2"/>
  <c r="BC262" i="2"/>
  <c r="BA262" i="2"/>
  <c r="AZ262" i="2"/>
  <c r="AX262" i="2"/>
  <c r="AW262" i="2"/>
  <c r="AU262" i="2"/>
  <c r="AT262" i="2"/>
  <c r="R262" i="2"/>
  <c r="S262" i="2" s="1"/>
  <c r="M262" i="2"/>
  <c r="U262" i="2" s="1"/>
  <c r="B262" i="2"/>
  <c r="BV261" i="2"/>
  <c r="BU261" i="2"/>
  <c r="BS261" i="2"/>
  <c r="BR261" i="2"/>
  <c r="BP261" i="2"/>
  <c r="BO261" i="2"/>
  <c r="BM261" i="2"/>
  <c r="BL261" i="2"/>
  <c r="BJ261" i="2"/>
  <c r="BI261" i="2"/>
  <c r="BG261" i="2"/>
  <c r="BF261" i="2"/>
  <c r="BD261" i="2"/>
  <c r="BC261" i="2"/>
  <c r="BA261" i="2"/>
  <c r="AZ261" i="2"/>
  <c r="AX261" i="2"/>
  <c r="AW261" i="2"/>
  <c r="AU261" i="2"/>
  <c r="AT261" i="2"/>
  <c r="S261" i="2"/>
  <c r="R261" i="2"/>
  <c r="M261" i="2"/>
  <c r="U261" i="2" s="1"/>
  <c r="B261" i="2"/>
  <c r="BV260" i="2"/>
  <c r="BU260" i="2"/>
  <c r="BS260" i="2"/>
  <c r="BR260" i="2"/>
  <c r="BP260" i="2"/>
  <c r="BO260" i="2"/>
  <c r="BM260" i="2"/>
  <c r="BL260" i="2"/>
  <c r="BJ260" i="2"/>
  <c r="BI260" i="2"/>
  <c r="BG260" i="2"/>
  <c r="BG279" i="2" s="1"/>
  <c r="BF260" i="2"/>
  <c r="BD260" i="2"/>
  <c r="BC260" i="2"/>
  <c r="BA260" i="2"/>
  <c r="AZ260" i="2"/>
  <c r="AX260" i="2"/>
  <c r="AW260" i="2"/>
  <c r="AU260" i="2"/>
  <c r="AT260" i="2"/>
  <c r="U260" i="2"/>
  <c r="R260" i="2"/>
  <c r="M260" i="2"/>
  <c r="B260" i="2"/>
  <c r="BV259" i="2"/>
  <c r="BU259" i="2"/>
  <c r="BU279" i="2" s="1"/>
  <c r="BS259" i="2"/>
  <c r="BS279" i="2" s="1"/>
  <c r="BR259" i="2"/>
  <c r="BR286" i="2" s="1"/>
  <c r="BR285" i="2" s="1"/>
  <c r="BP259" i="2"/>
  <c r="BP279" i="2" s="1"/>
  <c r="BO259" i="2"/>
  <c r="BO286" i="2" s="1"/>
  <c r="BO285" i="2" s="1"/>
  <c r="BM259" i="2"/>
  <c r="BL259" i="2"/>
  <c r="BL286" i="2" s="1"/>
  <c r="BL285" i="2" s="1"/>
  <c r="BJ259" i="2"/>
  <c r="BI259" i="2"/>
  <c r="BI279" i="2" s="1"/>
  <c r="BG259" i="2"/>
  <c r="BG286" i="2" s="1"/>
  <c r="BG285" i="2" s="1"/>
  <c r="BG284" i="2" s="1"/>
  <c r="BF259" i="2"/>
  <c r="BF279" i="2" s="1"/>
  <c r="BD259" i="2"/>
  <c r="BC259" i="2"/>
  <c r="BC279" i="2" s="1"/>
  <c r="BA259" i="2"/>
  <c r="BA279" i="2" s="1"/>
  <c r="AZ259" i="2"/>
  <c r="AZ286" i="2" s="1"/>
  <c r="AZ285" i="2" s="1"/>
  <c r="AX259" i="2"/>
  <c r="AX279" i="2" s="1"/>
  <c r="AW259" i="2"/>
  <c r="AW286" i="2" s="1"/>
  <c r="AW285" i="2" s="1"/>
  <c r="AU259" i="2"/>
  <c r="AT259" i="2"/>
  <c r="AT286" i="2" s="1"/>
  <c r="AT285" i="2" s="1"/>
  <c r="U259" i="2"/>
  <c r="AR259" i="2" s="1"/>
  <c r="S259" i="2"/>
  <c r="R259" i="2"/>
  <c r="M259" i="2"/>
  <c r="B259" i="2"/>
  <c r="AQ256" i="2"/>
  <c r="BV252" i="2"/>
  <c r="BV251" i="2" s="1"/>
  <c r="BR245" i="2"/>
  <c r="AZ245" i="2"/>
  <c r="BV244" i="2"/>
  <c r="BU244" i="2"/>
  <c r="BS244" i="2"/>
  <c r="BR244" i="2"/>
  <c r="BP244" i="2"/>
  <c r="BO244" i="2"/>
  <c r="BM244" i="2"/>
  <c r="BL244" i="2"/>
  <c r="BJ244" i="2"/>
  <c r="BI244" i="2"/>
  <c r="BG244" i="2"/>
  <c r="BF244" i="2"/>
  <c r="BD244" i="2"/>
  <c r="BC244" i="2"/>
  <c r="BA244" i="2"/>
  <c r="AZ244" i="2"/>
  <c r="AX244" i="2"/>
  <c r="AW244" i="2"/>
  <c r="AU244" i="2"/>
  <c r="AT244" i="2"/>
  <c r="R244" i="2"/>
  <c r="M244" i="2"/>
  <c r="U244" i="2" s="1"/>
  <c r="B244" i="2"/>
  <c r="BV243" i="2"/>
  <c r="BU243" i="2"/>
  <c r="BS243" i="2"/>
  <c r="BR243" i="2"/>
  <c r="BP243" i="2"/>
  <c r="BO243" i="2"/>
  <c r="BM243" i="2"/>
  <c r="BL243" i="2"/>
  <c r="BJ243" i="2"/>
  <c r="BI243" i="2"/>
  <c r="BG243" i="2"/>
  <c r="BF243" i="2"/>
  <c r="BD243" i="2"/>
  <c r="BC243" i="2"/>
  <c r="BA243" i="2"/>
  <c r="AZ243" i="2"/>
  <c r="AX243" i="2"/>
  <c r="AW243" i="2"/>
  <c r="AU243" i="2"/>
  <c r="AT243" i="2"/>
  <c r="S243" i="2"/>
  <c r="R243" i="2"/>
  <c r="M243" i="2"/>
  <c r="U243" i="2" s="1"/>
  <c r="B243" i="2"/>
  <c r="BV242" i="2"/>
  <c r="BU242" i="2"/>
  <c r="BS242" i="2"/>
  <c r="BR242" i="2"/>
  <c r="BP242" i="2"/>
  <c r="BO242" i="2"/>
  <c r="BM242" i="2"/>
  <c r="BL242" i="2"/>
  <c r="BJ242" i="2"/>
  <c r="BI242" i="2"/>
  <c r="BG242" i="2"/>
  <c r="BF242" i="2"/>
  <c r="BD242" i="2"/>
  <c r="BC242" i="2"/>
  <c r="BA242" i="2"/>
  <c r="AZ242" i="2"/>
  <c r="AX242" i="2"/>
  <c r="AW242" i="2"/>
  <c r="AU242" i="2"/>
  <c r="AT242" i="2"/>
  <c r="R242" i="2"/>
  <c r="S242" i="2" s="1"/>
  <c r="M242" i="2"/>
  <c r="U242" i="2" s="1"/>
  <c r="B242" i="2"/>
  <c r="BV241" i="2"/>
  <c r="BU241" i="2"/>
  <c r="BS241" i="2"/>
  <c r="BR241" i="2"/>
  <c r="BP241" i="2"/>
  <c r="BO241" i="2"/>
  <c r="BM241" i="2"/>
  <c r="BL241" i="2"/>
  <c r="BJ241" i="2"/>
  <c r="BI241" i="2"/>
  <c r="BG241" i="2"/>
  <c r="BF241" i="2"/>
  <c r="BD241" i="2"/>
  <c r="BC241" i="2"/>
  <c r="BA241" i="2"/>
  <c r="AZ241" i="2"/>
  <c r="AX241" i="2"/>
  <c r="AW241" i="2"/>
  <c r="AU241" i="2"/>
  <c r="AT241" i="2"/>
  <c r="S241" i="2"/>
  <c r="R241" i="2"/>
  <c r="M241" i="2"/>
  <c r="U241" i="2" s="1"/>
  <c r="B241" i="2"/>
  <c r="BV240" i="2"/>
  <c r="BU240" i="2"/>
  <c r="BS240" i="2"/>
  <c r="BR240" i="2"/>
  <c r="BP240" i="2"/>
  <c r="BO240" i="2"/>
  <c r="BM240" i="2"/>
  <c r="BL240" i="2"/>
  <c r="BJ240" i="2"/>
  <c r="BI240" i="2"/>
  <c r="BG240" i="2"/>
  <c r="BF240" i="2"/>
  <c r="BD240" i="2"/>
  <c r="BC240" i="2"/>
  <c r="BA240" i="2"/>
  <c r="AZ240" i="2"/>
  <c r="AX240" i="2"/>
  <c r="AW240" i="2"/>
  <c r="AU240" i="2"/>
  <c r="AT240" i="2"/>
  <c r="U240" i="2"/>
  <c r="R240" i="2"/>
  <c r="M240" i="2"/>
  <c r="B240" i="2"/>
  <c r="BV239" i="2"/>
  <c r="BU239" i="2"/>
  <c r="BS239" i="2"/>
  <c r="BR239" i="2"/>
  <c r="BP239" i="2"/>
  <c r="BO239" i="2"/>
  <c r="BM239" i="2"/>
  <c r="BL239" i="2"/>
  <c r="BJ239" i="2"/>
  <c r="BI239" i="2"/>
  <c r="BG239" i="2"/>
  <c r="BF239" i="2"/>
  <c r="BD239" i="2"/>
  <c r="BC239" i="2"/>
  <c r="BA239" i="2"/>
  <c r="AZ239" i="2"/>
  <c r="AX239" i="2"/>
  <c r="AW239" i="2"/>
  <c r="AU239" i="2"/>
  <c r="AT239" i="2"/>
  <c r="U239" i="2"/>
  <c r="R239" i="2"/>
  <c r="S239" i="2" s="1"/>
  <c r="M239" i="2"/>
  <c r="B239" i="2"/>
  <c r="BV238" i="2"/>
  <c r="BU238" i="2"/>
  <c r="BS238" i="2"/>
  <c r="BR238" i="2"/>
  <c r="BP238" i="2"/>
  <c r="BO238" i="2"/>
  <c r="BM238" i="2"/>
  <c r="BL238" i="2"/>
  <c r="BJ238" i="2"/>
  <c r="BI238" i="2"/>
  <c r="BG238" i="2"/>
  <c r="BF238" i="2"/>
  <c r="BD238" i="2"/>
  <c r="BC238" i="2"/>
  <c r="BA238" i="2"/>
  <c r="AZ238" i="2"/>
  <c r="AX238" i="2"/>
  <c r="AW238" i="2"/>
  <c r="AU238" i="2"/>
  <c r="AT238" i="2"/>
  <c r="R238" i="2"/>
  <c r="M238" i="2"/>
  <c r="U238" i="2" s="1"/>
  <c r="B238" i="2"/>
  <c r="BV237" i="2"/>
  <c r="BU237" i="2"/>
  <c r="BS237" i="2"/>
  <c r="BR237" i="2"/>
  <c r="BP237" i="2"/>
  <c r="BO237" i="2"/>
  <c r="BM237" i="2"/>
  <c r="BL237" i="2"/>
  <c r="BJ237" i="2"/>
  <c r="BI237" i="2"/>
  <c r="BG237" i="2"/>
  <c r="BF237" i="2"/>
  <c r="BD237" i="2"/>
  <c r="BC237" i="2"/>
  <c r="BA237" i="2"/>
  <c r="AZ237" i="2"/>
  <c r="AX237" i="2"/>
  <c r="AW237" i="2"/>
  <c r="AU237" i="2"/>
  <c r="AT237" i="2"/>
  <c r="S237" i="2"/>
  <c r="R237" i="2"/>
  <c r="M237" i="2"/>
  <c r="U237" i="2" s="1"/>
  <c r="B237" i="2"/>
  <c r="BV236" i="2"/>
  <c r="BU236" i="2"/>
  <c r="BS236" i="2"/>
  <c r="BR236" i="2"/>
  <c r="BP236" i="2"/>
  <c r="BO236" i="2"/>
  <c r="BM236" i="2"/>
  <c r="BL236" i="2"/>
  <c r="BJ236" i="2"/>
  <c r="BI236" i="2"/>
  <c r="BG236" i="2"/>
  <c r="BF236" i="2"/>
  <c r="BD236" i="2"/>
  <c r="BC236" i="2"/>
  <c r="BA236" i="2"/>
  <c r="AZ236" i="2"/>
  <c r="AX236" i="2"/>
  <c r="AW236" i="2"/>
  <c r="AU236" i="2"/>
  <c r="AT236" i="2"/>
  <c r="R236" i="2"/>
  <c r="S236" i="2" s="1"/>
  <c r="M236" i="2"/>
  <c r="U236" i="2" s="1"/>
  <c r="B236" i="2"/>
  <c r="BV235" i="2"/>
  <c r="BU235" i="2"/>
  <c r="BS235" i="2"/>
  <c r="BR235" i="2"/>
  <c r="BP235" i="2"/>
  <c r="BO235" i="2"/>
  <c r="BM235" i="2"/>
  <c r="BL235" i="2"/>
  <c r="BJ235" i="2"/>
  <c r="BI235" i="2"/>
  <c r="BG235" i="2"/>
  <c r="BF235" i="2"/>
  <c r="BD235" i="2"/>
  <c r="BC235" i="2"/>
  <c r="BA235" i="2"/>
  <c r="AZ235" i="2"/>
  <c r="AX235" i="2"/>
  <c r="AW235" i="2"/>
  <c r="AU235" i="2"/>
  <c r="AT235" i="2"/>
  <c r="S235" i="2"/>
  <c r="R235" i="2"/>
  <c r="M235" i="2"/>
  <c r="U235" i="2" s="1"/>
  <c r="B235" i="2"/>
  <c r="BV234" i="2"/>
  <c r="BU234" i="2"/>
  <c r="BS234" i="2"/>
  <c r="BR234" i="2"/>
  <c r="BP234" i="2"/>
  <c r="BO234" i="2"/>
  <c r="BM234" i="2"/>
  <c r="BL234" i="2"/>
  <c r="BJ234" i="2"/>
  <c r="BI234" i="2"/>
  <c r="BG234" i="2"/>
  <c r="BF234" i="2"/>
  <c r="BD234" i="2"/>
  <c r="BC234" i="2"/>
  <c r="BA234" i="2"/>
  <c r="AZ234" i="2"/>
  <c r="AX234" i="2"/>
  <c r="AW234" i="2"/>
  <c r="AU234" i="2"/>
  <c r="AT234" i="2"/>
  <c r="U234" i="2"/>
  <c r="R234" i="2"/>
  <c r="M234" i="2"/>
  <c r="B234" i="2"/>
  <c r="BV233" i="2"/>
  <c r="BU233" i="2"/>
  <c r="BS233" i="2"/>
  <c r="BR233" i="2"/>
  <c r="BP233" i="2"/>
  <c r="BO233" i="2"/>
  <c r="BM233" i="2"/>
  <c r="BL233" i="2"/>
  <c r="BJ233" i="2"/>
  <c r="BI233" i="2"/>
  <c r="BG233" i="2"/>
  <c r="BF233" i="2"/>
  <c r="BD233" i="2"/>
  <c r="BC233" i="2"/>
  <c r="BA233" i="2"/>
  <c r="AZ233" i="2"/>
  <c r="AX233" i="2"/>
  <c r="AW233" i="2"/>
  <c r="AU233" i="2"/>
  <c r="AT233" i="2"/>
  <c r="U233" i="2"/>
  <c r="R233" i="2"/>
  <c r="S233" i="2" s="1"/>
  <c r="M233" i="2"/>
  <c r="B233" i="2"/>
  <c r="BV232" i="2"/>
  <c r="BU232" i="2"/>
  <c r="BS232" i="2"/>
  <c r="BR232" i="2"/>
  <c r="BP232" i="2"/>
  <c r="BO232" i="2"/>
  <c r="BM232" i="2"/>
  <c r="BL232" i="2"/>
  <c r="BJ232" i="2"/>
  <c r="BI232" i="2"/>
  <c r="BG232" i="2"/>
  <c r="BF232" i="2"/>
  <c r="BD232" i="2"/>
  <c r="BC232" i="2"/>
  <c r="BA232" i="2"/>
  <c r="AZ232" i="2"/>
  <c r="AX232" i="2"/>
  <c r="AW232" i="2"/>
  <c r="AU232" i="2"/>
  <c r="AT232" i="2"/>
  <c r="R232" i="2"/>
  <c r="M232" i="2"/>
  <c r="U232" i="2" s="1"/>
  <c r="B232" i="2"/>
  <c r="BV231" i="2"/>
  <c r="BU231" i="2"/>
  <c r="BS231" i="2"/>
  <c r="BR231" i="2"/>
  <c r="BP231" i="2"/>
  <c r="BO231" i="2"/>
  <c r="BM231" i="2"/>
  <c r="BL231" i="2"/>
  <c r="BJ231" i="2"/>
  <c r="BI231" i="2"/>
  <c r="BG231" i="2"/>
  <c r="BF231" i="2"/>
  <c r="BD231" i="2"/>
  <c r="BC231" i="2"/>
  <c r="BA231" i="2"/>
  <c r="AZ231" i="2"/>
  <c r="AX231" i="2"/>
  <c r="AW231" i="2"/>
  <c r="AU231" i="2"/>
  <c r="AT231" i="2"/>
  <c r="S231" i="2"/>
  <c r="R231" i="2"/>
  <c r="M231" i="2"/>
  <c r="U231" i="2" s="1"/>
  <c r="B231" i="2"/>
  <c r="BV230" i="2"/>
  <c r="BU230" i="2"/>
  <c r="BS230" i="2"/>
  <c r="BR230" i="2"/>
  <c r="BP230" i="2"/>
  <c r="BO230" i="2"/>
  <c r="BM230" i="2"/>
  <c r="BL230" i="2"/>
  <c r="BJ230" i="2"/>
  <c r="BI230" i="2"/>
  <c r="BG230" i="2"/>
  <c r="BF230" i="2"/>
  <c r="BD230" i="2"/>
  <c r="BD252" i="2" s="1"/>
  <c r="BD251" i="2" s="1"/>
  <c r="BC230" i="2"/>
  <c r="BA230" i="2"/>
  <c r="AZ230" i="2"/>
  <c r="AX230" i="2"/>
  <c r="AW230" i="2"/>
  <c r="AU230" i="2"/>
  <c r="AT230" i="2"/>
  <c r="R230" i="2"/>
  <c r="S230" i="2" s="1"/>
  <c r="M230" i="2"/>
  <c r="U230" i="2" s="1"/>
  <c r="B230" i="2"/>
  <c r="BV229" i="2"/>
  <c r="BU229" i="2"/>
  <c r="BS229" i="2"/>
  <c r="BR229" i="2"/>
  <c r="BP229" i="2"/>
  <c r="BO229" i="2"/>
  <c r="BM229" i="2"/>
  <c r="BL229" i="2"/>
  <c r="BJ229" i="2"/>
  <c r="BI229" i="2"/>
  <c r="BG229" i="2"/>
  <c r="BF229" i="2"/>
  <c r="BD229" i="2"/>
  <c r="BC229" i="2"/>
  <c r="BA229" i="2"/>
  <c r="AZ229" i="2"/>
  <c r="AX229" i="2"/>
  <c r="AW229" i="2"/>
  <c r="AU229" i="2"/>
  <c r="AT229" i="2"/>
  <c r="S229" i="2"/>
  <c r="R229" i="2"/>
  <c r="M229" i="2"/>
  <c r="U229" i="2" s="1"/>
  <c r="B229" i="2"/>
  <c r="BV228" i="2"/>
  <c r="BU228" i="2"/>
  <c r="BS228" i="2"/>
  <c r="BR228" i="2"/>
  <c r="BP228" i="2"/>
  <c r="BO228" i="2"/>
  <c r="BM228" i="2"/>
  <c r="BL228" i="2"/>
  <c r="BJ228" i="2"/>
  <c r="BI228" i="2"/>
  <c r="BG228" i="2"/>
  <c r="BF228" i="2"/>
  <c r="BD228" i="2"/>
  <c r="BC228" i="2"/>
  <c r="BA228" i="2"/>
  <c r="AZ228" i="2"/>
  <c r="AX228" i="2"/>
  <c r="AW228" i="2"/>
  <c r="AU228" i="2"/>
  <c r="AT228" i="2"/>
  <c r="U228" i="2"/>
  <c r="R228" i="2"/>
  <c r="M228" i="2"/>
  <c r="B228" i="2"/>
  <c r="BV227" i="2"/>
  <c r="BU227" i="2"/>
  <c r="BS227" i="2"/>
  <c r="BR227" i="2"/>
  <c r="BP227" i="2"/>
  <c r="BO227" i="2"/>
  <c r="BM227" i="2"/>
  <c r="BL227" i="2"/>
  <c r="BJ227" i="2"/>
  <c r="BI227" i="2"/>
  <c r="BG227" i="2"/>
  <c r="BF227" i="2"/>
  <c r="BD227" i="2"/>
  <c r="BC227" i="2"/>
  <c r="BA227" i="2"/>
  <c r="AZ227" i="2"/>
  <c r="AX227" i="2"/>
  <c r="AW227" i="2"/>
  <c r="AU227" i="2"/>
  <c r="AT227" i="2"/>
  <c r="U227" i="2"/>
  <c r="R227" i="2"/>
  <c r="S227" i="2" s="1"/>
  <c r="M227" i="2"/>
  <c r="B227" i="2"/>
  <c r="BV226" i="2"/>
  <c r="BU226" i="2"/>
  <c r="BS226" i="2"/>
  <c r="BR226" i="2"/>
  <c r="BP226" i="2"/>
  <c r="BO226" i="2"/>
  <c r="BM226" i="2"/>
  <c r="BM245" i="2" s="1"/>
  <c r="BL226" i="2"/>
  <c r="BJ226" i="2"/>
  <c r="BJ245" i="2" s="1"/>
  <c r="BI226" i="2"/>
  <c r="BG226" i="2"/>
  <c r="BF226" i="2"/>
  <c r="BD226" i="2"/>
  <c r="BC226" i="2"/>
  <c r="BA226" i="2"/>
  <c r="AZ226" i="2"/>
  <c r="AX226" i="2"/>
  <c r="AW226" i="2"/>
  <c r="AU226" i="2"/>
  <c r="AU245" i="2" s="1"/>
  <c r="AT226" i="2"/>
  <c r="R226" i="2"/>
  <c r="R250" i="2" s="1"/>
  <c r="M226" i="2"/>
  <c r="U226" i="2" s="1"/>
  <c r="B226" i="2"/>
  <c r="BV225" i="2"/>
  <c r="BU225" i="2"/>
  <c r="BU252" i="2" s="1"/>
  <c r="BU251" i="2" s="1"/>
  <c r="BS225" i="2"/>
  <c r="BR225" i="2"/>
  <c r="BR252" i="2" s="1"/>
  <c r="BR251" i="2" s="1"/>
  <c r="BR250" i="2" s="1"/>
  <c r="BP225" i="2"/>
  <c r="BO225" i="2"/>
  <c r="BO245" i="2" s="1"/>
  <c r="BM225" i="2"/>
  <c r="BL225" i="2"/>
  <c r="BL245" i="2" s="1"/>
  <c r="BJ225" i="2"/>
  <c r="BI225" i="2"/>
  <c r="BI245" i="2" s="1"/>
  <c r="BG225" i="2"/>
  <c r="BF225" i="2"/>
  <c r="BF252" i="2" s="1"/>
  <c r="BF251" i="2" s="1"/>
  <c r="BD225" i="2"/>
  <c r="BC225" i="2"/>
  <c r="BC252" i="2" s="1"/>
  <c r="BC251" i="2" s="1"/>
  <c r="BA225" i="2"/>
  <c r="AZ225" i="2"/>
  <c r="AZ252" i="2" s="1"/>
  <c r="AZ251" i="2" s="1"/>
  <c r="AZ250" i="2" s="1"/>
  <c r="AX225" i="2"/>
  <c r="AW225" i="2"/>
  <c r="AW245" i="2" s="1"/>
  <c r="AU225" i="2"/>
  <c r="AT225" i="2"/>
  <c r="AT245" i="2" s="1"/>
  <c r="U225" i="2"/>
  <c r="AR225" i="2" s="1"/>
  <c r="S225" i="2"/>
  <c r="R225" i="2"/>
  <c r="R249" i="2" s="1"/>
  <c r="M225" i="2"/>
  <c r="B225" i="2"/>
  <c r="AQ222" i="2"/>
  <c r="BV209" i="2"/>
  <c r="BU209" i="2"/>
  <c r="BS209" i="2"/>
  <c r="BR209" i="2"/>
  <c r="BP209" i="2"/>
  <c r="BO209" i="2"/>
  <c r="BM209" i="2"/>
  <c r="BL209" i="2"/>
  <c r="BJ209" i="2"/>
  <c r="BI209" i="2"/>
  <c r="BG209" i="2"/>
  <c r="BF209" i="2"/>
  <c r="BD209" i="2"/>
  <c r="BC209" i="2"/>
  <c r="BA209" i="2"/>
  <c r="AZ209" i="2"/>
  <c r="AX209" i="2"/>
  <c r="AW209" i="2"/>
  <c r="AU209" i="2"/>
  <c r="AT209" i="2"/>
  <c r="R209" i="2"/>
  <c r="S209" i="2" s="1"/>
  <c r="M209" i="2"/>
  <c r="U209" i="2" s="1"/>
  <c r="B209" i="2"/>
  <c r="BV208" i="2"/>
  <c r="BU208" i="2"/>
  <c r="BS208" i="2"/>
  <c r="BR208" i="2"/>
  <c r="BP208" i="2"/>
  <c r="BO208" i="2"/>
  <c r="BM208" i="2"/>
  <c r="BL208" i="2"/>
  <c r="BJ208" i="2"/>
  <c r="BI208" i="2"/>
  <c r="BG208" i="2"/>
  <c r="BF208" i="2"/>
  <c r="BD208" i="2"/>
  <c r="BC208" i="2"/>
  <c r="BA208" i="2"/>
  <c r="AZ208" i="2"/>
  <c r="AX208" i="2"/>
  <c r="AW208" i="2"/>
  <c r="AU208" i="2"/>
  <c r="AT208" i="2"/>
  <c r="S208" i="2"/>
  <c r="R208" i="2"/>
  <c r="M208" i="2"/>
  <c r="U208" i="2" s="1"/>
  <c r="B208" i="2"/>
  <c r="BV207" i="2"/>
  <c r="BU207" i="2"/>
  <c r="BS207" i="2"/>
  <c r="BR207" i="2"/>
  <c r="BP207" i="2"/>
  <c r="BO207" i="2"/>
  <c r="BM207" i="2"/>
  <c r="BL207" i="2"/>
  <c r="BJ207" i="2"/>
  <c r="BJ217" i="2" s="1"/>
  <c r="BJ216" i="2" s="1"/>
  <c r="BJ215" i="2" s="1"/>
  <c r="BI207" i="2"/>
  <c r="BG207" i="2"/>
  <c r="BF207" i="2"/>
  <c r="BD207" i="2"/>
  <c r="BC207" i="2"/>
  <c r="BA207" i="2"/>
  <c r="AZ207" i="2"/>
  <c r="AX207" i="2"/>
  <c r="AW207" i="2"/>
  <c r="AU207" i="2"/>
  <c r="AT207" i="2"/>
  <c r="U207" i="2"/>
  <c r="R207" i="2"/>
  <c r="M207" i="2"/>
  <c r="B207" i="2"/>
  <c r="BV206" i="2"/>
  <c r="BU206" i="2"/>
  <c r="BS206" i="2"/>
  <c r="BR206" i="2"/>
  <c r="BP206" i="2"/>
  <c r="BO206" i="2"/>
  <c r="BM206" i="2"/>
  <c r="BL206" i="2"/>
  <c r="BJ206" i="2"/>
  <c r="BI206" i="2"/>
  <c r="BG206" i="2"/>
  <c r="BF206" i="2"/>
  <c r="BD206" i="2"/>
  <c r="BC206" i="2"/>
  <c r="BA206" i="2"/>
  <c r="AZ206" i="2"/>
  <c r="AX206" i="2"/>
  <c r="AW206" i="2"/>
  <c r="AU206" i="2"/>
  <c r="AT206" i="2"/>
  <c r="U206" i="2"/>
  <c r="R206" i="2"/>
  <c r="S206" i="2" s="1"/>
  <c r="M206" i="2"/>
  <c r="B206" i="2"/>
  <c r="BV205" i="2"/>
  <c r="BU205" i="2"/>
  <c r="BS205" i="2"/>
  <c r="BR205" i="2"/>
  <c r="BP205" i="2"/>
  <c r="BO205" i="2"/>
  <c r="BM205" i="2"/>
  <c r="BL205" i="2"/>
  <c r="BJ205" i="2"/>
  <c r="BI205" i="2"/>
  <c r="BG205" i="2"/>
  <c r="BF205" i="2"/>
  <c r="BD205" i="2"/>
  <c r="BC205" i="2"/>
  <c r="BA205" i="2"/>
  <c r="AZ205" i="2"/>
  <c r="AX205" i="2"/>
  <c r="AW205" i="2"/>
  <c r="AU205" i="2"/>
  <c r="AT205" i="2"/>
  <c r="R205" i="2"/>
  <c r="M205" i="2"/>
  <c r="U205" i="2" s="1"/>
  <c r="B205" i="2"/>
  <c r="BV204" i="2"/>
  <c r="BU204" i="2"/>
  <c r="BS204" i="2"/>
  <c r="BR204" i="2"/>
  <c r="BP204" i="2"/>
  <c r="BO204" i="2"/>
  <c r="BM204" i="2"/>
  <c r="BL204" i="2"/>
  <c r="BJ204" i="2"/>
  <c r="BI204" i="2"/>
  <c r="BG204" i="2"/>
  <c r="BF204" i="2"/>
  <c r="BD204" i="2"/>
  <c r="BC204" i="2"/>
  <c r="BA204" i="2"/>
  <c r="AZ204" i="2"/>
  <c r="AX204" i="2"/>
  <c r="AW204" i="2"/>
  <c r="AU204" i="2"/>
  <c r="AT204" i="2"/>
  <c r="R204" i="2"/>
  <c r="S204" i="2" s="1"/>
  <c r="M204" i="2"/>
  <c r="U204" i="2" s="1"/>
  <c r="B204" i="2"/>
  <c r="BV203" i="2"/>
  <c r="BU203" i="2"/>
  <c r="BS203" i="2"/>
  <c r="BR203" i="2"/>
  <c r="BP203" i="2"/>
  <c r="BO203" i="2"/>
  <c r="BM203" i="2"/>
  <c r="BL203" i="2"/>
  <c r="BJ203" i="2"/>
  <c r="BI203" i="2"/>
  <c r="BG203" i="2"/>
  <c r="BF203" i="2"/>
  <c r="BD203" i="2"/>
  <c r="BC203" i="2"/>
  <c r="BA203" i="2"/>
  <c r="AZ203" i="2"/>
  <c r="AX203" i="2"/>
  <c r="AW203" i="2"/>
  <c r="AU203" i="2"/>
  <c r="AT203" i="2"/>
  <c r="R203" i="2"/>
  <c r="S203" i="2" s="1"/>
  <c r="M203" i="2"/>
  <c r="U203" i="2" s="1"/>
  <c r="B203" i="2"/>
  <c r="BV202" i="2"/>
  <c r="BU202" i="2"/>
  <c r="BS202" i="2"/>
  <c r="BR202" i="2"/>
  <c r="BP202" i="2"/>
  <c r="BO202" i="2"/>
  <c r="BM202" i="2"/>
  <c r="BL202" i="2"/>
  <c r="BJ202" i="2"/>
  <c r="BI202" i="2"/>
  <c r="BG202" i="2"/>
  <c r="BF202" i="2"/>
  <c r="BD202" i="2"/>
  <c r="BC202" i="2"/>
  <c r="BA202" i="2"/>
  <c r="AZ202" i="2"/>
  <c r="AX202" i="2"/>
  <c r="AW202" i="2"/>
  <c r="AU202" i="2"/>
  <c r="AT202" i="2"/>
  <c r="S202" i="2"/>
  <c r="R202" i="2"/>
  <c r="M202" i="2"/>
  <c r="U202" i="2" s="1"/>
  <c r="B202" i="2"/>
  <c r="BV201" i="2"/>
  <c r="BU201" i="2"/>
  <c r="BS201" i="2"/>
  <c r="BR201" i="2"/>
  <c r="BP201" i="2"/>
  <c r="BO201" i="2"/>
  <c r="BM201" i="2"/>
  <c r="BL201" i="2"/>
  <c r="BJ201" i="2"/>
  <c r="BI201" i="2"/>
  <c r="BG201" i="2"/>
  <c r="BF201" i="2"/>
  <c r="BD201" i="2"/>
  <c r="BC201" i="2"/>
  <c r="BA201" i="2"/>
  <c r="AZ201" i="2"/>
  <c r="AX201" i="2"/>
  <c r="AW201" i="2"/>
  <c r="AU201" i="2"/>
  <c r="AT201" i="2"/>
  <c r="U201" i="2"/>
  <c r="R201" i="2"/>
  <c r="M201" i="2"/>
  <c r="B201" i="2"/>
  <c r="BV200" i="2"/>
  <c r="BU200" i="2"/>
  <c r="BS200" i="2"/>
  <c r="BR200" i="2"/>
  <c r="BP200" i="2"/>
  <c r="BO200" i="2"/>
  <c r="BM200" i="2"/>
  <c r="BL200" i="2"/>
  <c r="BJ200" i="2"/>
  <c r="BI200" i="2"/>
  <c r="BG200" i="2"/>
  <c r="BF200" i="2"/>
  <c r="BD200" i="2"/>
  <c r="BC200" i="2"/>
  <c r="BA200" i="2"/>
  <c r="AZ200" i="2"/>
  <c r="AX200" i="2"/>
  <c r="AW200" i="2"/>
  <c r="AU200" i="2"/>
  <c r="AT200" i="2"/>
  <c r="U200" i="2"/>
  <c r="R200" i="2"/>
  <c r="S200" i="2" s="1"/>
  <c r="M200" i="2"/>
  <c r="B200" i="2"/>
  <c r="BV199" i="2"/>
  <c r="BU199" i="2"/>
  <c r="BS199" i="2"/>
  <c r="BR199" i="2"/>
  <c r="BP199" i="2"/>
  <c r="BO199" i="2"/>
  <c r="BM199" i="2"/>
  <c r="BL199" i="2"/>
  <c r="BJ199" i="2"/>
  <c r="BI199" i="2"/>
  <c r="BG199" i="2"/>
  <c r="BF199" i="2"/>
  <c r="BD199" i="2"/>
  <c r="BC199" i="2"/>
  <c r="BA199" i="2"/>
  <c r="AZ199" i="2"/>
  <c r="AX199" i="2"/>
  <c r="AW199" i="2"/>
  <c r="AU199" i="2"/>
  <c r="AT199" i="2"/>
  <c r="R199" i="2"/>
  <c r="M199" i="2"/>
  <c r="U199" i="2" s="1"/>
  <c r="B199" i="2"/>
  <c r="BV198" i="2"/>
  <c r="BU198" i="2"/>
  <c r="BS198" i="2"/>
  <c r="BR198" i="2"/>
  <c r="BP198" i="2"/>
  <c r="BO198" i="2"/>
  <c r="BM198" i="2"/>
  <c r="BL198" i="2"/>
  <c r="BJ198" i="2"/>
  <c r="BI198" i="2"/>
  <c r="BG198" i="2"/>
  <c r="BF198" i="2"/>
  <c r="BD198" i="2"/>
  <c r="BC198" i="2"/>
  <c r="BA198" i="2"/>
  <c r="AZ198" i="2"/>
  <c r="AX198" i="2"/>
  <c r="AW198" i="2"/>
  <c r="AU198" i="2"/>
  <c r="AT198" i="2"/>
  <c r="R198" i="2"/>
  <c r="S198" i="2" s="1"/>
  <c r="M198" i="2"/>
  <c r="U198" i="2" s="1"/>
  <c r="B198" i="2"/>
  <c r="BV197" i="2"/>
  <c r="BU197" i="2"/>
  <c r="BS197" i="2"/>
  <c r="BR197" i="2"/>
  <c r="BP197" i="2"/>
  <c r="BO197" i="2"/>
  <c r="BM197" i="2"/>
  <c r="BL197" i="2"/>
  <c r="BJ197" i="2"/>
  <c r="BI197" i="2"/>
  <c r="BG197" i="2"/>
  <c r="BF197" i="2"/>
  <c r="BD197" i="2"/>
  <c r="BC197" i="2"/>
  <c r="BA197" i="2"/>
  <c r="AZ197" i="2"/>
  <c r="AX197" i="2"/>
  <c r="AW197" i="2"/>
  <c r="AU197" i="2"/>
  <c r="AT197" i="2"/>
  <c r="R197" i="2"/>
  <c r="S197" i="2" s="1"/>
  <c r="M197" i="2"/>
  <c r="U197" i="2" s="1"/>
  <c r="B197" i="2"/>
  <c r="BV196" i="2"/>
  <c r="BU196" i="2"/>
  <c r="BS196" i="2"/>
  <c r="BR196" i="2"/>
  <c r="BP196" i="2"/>
  <c r="BO196" i="2"/>
  <c r="BM196" i="2"/>
  <c r="BL196" i="2"/>
  <c r="BJ196" i="2"/>
  <c r="BI196" i="2"/>
  <c r="BG196" i="2"/>
  <c r="BF196" i="2"/>
  <c r="BD196" i="2"/>
  <c r="BC196" i="2"/>
  <c r="BA196" i="2"/>
  <c r="AZ196" i="2"/>
  <c r="AX196" i="2"/>
  <c r="AW196" i="2"/>
  <c r="AU196" i="2"/>
  <c r="AT196" i="2"/>
  <c r="S196" i="2"/>
  <c r="R196" i="2"/>
  <c r="M196" i="2"/>
  <c r="U196" i="2" s="1"/>
  <c r="B196" i="2"/>
  <c r="BV195" i="2"/>
  <c r="BU195" i="2"/>
  <c r="BS195" i="2"/>
  <c r="BR195" i="2"/>
  <c r="BP195" i="2"/>
  <c r="BO195" i="2"/>
  <c r="BM195" i="2"/>
  <c r="BL195" i="2"/>
  <c r="BJ195" i="2"/>
  <c r="BI195" i="2"/>
  <c r="BG195" i="2"/>
  <c r="BF195" i="2"/>
  <c r="BD195" i="2"/>
  <c r="BC195" i="2"/>
  <c r="BA195" i="2"/>
  <c r="AZ195" i="2"/>
  <c r="AX195" i="2"/>
  <c r="AW195" i="2"/>
  <c r="AU195" i="2"/>
  <c r="AT195" i="2"/>
  <c r="U195" i="2"/>
  <c r="R195" i="2"/>
  <c r="M195" i="2"/>
  <c r="B195" i="2"/>
  <c r="BV194" i="2"/>
  <c r="BU194" i="2"/>
  <c r="BS194" i="2"/>
  <c r="BR194" i="2"/>
  <c r="BP194" i="2"/>
  <c r="BO194" i="2"/>
  <c r="BM194" i="2"/>
  <c r="BM210" i="2" s="1"/>
  <c r="BL194" i="2"/>
  <c r="BJ194" i="2"/>
  <c r="BI194" i="2"/>
  <c r="BG194" i="2"/>
  <c r="BF194" i="2"/>
  <c r="BD194" i="2"/>
  <c r="BC194" i="2"/>
  <c r="BA194" i="2"/>
  <c r="AZ194" i="2"/>
  <c r="AX194" i="2"/>
  <c r="AW194" i="2"/>
  <c r="AU194" i="2"/>
  <c r="AU210" i="2" s="1"/>
  <c r="AT194" i="2"/>
  <c r="U194" i="2"/>
  <c r="R194" i="2"/>
  <c r="S194" i="2" s="1"/>
  <c r="M194" i="2"/>
  <c r="B194" i="2"/>
  <c r="BV193" i="2"/>
  <c r="BU193" i="2"/>
  <c r="BS193" i="2"/>
  <c r="BR193" i="2"/>
  <c r="BP193" i="2"/>
  <c r="BO193" i="2"/>
  <c r="BM193" i="2"/>
  <c r="BL193" i="2"/>
  <c r="BJ193" i="2"/>
  <c r="BI193" i="2"/>
  <c r="BG193" i="2"/>
  <c r="BF193" i="2"/>
  <c r="BF210" i="2" s="1"/>
  <c r="BD193" i="2"/>
  <c r="BC193" i="2"/>
  <c r="BA193" i="2"/>
  <c r="AZ193" i="2"/>
  <c r="AX193" i="2"/>
  <c r="AW193" i="2"/>
  <c r="AU193" i="2"/>
  <c r="AT193" i="2"/>
  <c r="R193" i="2"/>
  <c r="M193" i="2"/>
  <c r="U193" i="2" s="1"/>
  <c r="B193" i="2"/>
  <c r="BV192" i="2"/>
  <c r="BU192" i="2"/>
  <c r="BS192" i="2"/>
  <c r="BR192" i="2"/>
  <c r="BP192" i="2"/>
  <c r="BO192" i="2"/>
  <c r="BM192" i="2"/>
  <c r="BL192" i="2"/>
  <c r="BJ192" i="2"/>
  <c r="BI192" i="2"/>
  <c r="BG192" i="2"/>
  <c r="BF192" i="2"/>
  <c r="BD192" i="2"/>
  <c r="BC192" i="2"/>
  <c r="BA192" i="2"/>
  <c r="AZ192" i="2"/>
  <c r="AX192" i="2"/>
  <c r="AW192" i="2"/>
  <c r="AU192" i="2"/>
  <c r="AT192" i="2"/>
  <c r="R192" i="2"/>
  <c r="S192" i="2" s="1"/>
  <c r="M192" i="2"/>
  <c r="U192" i="2" s="1"/>
  <c r="B192" i="2"/>
  <c r="BV191" i="2"/>
  <c r="BU191" i="2"/>
  <c r="BS191" i="2"/>
  <c r="BS210" i="2" s="1"/>
  <c r="BR191" i="2"/>
  <c r="BR217" i="2" s="1"/>
  <c r="BR216" i="2" s="1"/>
  <c r="BP191" i="2"/>
  <c r="BO191" i="2"/>
  <c r="BM191" i="2"/>
  <c r="BL191" i="2"/>
  <c r="BJ191" i="2"/>
  <c r="BJ210" i="2" s="1"/>
  <c r="BI191" i="2"/>
  <c r="BG191" i="2"/>
  <c r="BF191" i="2"/>
  <c r="BD191" i="2"/>
  <c r="BC191" i="2"/>
  <c r="BA191" i="2"/>
  <c r="AZ191" i="2"/>
  <c r="AZ217" i="2" s="1"/>
  <c r="AZ216" i="2" s="1"/>
  <c r="AX191" i="2"/>
  <c r="AW191" i="2"/>
  <c r="AU191" i="2"/>
  <c r="AT191" i="2"/>
  <c r="R191" i="2"/>
  <c r="S191" i="2" s="1"/>
  <c r="M191" i="2"/>
  <c r="U191" i="2" s="1"/>
  <c r="B191" i="2"/>
  <c r="BV190" i="2"/>
  <c r="BU190" i="2"/>
  <c r="BU210" i="2" s="1"/>
  <c r="BS190" i="2"/>
  <c r="BR190" i="2"/>
  <c r="BR210" i="2" s="1"/>
  <c r="BP190" i="2"/>
  <c r="BO190" i="2"/>
  <c r="BM190" i="2"/>
  <c r="BL190" i="2"/>
  <c r="BJ190" i="2"/>
  <c r="BI190" i="2"/>
  <c r="BI217" i="2" s="1"/>
  <c r="BI216" i="2" s="1"/>
  <c r="BG190" i="2"/>
  <c r="BF190" i="2"/>
  <c r="BD190" i="2"/>
  <c r="BC190" i="2"/>
  <c r="BC210" i="2" s="1"/>
  <c r="BA190" i="2"/>
  <c r="AZ190" i="2"/>
  <c r="AZ210" i="2" s="1"/>
  <c r="AX190" i="2"/>
  <c r="AW190" i="2"/>
  <c r="AU190" i="2"/>
  <c r="AT190" i="2"/>
  <c r="S190" i="2"/>
  <c r="R190" i="2"/>
  <c r="M190" i="2"/>
  <c r="U190" i="2" s="1"/>
  <c r="AR190" i="2" s="1"/>
  <c r="B190" i="2"/>
  <c r="AQ187" i="2"/>
  <c r="BP181" i="2"/>
  <c r="BP180" i="2" s="1"/>
  <c r="BP179" i="2" s="1"/>
  <c r="BV173" i="2"/>
  <c r="BU173" i="2"/>
  <c r="BS173" i="2"/>
  <c r="BR173" i="2"/>
  <c r="BP173" i="2"/>
  <c r="BO173" i="2"/>
  <c r="BM173" i="2"/>
  <c r="BL173" i="2"/>
  <c r="BJ173" i="2"/>
  <c r="BI173" i="2"/>
  <c r="BG173" i="2"/>
  <c r="BF173" i="2"/>
  <c r="BD173" i="2"/>
  <c r="BC173" i="2"/>
  <c r="BA173" i="2"/>
  <c r="AZ173" i="2"/>
  <c r="AX173" i="2"/>
  <c r="AW173" i="2"/>
  <c r="AU173" i="2"/>
  <c r="AT173" i="2"/>
  <c r="U173" i="2"/>
  <c r="R173" i="2"/>
  <c r="M173" i="2"/>
  <c r="B173" i="2"/>
  <c r="BV172" i="2"/>
  <c r="BU172" i="2"/>
  <c r="BS172" i="2"/>
  <c r="BR172" i="2"/>
  <c r="BP172" i="2"/>
  <c r="BO172" i="2"/>
  <c r="BM172" i="2"/>
  <c r="BL172" i="2"/>
  <c r="BJ172" i="2"/>
  <c r="BI172" i="2"/>
  <c r="BG172" i="2"/>
  <c r="BF172" i="2"/>
  <c r="BD172" i="2"/>
  <c r="BC172" i="2"/>
  <c r="BA172" i="2"/>
  <c r="AZ172" i="2"/>
  <c r="AX172" i="2"/>
  <c r="AW172" i="2"/>
  <c r="AU172" i="2"/>
  <c r="AT172" i="2"/>
  <c r="U172" i="2"/>
  <c r="S172" i="2"/>
  <c r="R172" i="2"/>
  <c r="M172" i="2"/>
  <c r="B172" i="2"/>
  <c r="BV171" i="2"/>
  <c r="BU171" i="2"/>
  <c r="BS171" i="2"/>
  <c r="BR171" i="2"/>
  <c r="BP171" i="2"/>
  <c r="BO171" i="2"/>
  <c r="BM171" i="2"/>
  <c r="BL171" i="2"/>
  <c r="BJ171" i="2"/>
  <c r="BI171" i="2"/>
  <c r="BG171" i="2"/>
  <c r="BF171" i="2"/>
  <c r="BD171" i="2"/>
  <c r="BC171" i="2"/>
  <c r="BA171" i="2"/>
  <c r="AZ171" i="2"/>
  <c r="AX171" i="2"/>
  <c r="AW171" i="2"/>
  <c r="AU171" i="2"/>
  <c r="AT171" i="2"/>
  <c r="R171" i="2"/>
  <c r="M171" i="2"/>
  <c r="U171" i="2" s="1"/>
  <c r="B171" i="2"/>
  <c r="BV170" i="2"/>
  <c r="BU170" i="2"/>
  <c r="BS170" i="2"/>
  <c r="BR170" i="2"/>
  <c r="BP170" i="2"/>
  <c r="BO170" i="2"/>
  <c r="BM170" i="2"/>
  <c r="BL170" i="2"/>
  <c r="BJ170" i="2"/>
  <c r="BI170" i="2"/>
  <c r="BG170" i="2"/>
  <c r="BF170" i="2"/>
  <c r="BD170" i="2"/>
  <c r="BC170" i="2"/>
  <c r="BA170" i="2"/>
  <c r="AZ170" i="2"/>
  <c r="AX170" i="2"/>
  <c r="AW170" i="2"/>
  <c r="AU170" i="2"/>
  <c r="AT170" i="2"/>
  <c r="R170" i="2"/>
  <c r="S170" i="2" s="1"/>
  <c r="M170" i="2"/>
  <c r="U170" i="2" s="1"/>
  <c r="B170" i="2"/>
  <c r="BV169" i="2"/>
  <c r="BU169" i="2"/>
  <c r="BS169" i="2"/>
  <c r="BR169" i="2"/>
  <c r="BP169" i="2"/>
  <c r="BO169" i="2"/>
  <c r="BM169" i="2"/>
  <c r="BL169" i="2"/>
  <c r="BJ169" i="2"/>
  <c r="BI169" i="2"/>
  <c r="BG169" i="2"/>
  <c r="BF169" i="2"/>
  <c r="BD169" i="2"/>
  <c r="BC169" i="2"/>
  <c r="BA169" i="2"/>
  <c r="AZ169" i="2"/>
  <c r="AX169" i="2"/>
  <c r="AW169" i="2"/>
  <c r="AU169" i="2"/>
  <c r="AT169" i="2"/>
  <c r="R169" i="2"/>
  <c r="S169" i="2" s="1"/>
  <c r="M169" i="2"/>
  <c r="U169" i="2" s="1"/>
  <c r="B169" i="2"/>
  <c r="BV168" i="2"/>
  <c r="BU168" i="2"/>
  <c r="BS168" i="2"/>
  <c r="BR168" i="2"/>
  <c r="BP168" i="2"/>
  <c r="BO168" i="2"/>
  <c r="BM168" i="2"/>
  <c r="BL168" i="2"/>
  <c r="BJ168" i="2"/>
  <c r="BI168" i="2"/>
  <c r="BG168" i="2"/>
  <c r="BF168" i="2"/>
  <c r="BD168" i="2"/>
  <c r="BC168" i="2"/>
  <c r="BA168" i="2"/>
  <c r="AZ168" i="2"/>
  <c r="AX168" i="2"/>
  <c r="AW168" i="2"/>
  <c r="AU168" i="2"/>
  <c r="AT168" i="2"/>
  <c r="S168" i="2"/>
  <c r="R168" i="2"/>
  <c r="M168" i="2"/>
  <c r="U168" i="2" s="1"/>
  <c r="B168" i="2"/>
  <c r="BV167" i="2"/>
  <c r="BU167" i="2"/>
  <c r="BS167" i="2"/>
  <c r="BR167" i="2"/>
  <c r="BP167" i="2"/>
  <c r="BO167" i="2"/>
  <c r="BM167" i="2"/>
  <c r="BL167" i="2"/>
  <c r="BJ167" i="2"/>
  <c r="BI167" i="2"/>
  <c r="BG167" i="2"/>
  <c r="BF167" i="2"/>
  <c r="BD167" i="2"/>
  <c r="BC167" i="2"/>
  <c r="BA167" i="2"/>
  <c r="AZ167" i="2"/>
  <c r="AX167" i="2"/>
  <c r="AW167" i="2"/>
  <c r="AU167" i="2"/>
  <c r="AT167" i="2"/>
  <c r="U167" i="2"/>
  <c r="R167" i="2"/>
  <c r="M167" i="2"/>
  <c r="B167" i="2"/>
  <c r="BV166" i="2"/>
  <c r="BU166" i="2"/>
  <c r="BS166" i="2"/>
  <c r="BR166" i="2"/>
  <c r="BP166" i="2"/>
  <c r="BO166" i="2"/>
  <c r="BM166" i="2"/>
  <c r="BL166" i="2"/>
  <c r="BJ166" i="2"/>
  <c r="BI166" i="2"/>
  <c r="BG166" i="2"/>
  <c r="BF166" i="2"/>
  <c r="BD166" i="2"/>
  <c r="BC166" i="2"/>
  <c r="BA166" i="2"/>
  <c r="AZ166" i="2"/>
  <c r="AX166" i="2"/>
  <c r="AW166" i="2"/>
  <c r="AU166" i="2"/>
  <c r="AT166" i="2"/>
  <c r="U166" i="2"/>
  <c r="S166" i="2"/>
  <c r="R166" i="2"/>
  <c r="M166" i="2"/>
  <c r="B166" i="2"/>
  <c r="BV165" i="2"/>
  <c r="BU165" i="2"/>
  <c r="BS165" i="2"/>
  <c r="BR165" i="2"/>
  <c r="BP165" i="2"/>
  <c r="BO165" i="2"/>
  <c r="BM165" i="2"/>
  <c r="BL165" i="2"/>
  <c r="BJ165" i="2"/>
  <c r="BI165" i="2"/>
  <c r="BG165" i="2"/>
  <c r="BF165" i="2"/>
  <c r="BD165" i="2"/>
  <c r="BC165" i="2"/>
  <c r="BA165" i="2"/>
  <c r="AZ165" i="2"/>
  <c r="AX165" i="2"/>
  <c r="AW165" i="2"/>
  <c r="AU165" i="2"/>
  <c r="AT165" i="2"/>
  <c r="R165" i="2"/>
  <c r="M165" i="2"/>
  <c r="U165" i="2" s="1"/>
  <c r="B165" i="2"/>
  <c r="BV164" i="2"/>
  <c r="BU164" i="2"/>
  <c r="BS164" i="2"/>
  <c r="BR164" i="2"/>
  <c r="BP164" i="2"/>
  <c r="BO164" i="2"/>
  <c r="BM164" i="2"/>
  <c r="BL164" i="2"/>
  <c r="BJ164" i="2"/>
  <c r="BI164" i="2"/>
  <c r="BG164" i="2"/>
  <c r="BF164" i="2"/>
  <c r="BD164" i="2"/>
  <c r="BC164" i="2"/>
  <c r="BA164" i="2"/>
  <c r="BA174" i="2" s="1"/>
  <c r="AZ164" i="2"/>
  <c r="AX164" i="2"/>
  <c r="AW164" i="2"/>
  <c r="AU164" i="2"/>
  <c r="AT164" i="2"/>
  <c r="R164" i="2"/>
  <c r="S164" i="2" s="1"/>
  <c r="M164" i="2"/>
  <c r="U164" i="2" s="1"/>
  <c r="B164" i="2"/>
  <c r="BV163" i="2"/>
  <c r="BU163" i="2"/>
  <c r="BS163" i="2"/>
  <c r="BR163" i="2"/>
  <c r="BP163" i="2"/>
  <c r="BO163" i="2"/>
  <c r="BM163" i="2"/>
  <c r="BL163" i="2"/>
  <c r="BJ163" i="2"/>
  <c r="BI163" i="2"/>
  <c r="BG163" i="2"/>
  <c r="BF163" i="2"/>
  <c r="BD163" i="2"/>
  <c r="BC163" i="2"/>
  <c r="BA163" i="2"/>
  <c r="AZ163" i="2"/>
  <c r="AX163" i="2"/>
  <c r="AW163" i="2"/>
  <c r="AU163" i="2"/>
  <c r="AT163" i="2"/>
  <c r="R163" i="2"/>
  <c r="S163" i="2" s="1"/>
  <c r="M163" i="2"/>
  <c r="U163" i="2" s="1"/>
  <c r="B163" i="2"/>
  <c r="BV162" i="2"/>
  <c r="BU162" i="2"/>
  <c r="BS162" i="2"/>
  <c r="BR162" i="2"/>
  <c r="BP162" i="2"/>
  <c r="BO162" i="2"/>
  <c r="BM162" i="2"/>
  <c r="BL162" i="2"/>
  <c r="BJ162" i="2"/>
  <c r="BI162" i="2"/>
  <c r="BG162" i="2"/>
  <c r="BF162" i="2"/>
  <c r="BD162" i="2"/>
  <c r="BC162" i="2"/>
  <c r="BA162" i="2"/>
  <c r="AZ162" i="2"/>
  <c r="AX162" i="2"/>
  <c r="AW162" i="2"/>
  <c r="AU162" i="2"/>
  <c r="AT162" i="2"/>
  <c r="S162" i="2"/>
  <c r="R162" i="2"/>
  <c r="M162" i="2"/>
  <c r="U162" i="2" s="1"/>
  <c r="B162" i="2"/>
  <c r="BV161" i="2"/>
  <c r="BU161" i="2"/>
  <c r="BS161" i="2"/>
  <c r="BR161" i="2"/>
  <c r="BP161" i="2"/>
  <c r="BO161" i="2"/>
  <c r="BM161" i="2"/>
  <c r="BL161" i="2"/>
  <c r="BJ161" i="2"/>
  <c r="BI161" i="2"/>
  <c r="BG161" i="2"/>
  <c r="BF161" i="2"/>
  <c r="BD161" i="2"/>
  <c r="BC161" i="2"/>
  <c r="BA161" i="2"/>
  <c r="AZ161" i="2"/>
  <c r="AX161" i="2"/>
  <c r="AW161" i="2"/>
  <c r="AU161" i="2"/>
  <c r="AT161" i="2"/>
  <c r="U161" i="2"/>
  <c r="R161" i="2"/>
  <c r="S161" i="2" s="1"/>
  <c r="M161" i="2"/>
  <c r="B161" i="2"/>
  <c r="BV160" i="2"/>
  <c r="BU160" i="2"/>
  <c r="BS160" i="2"/>
  <c r="BR160" i="2"/>
  <c r="BP160" i="2"/>
  <c r="BO160" i="2"/>
  <c r="BM160" i="2"/>
  <c r="BL160" i="2"/>
  <c r="BJ160" i="2"/>
  <c r="BI160" i="2"/>
  <c r="BG160" i="2"/>
  <c r="BF160" i="2"/>
  <c r="BD160" i="2"/>
  <c r="BC160" i="2"/>
  <c r="BA160" i="2"/>
  <c r="AZ160" i="2"/>
  <c r="AX160" i="2"/>
  <c r="AW160" i="2"/>
  <c r="AU160" i="2"/>
  <c r="AT160" i="2"/>
  <c r="U160" i="2"/>
  <c r="S160" i="2"/>
  <c r="R160" i="2"/>
  <c r="M160" i="2"/>
  <c r="B160" i="2"/>
  <c r="BV159" i="2"/>
  <c r="BU159" i="2"/>
  <c r="BS159" i="2"/>
  <c r="BR159" i="2"/>
  <c r="BP159" i="2"/>
  <c r="BO159" i="2"/>
  <c r="BM159" i="2"/>
  <c r="BL159" i="2"/>
  <c r="BJ159" i="2"/>
  <c r="BI159" i="2"/>
  <c r="BG159" i="2"/>
  <c r="BF159" i="2"/>
  <c r="BD159" i="2"/>
  <c r="BC159" i="2"/>
  <c r="BA159" i="2"/>
  <c r="AZ159" i="2"/>
  <c r="AX159" i="2"/>
  <c r="AW159" i="2"/>
  <c r="AU159" i="2"/>
  <c r="AT159" i="2"/>
  <c r="R159" i="2"/>
  <c r="M159" i="2"/>
  <c r="U159" i="2" s="1"/>
  <c r="B159" i="2"/>
  <c r="BV158" i="2"/>
  <c r="BU158" i="2"/>
  <c r="BS158" i="2"/>
  <c r="BR158" i="2"/>
  <c r="BP158" i="2"/>
  <c r="BO158" i="2"/>
  <c r="BM158" i="2"/>
  <c r="BL158" i="2"/>
  <c r="BJ158" i="2"/>
  <c r="BI158" i="2"/>
  <c r="BG158" i="2"/>
  <c r="BF158" i="2"/>
  <c r="BD158" i="2"/>
  <c r="BC158" i="2"/>
  <c r="BA158" i="2"/>
  <c r="AZ158" i="2"/>
  <c r="AX158" i="2"/>
  <c r="AX181" i="2" s="1"/>
  <c r="AX180" i="2" s="1"/>
  <c r="AX179" i="2" s="1"/>
  <c r="AW158" i="2"/>
  <c r="AU158" i="2"/>
  <c r="AT158" i="2"/>
  <c r="R158" i="2"/>
  <c r="S158" i="2" s="1"/>
  <c r="M158" i="2"/>
  <c r="U158" i="2" s="1"/>
  <c r="B158" i="2"/>
  <c r="BV157" i="2"/>
  <c r="BU157" i="2"/>
  <c r="BS157" i="2"/>
  <c r="BS174" i="2" s="1"/>
  <c r="BR157" i="2"/>
  <c r="BP157" i="2"/>
  <c r="BO157" i="2"/>
  <c r="BM157" i="2"/>
  <c r="BL157" i="2"/>
  <c r="BJ157" i="2"/>
  <c r="BI157" i="2"/>
  <c r="BG157" i="2"/>
  <c r="BF157" i="2"/>
  <c r="BD157" i="2"/>
  <c r="BC157" i="2"/>
  <c r="BA157" i="2"/>
  <c r="AZ157" i="2"/>
  <c r="AX157" i="2"/>
  <c r="AW157" i="2"/>
  <c r="AU157" i="2"/>
  <c r="AT157" i="2"/>
  <c r="R157" i="2"/>
  <c r="S157" i="2" s="1"/>
  <c r="M157" i="2"/>
  <c r="U157" i="2" s="1"/>
  <c r="B157" i="2"/>
  <c r="BV156" i="2"/>
  <c r="BU156" i="2"/>
  <c r="BS156" i="2"/>
  <c r="BR156" i="2"/>
  <c r="BP156" i="2"/>
  <c r="BO156" i="2"/>
  <c r="BM156" i="2"/>
  <c r="BL156" i="2"/>
  <c r="BJ156" i="2"/>
  <c r="BI156" i="2"/>
  <c r="BG156" i="2"/>
  <c r="BF156" i="2"/>
  <c r="BD156" i="2"/>
  <c r="BC156" i="2"/>
  <c r="BA156" i="2"/>
  <c r="AZ156" i="2"/>
  <c r="AX156" i="2"/>
  <c r="AW156" i="2"/>
  <c r="AU156" i="2"/>
  <c r="AT156" i="2"/>
  <c r="S156" i="2"/>
  <c r="R156" i="2"/>
  <c r="M156" i="2"/>
  <c r="U156" i="2" s="1"/>
  <c r="B156" i="2"/>
  <c r="BV155" i="2"/>
  <c r="BU155" i="2"/>
  <c r="BS155" i="2"/>
  <c r="BR155" i="2"/>
  <c r="BP155" i="2"/>
  <c r="BP174" i="2" s="1"/>
  <c r="BO155" i="2"/>
  <c r="BM155" i="2"/>
  <c r="BL155" i="2"/>
  <c r="BJ155" i="2"/>
  <c r="BI155" i="2"/>
  <c r="BG155" i="2"/>
  <c r="BF155" i="2"/>
  <c r="BF181" i="2" s="1"/>
  <c r="BF180" i="2" s="1"/>
  <c r="BD155" i="2"/>
  <c r="BC155" i="2"/>
  <c r="BA155" i="2"/>
  <c r="AZ155" i="2"/>
  <c r="AX155" i="2"/>
  <c r="AX174" i="2" s="1"/>
  <c r="AW155" i="2"/>
  <c r="AU155" i="2"/>
  <c r="AT155" i="2"/>
  <c r="U155" i="2"/>
  <c r="S155" i="2"/>
  <c r="R155" i="2"/>
  <c r="M155" i="2"/>
  <c r="B155" i="2"/>
  <c r="BV154" i="2"/>
  <c r="BU154" i="2"/>
  <c r="BS154" i="2"/>
  <c r="BS181" i="2" s="1"/>
  <c r="BS180" i="2" s="1"/>
  <c r="BR154" i="2"/>
  <c r="BP154" i="2"/>
  <c r="BO154" i="2"/>
  <c r="BO181" i="2" s="1"/>
  <c r="BO180" i="2" s="1"/>
  <c r="BM154" i="2"/>
  <c r="BL154" i="2"/>
  <c r="BL174" i="2" s="1"/>
  <c r="BJ154" i="2"/>
  <c r="BI154" i="2"/>
  <c r="BG154" i="2"/>
  <c r="BF154" i="2"/>
  <c r="BD154" i="2"/>
  <c r="BC154" i="2"/>
  <c r="BA154" i="2"/>
  <c r="BA181" i="2" s="1"/>
  <c r="BA180" i="2" s="1"/>
  <c r="AZ154" i="2"/>
  <c r="AX154" i="2"/>
  <c r="AW154" i="2"/>
  <c r="AW181" i="2" s="1"/>
  <c r="AW180" i="2" s="1"/>
  <c r="AU154" i="2"/>
  <c r="AT154" i="2"/>
  <c r="AR154" i="2"/>
  <c r="U154" i="2"/>
  <c r="S154" i="2"/>
  <c r="R154" i="2"/>
  <c r="M154" i="2"/>
  <c r="B154" i="2"/>
  <c r="AQ151" i="2"/>
  <c r="BV137" i="2"/>
  <c r="BU137" i="2"/>
  <c r="BS137" i="2"/>
  <c r="BR137" i="2"/>
  <c r="BP137" i="2"/>
  <c r="BO137" i="2"/>
  <c r="BM137" i="2"/>
  <c r="BL137" i="2"/>
  <c r="BJ137" i="2"/>
  <c r="BI137" i="2"/>
  <c r="BG137" i="2"/>
  <c r="BF137" i="2"/>
  <c r="BD137" i="2"/>
  <c r="BC137" i="2"/>
  <c r="BA137" i="2"/>
  <c r="AZ137" i="2"/>
  <c r="AX137" i="2"/>
  <c r="AW137" i="2"/>
  <c r="AU137" i="2"/>
  <c r="AT137" i="2"/>
  <c r="U137" i="2"/>
  <c r="R137" i="2"/>
  <c r="M137" i="2"/>
  <c r="B137" i="2"/>
  <c r="BV136" i="2"/>
  <c r="BU136" i="2"/>
  <c r="BS136" i="2"/>
  <c r="BR136" i="2"/>
  <c r="BP136" i="2"/>
  <c r="BO136" i="2"/>
  <c r="BM136" i="2"/>
  <c r="BL136" i="2"/>
  <c r="BJ136" i="2"/>
  <c r="BI136" i="2"/>
  <c r="BG136" i="2"/>
  <c r="BF136" i="2"/>
  <c r="BD136" i="2"/>
  <c r="BC136" i="2"/>
  <c r="BA136" i="2"/>
  <c r="AZ136" i="2"/>
  <c r="AX136" i="2"/>
  <c r="AW136" i="2"/>
  <c r="AU136" i="2"/>
  <c r="AT136" i="2"/>
  <c r="S136" i="2"/>
  <c r="R136" i="2"/>
  <c r="M136" i="2"/>
  <c r="U136" i="2" s="1"/>
  <c r="B136" i="2"/>
  <c r="BV135" i="2"/>
  <c r="BU135" i="2"/>
  <c r="BS135" i="2"/>
  <c r="BR135" i="2"/>
  <c r="BP135" i="2"/>
  <c r="BO135" i="2"/>
  <c r="BM135" i="2"/>
  <c r="BL135" i="2"/>
  <c r="BJ135" i="2"/>
  <c r="BI135" i="2"/>
  <c r="BG135" i="2"/>
  <c r="BF135" i="2"/>
  <c r="BD135" i="2"/>
  <c r="BC135" i="2"/>
  <c r="BA135" i="2"/>
  <c r="AZ135" i="2"/>
  <c r="AX135" i="2"/>
  <c r="AW135" i="2"/>
  <c r="AU135" i="2"/>
  <c r="AT135" i="2"/>
  <c r="R135" i="2"/>
  <c r="S135" i="2" s="1"/>
  <c r="M135" i="2"/>
  <c r="U135" i="2" s="1"/>
  <c r="B135" i="2"/>
  <c r="BV134" i="2"/>
  <c r="BU134" i="2"/>
  <c r="BS134" i="2"/>
  <c r="BR134" i="2"/>
  <c r="BP134" i="2"/>
  <c r="BO134" i="2"/>
  <c r="BM134" i="2"/>
  <c r="BL134" i="2"/>
  <c r="BJ134" i="2"/>
  <c r="BI134" i="2"/>
  <c r="BG134" i="2"/>
  <c r="BF134" i="2"/>
  <c r="BD134" i="2"/>
  <c r="BC134" i="2"/>
  <c r="BA134" i="2"/>
  <c r="AZ134" i="2"/>
  <c r="AX134" i="2"/>
  <c r="AW134" i="2"/>
  <c r="AU134" i="2"/>
  <c r="AT134" i="2"/>
  <c r="R134" i="2"/>
  <c r="M134" i="2"/>
  <c r="U134" i="2" s="1"/>
  <c r="B134" i="2"/>
  <c r="BV133" i="2"/>
  <c r="BU133" i="2"/>
  <c r="BS133" i="2"/>
  <c r="BR133" i="2"/>
  <c r="BP133" i="2"/>
  <c r="BO133" i="2"/>
  <c r="BM133" i="2"/>
  <c r="BL133" i="2"/>
  <c r="BJ133" i="2"/>
  <c r="BI133" i="2"/>
  <c r="BG133" i="2"/>
  <c r="BF133" i="2"/>
  <c r="BD133" i="2"/>
  <c r="BC133" i="2"/>
  <c r="BA133" i="2"/>
  <c r="AZ133" i="2"/>
  <c r="AX133" i="2"/>
  <c r="AW133" i="2"/>
  <c r="AU133" i="2"/>
  <c r="AT133" i="2"/>
  <c r="R133" i="2"/>
  <c r="M133" i="2"/>
  <c r="U133" i="2" s="1"/>
  <c r="B133" i="2"/>
  <c r="BV132" i="2"/>
  <c r="BU132" i="2"/>
  <c r="BS132" i="2"/>
  <c r="BR132" i="2"/>
  <c r="BP132" i="2"/>
  <c r="BO132" i="2"/>
  <c r="BM132" i="2"/>
  <c r="BL132" i="2"/>
  <c r="BJ132" i="2"/>
  <c r="BI132" i="2"/>
  <c r="BG132" i="2"/>
  <c r="BF132" i="2"/>
  <c r="BD132" i="2"/>
  <c r="BC132" i="2"/>
  <c r="BA132" i="2"/>
  <c r="AZ132" i="2"/>
  <c r="AX132" i="2"/>
  <c r="AW132" i="2"/>
  <c r="AU132" i="2"/>
  <c r="AT132" i="2"/>
  <c r="U132" i="2"/>
  <c r="S132" i="2"/>
  <c r="R132" i="2"/>
  <c r="M132" i="2"/>
  <c r="B132" i="2"/>
  <c r="BV131" i="2"/>
  <c r="BU131" i="2"/>
  <c r="BS131" i="2"/>
  <c r="BR131" i="2"/>
  <c r="BP131" i="2"/>
  <c r="BO131" i="2"/>
  <c r="BM131" i="2"/>
  <c r="BL131" i="2"/>
  <c r="BJ131" i="2"/>
  <c r="BI131" i="2"/>
  <c r="BG131" i="2"/>
  <c r="BF131" i="2"/>
  <c r="BD131" i="2"/>
  <c r="BC131" i="2"/>
  <c r="BA131" i="2"/>
  <c r="AZ131" i="2"/>
  <c r="AX131" i="2"/>
  <c r="AW131" i="2"/>
  <c r="AU131" i="2"/>
  <c r="AT131" i="2"/>
  <c r="R131" i="2"/>
  <c r="M131" i="2"/>
  <c r="U131" i="2" s="1"/>
  <c r="B131" i="2"/>
  <c r="BV130" i="2"/>
  <c r="BU130" i="2"/>
  <c r="BS130" i="2"/>
  <c r="BR130" i="2"/>
  <c r="BP130" i="2"/>
  <c r="BO130" i="2"/>
  <c r="BM130" i="2"/>
  <c r="BL130" i="2"/>
  <c r="BJ130" i="2"/>
  <c r="BI130" i="2"/>
  <c r="BG130" i="2"/>
  <c r="BF130" i="2"/>
  <c r="BD130" i="2"/>
  <c r="BC130" i="2"/>
  <c r="BA130" i="2"/>
  <c r="AZ130" i="2"/>
  <c r="AX130" i="2"/>
  <c r="AW130" i="2"/>
  <c r="AU130" i="2"/>
  <c r="AT130" i="2"/>
  <c r="R130" i="2"/>
  <c r="M130" i="2"/>
  <c r="U130" i="2" s="1"/>
  <c r="B130" i="2"/>
  <c r="BV129" i="2"/>
  <c r="BU129" i="2"/>
  <c r="BS129" i="2"/>
  <c r="BR129" i="2"/>
  <c r="BP129" i="2"/>
  <c r="BO129" i="2"/>
  <c r="BM129" i="2"/>
  <c r="BL129" i="2"/>
  <c r="BJ129" i="2"/>
  <c r="BI129" i="2"/>
  <c r="BG129" i="2"/>
  <c r="BF129" i="2"/>
  <c r="BD129" i="2"/>
  <c r="BC129" i="2"/>
  <c r="BA129" i="2"/>
  <c r="AZ129" i="2"/>
  <c r="AX129" i="2"/>
  <c r="AW129" i="2"/>
  <c r="AU129" i="2"/>
  <c r="AT129" i="2"/>
  <c r="R129" i="2"/>
  <c r="S129" i="2" s="1"/>
  <c r="M129" i="2"/>
  <c r="U129" i="2" s="1"/>
  <c r="B129" i="2"/>
  <c r="BV128" i="2"/>
  <c r="BU128" i="2"/>
  <c r="BS128" i="2"/>
  <c r="BR128" i="2"/>
  <c r="BP128" i="2"/>
  <c r="BO128" i="2"/>
  <c r="BM128" i="2"/>
  <c r="BL128" i="2"/>
  <c r="BJ128" i="2"/>
  <c r="BI128" i="2"/>
  <c r="BG128" i="2"/>
  <c r="BF128" i="2"/>
  <c r="BD128" i="2"/>
  <c r="BC128" i="2"/>
  <c r="BA128" i="2"/>
  <c r="AZ128" i="2"/>
  <c r="AX128" i="2"/>
  <c r="AW128" i="2"/>
  <c r="AU128" i="2"/>
  <c r="AT128" i="2"/>
  <c r="S128" i="2"/>
  <c r="R128" i="2"/>
  <c r="M128" i="2"/>
  <c r="U128" i="2" s="1"/>
  <c r="B128" i="2"/>
  <c r="BV127" i="2"/>
  <c r="BU127" i="2"/>
  <c r="BS127" i="2"/>
  <c r="BR127" i="2"/>
  <c r="BP127" i="2"/>
  <c r="BO127" i="2"/>
  <c r="BM127" i="2"/>
  <c r="BL127" i="2"/>
  <c r="BJ127" i="2"/>
  <c r="BI127" i="2"/>
  <c r="BG127" i="2"/>
  <c r="BF127" i="2"/>
  <c r="BD127" i="2"/>
  <c r="BC127" i="2"/>
  <c r="BA127" i="2"/>
  <c r="AZ127" i="2"/>
  <c r="AX127" i="2"/>
  <c r="AW127" i="2"/>
  <c r="AU127" i="2"/>
  <c r="AT127" i="2"/>
  <c r="U127" i="2"/>
  <c r="S127" i="2"/>
  <c r="R127" i="2"/>
  <c r="M127" i="2"/>
  <c r="B127" i="2"/>
  <c r="BV126" i="2"/>
  <c r="BU126" i="2"/>
  <c r="BS126" i="2"/>
  <c r="BR126" i="2"/>
  <c r="BP126" i="2"/>
  <c r="BO126" i="2"/>
  <c r="BM126" i="2"/>
  <c r="BL126" i="2"/>
  <c r="BJ126" i="2"/>
  <c r="BI126" i="2"/>
  <c r="BG126" i="2"/>
  <c r="BF126" i="2"/>
  <c r="BD126" i="2"/>
  <c r="BC126" i="2"/>
  <c r="BA126" i="2"/>
  <c r="AZ126" i="2"/>
  <c r="AX126" i="2"/>
  <c r="AW126" i="2"/>
  <c r="AU126" i="2"/>
  <c r="AT126" i="2"/>
  <c r="U126" i="2"/>
  <c r="S126" i="2"/>
  <c r="R126" i="2"/>
  <c r="M126" i="2"/>
  <c r="B126" i="2"/>
  <c r="BV125" i="2"/>
  <c r="BU125" i="2"/>
  <c r="BS125" i="2"/>
  <c r="BR125" i="2"/>
  <c r="BP125" i="2"/>
  <c r="BO125" i="2"/>
  <c r="BM125" i="2"/>
  <c r="BL125" i="2"/>
  <c r="BJ125" i="2"/>
  <c r="BI125" i="2"/>
  <c r="BG125" i="2"/>
  <c r="BF125" i="2"/>
  <c r="BD125" i="2"/>
  <c r="BC125" i="2"/>
  <c r="BA125" i="2"/>
  <c r="AZ125" i="2"/>
  <c r="AX125" i="2"/>
  <c r="AW125" i="2"/>
  <c r="AU125" i="2"/>
  <c r="AT125" i="2"/>
  <c r="R125" i="2"/>
  <c r="S125" i="2" s="1"/>
  <c r="M125" i="2"/>
  <c r="U125" i="2" s="1"/>
  <c r="B125" i="2"/>
  <c r="BV124" i="2"/>
  <c r="BU124" i="2"/>
  <c r="BS124" i="2"/>
  <c r="BR124" i="2"/>
  <c r="BR145" i="2" s="1"/>
  <c r="BR144" i="2" s="1"/>
  <c r="BR143" i="2" s="1"/>
  <c r="BP124" i="2"/>
  <c r="BO124" i="2"/>
  <c r="BM124" i="2"/>
  <c r="BL124" i="2"/>
  <c r="BJ124" i="2"/>
  <c r="BI124" i="2"/>
  <c r="BG124" i="2"/>
  <c r="BF124" i="2"/>
  <c r="BD124" i="2"/>
  <c r="BC124" i="2"/>
  <c r="BA124" i="2"/>
  <c r="AZ124" i="2"/>
  <c r="AX124" i="2"/>
  <c r="AW124" i="2"/>
  <c r="AU124" i="2"/>
  <c r="AT124" i="2"/>
  <c r="R124" i="2"/>
  <c r="M124" i="2"/>
  <c r="U124" i="2" s="1"/>
  <c r="B124" i="2"/>
  <c r="BV123" i="2"/>
  <c r="BU123" i="2"/>
  <c r="BS123" i="2"/>
  <c r="BR123" i="2"/>
  <c r="BP123" i="2"/>
  <c r="BO123" i="2"/>
  <c r="BM123" i="2"/>
  <c r="BL123" i="2"/>
  <c r="BJ123" i="2"/>
  <c r="BI123" i="2"/>
  <c r="BG123" i="2"/>
  <c r="BF123" i="2"/>
  <c r="BD123" i="2"/>
  <c r="BC123" i="2"/>
  <c r="BA123" i="2"/>
  <c r="AZ123" i="2"/>
  <c r="AX123" i="2"/>
  <c r="AX138" i="2" s="1"/>
  <c r="AW123" i="2"/>
  <c r="AU123" i="2"/>
  <c r="AT123" i="2"/>
  <c r="R123" i="2"/>
  <c r="S123" i="2" s="1"/>
  <c r="M123" i="2"/>
  <c r="U123" i="2" s="1"/>
  <c r="B123" i="2"/>
  <c r="BV122" i="2"/>
  <c r="BU122" i="2"/>
  <c r="BS122" i="2"/>
  <c r="BR122" i="2"/>
  <c r="BP122" i="2"/>
  <c r="BO122" i="2"/>
  <c r="BM122" i="2"/>
  <c r="BL122" i="2"/>
  <c r="BJ122" i="2"/>
  <c r="BI122" i="2"/>
  <c r="BG122" i="2"/>
  <c r="BF122" i="2"/>
  <c r="BD122" i="2"/>
  <c r="BC122" i="2"/>
  <c r="BA122" i="2"/>
  <c r="AZ122" i="2"/>
  <c r="AX122" i="2"/>
  <c r="AW122" i="2"/>
  <c r="AU122" i="2"/>
  <c r="AT122" i="2"/>
  <c r="S122" i="2"/>
  <c r="R122" i="2"/>
  <c r="M122" i="2"/>
  <c r="U122" i="2" s="1"/>
  <c r="B122" i="2"/>
  <c r="BV121" i="2"/>
  <c r="BU121" i="2"/>
  <c r="BS121" i="2"/>
  <c r="BR121" i="2"/>
  <c r="BP121" i="2"/>
  <c r="BO121" i="2"/>
  <c r="BM121" i="2"/>
  <c r="BL121" i="2"/>
  <c r="BJ121" i="2"/>
  <c r="BI121" i="2"/>
  <c r="BG121" i="2"/>
  <c r="BF121" i="2"/>
  <c r="BD121" i="2"/>
  <c r="BD138" i="2" s="1"/>
  <c r="BC121" i="2"/>
  <c r="BA121" i="2"/>
  <c r="AZ121" i="2"/>
  <c r="AX121" i="2"/>
  <c r="AW121" i="2"/>
  <c r="AU121" i="2"/>
  <c r="AT121" i="2"/>
  <c r="R121" i="2"/>
  <c r="M121" i="2"/>
  <c r="U121" i="2" s="1"/>
  <c r="B121" i="2"/>
  <c r="BV120" i="2"/>
  <c r="BU120" i="2"/>
  <c r="BS120" i="2"/>
  <c r="BR120" i="2"/>
  <c r="BP120" i="2"/>
  <c r="BO120" i="2"/>
  <c r="BM120" i="2"/>
  <c r="BM138" i="2" s="1"/>
  <c r="BL120" i="2"/>
  <c r="BJ120" i="2"/>
  <c r="BI120" i="2"/>
  <c r="BG120" i="2"/>
  <c r="BF120" i="2"/>
  <c r="BD120" i="2"/>
  <c r="BC120" i="2"/>
  <c r="BA120" i="2"/>
  <c r="AZ120" i="2"/>
  <c r="AX120" i="2"/>
  <c r="AW120" i="2"/>
  <c r="AW138" i="2" s="1"/>
  <c r="AU120" i="2"/>
  <c r="AT120" i="2"/>
  <c r="U120" i="2"/>
  <c r="S120" i="2"/>
  <c r="R120" i="2"/>
  <c r="M120" i="2"/>
  <c r="B120" i="2"/>
  <c r="BV119" i="2"/>
  <c r="BV138" i="2" s="1"/>
  <c r="BU119" i="2"/>
  <c r="BS119" i="2"/>
  <c r="BR119" i="2"/>
  <c r="BP119" i="2"/>
  <c r="BO119" i="2"/>
  <c r="BO138" i="2" s="1"/>
  <c r="BM119" i="2"/>
  <c r="BL119" i="2"/>
  <c r="BJ119" i="2"/>
  <c r="BI119" i="2"/>
  <c r="BG119" i="2"/>
  <c r="BF119" i="2"/>
  <c r="BD119" i="2"/>
  <c r="BC119" i="2"/>
  <c r="BA119" i="2"/>
  <c r="AZ119" i="2"/>
  <c r="AX119" i="2"/>
  <c r="AW119" i="2"/>
  <c r="AU119" i="2"/>
  <c r="AT119" i="2"/>
  <c r="U119" i="2"/>
  <c r="R119" i="2"/>
  <c r="S119" i="2" s="1"/>
  <c r="M119" i="2"/>
  <c r="B119" i="2"/>
  <c r="BV118" i="2"/>
  <c r="BU118" i="2"/>
  <c r="BU145" i="2" s="1"/>
  <c r="BU144" i="2" s="1"/>
  <c r="BS118" i="2"/>
  <c r="BR118" i="2"/>
  <c r="BR138" i="2" s="1"/>
  <c r="BP118" i="2"/>
  <c r="BO118" i="2"/>
  <c r="BM118" i="2"/>
  <c r="BL118" i="2"/>
  <c r="BL145" i="2" s="1"/>
  <c r="BL144" i="2" s="1"/>
  <c r="BJ118" i="2"/>
  <c r="BI118" i="2"/>
  <c r="BG118" i="2"/>
  <c r="BG138" i="2" s="1"/>
  <c r="BF118" i="2"/>
  <c r="BD118" i="2"/>
  <c r="BC118" i="2"/>
  <c r="BA118" i="2"/>
  <c r="AZ118" i="2"/>
  <c r="AZ138" i="2" s="1"/>
  <c r="AX118" i="2"/>
  <c r="AW118" i="2"/>
  <c r="AU118" i="2"/>
  <c r="AU138" i="2" s="1"/>
  <c r="AT118" i="2"/>
  <c r="AT138" i="2" s="1"/>
  <c r="U118" i="2"/>
  <c r="AR118" i="2" s="1"/>
  <c r="S118" i="2"/>
  <c r="R118" i="2"/>
  <c r="M118" i="2"/>
  <c r="B118" i="2"/>
  <c r="AQ115" i="2"/>
  <c r="BV104" i="2"/>
  <c r="BU104" i="2"/>
  <c r="BS104" i="2"/>
  <c r="BR104" i="2"/>
  <c r="BP104" i="2"/>
  <c r="BO104" i="2"/>
  <c r="BM104" i="2"/>
  <c r="BL104" i="2"/>
  <c r="BJ104" i="2"/>
  <c r="BI104" i="2"/>
  <c r="BG104" i="2"/>
  <c r="BF104" i="2"/>
  <c r="BD104" i="2"/>
  <c r="BC104" i="2"/>
  <c r="BA104" i="2"/>
  <c r="AZ104" i="2"/>
  <c r="AX104" i="2"/>
  <c r="AW104" i="2"/>
  <c r="AU104" i="2"/>
  <c r="AT104" i="2"/>
  <c r="BV103" i="2"/>
  <c r="BU103" i="2"/>
  <c r="BS103" i="2"/>
  <c r="BR103" i="2"/>
  <c r="BP103" i="2"/>
  <c r="BO103" i="2"/>
  <c r="BM103" i="2"/>
  <c r="BL103" i="2"/>
  <c r="BJ103" i="2"/>
  <c r="BI103" i="2"/>
  <c r="BG103" i="2"/>
  <c r="BF103" i="2"/>
  <c r="BD103" i="2"/>
  <c r="BC103" i="2"/>
  <c r="BA103" i="2"/>
  <c r="AZ103" i="2"/>
  <c r="AX103" i="2"/>
  <c r="AW103" i="2"/>
  <c r="AU103" i="2"/>
  <c r="AT103" i="2"/>
  <c r="R103" i="2"/>
  <c r="S103" i="2" s="1"/>
  <c r="M103" i="2"/>
  <c r="U103" i="2" s="1"/>
  <c r="B103" i="2"/>
  <c r="BV102" i="2"/>
  <c r="BU102" i="2"/>
  <c r="BS102" i="2"/>
  <c r="BR102" i="2"/>
  <c r="BP102" i="2"/>
  <c r="BO102" i="2"/>
  <c r="BM102" i="2"/>
  <c r="BL102" i="2"/>
  <c r="BJ102" i="2"/>
  <c r="BI102" i="2"/>
  <c r="BG102" i="2"/>
  <c r="BF102" i="2"/>
  <c r="BD102" i="2"/>
  <c r="BC102" i="2"/>
  <c r="BA102" i="2"/>
  <c r="AZ102" i="2"/>
  <c r="AX102" i="2"/>
  <c r="AW102" i="2"/>
  <c r="AU102" i="2"/>
  <c r="AT102" i="2"/>
  <c r="S102" i="2"/>
  <c r="R102" i="2"/>
  <c r="M102" i="2"/>
  <c r="U102" i="2" s="1"/>
  <c r="B102" i="2"/>
  <c r="BV101" i="2"/>
  <c r="BU101" i="2"/>
  <c r="BS101" i="2"/>
  <c r="BR101" i="2"/>
  <c r="BP101" i="2"/>
  <c r="BO101" i="2"/>
  <c r="BM101" i="2"/>
  <c r="BL101" i="2"/>
  <c r="BJ101" i="2"/>
  <c r="BI101" i="2"/>
  <c r="BG101" i="2"/>
  <c r="BF101" i="2"/>
  <c r="BD101" i="2"/>
  <c r="BC101" i="2"/>
  <c r="BA101" i="2"/>
  <c r="AZ101" i="2"/>
  <c r="AX101" i="2"/>
  <c r="AW101" i="2"/>
  <c r="AU101" i="2"/>
  <c r="AT101" i="2"/>
  <c r="U101" i="2"/>
  <c r="R101" i="2"/>
  <c r="S101" i="2" s="1"/>
  <c r="M101" i="2"/>
  <c r="B101" i="2"/>
  <c r="BV100" i="2"/>
  <c r="BU100" i="2"/>
  <c r="BS100" i="2"/>
  <c r="BR100" i="2"/>
  <c r="BP100" i="2"/>
  <c r="BO100" i="2"/>
  <c r="BM100" i="2"/>
  <c r="BL100" i="2"/>
  <c r="BJ100" i="2"/>
  <c r="BI100" i="2"/>
  <c r="BG100" i="2"/>
  <c r="BF100" i="2"/>
  <c r="BD100" i="2"/>
  <c r="BC100" i="2"/>
  <c r="BA100" i="2"/>
  <c r="AZ100" i="2"/>
  <c r="AX100" i="2"/>
  <c r="AW100" i="2"/>
  <c r="AU100" i="2"/>
  <c r="AT100" i="2"/>
  <c r="S100" i="2"/>
  <c r="R100" i="2"/>
  <c r="M100" i="2"/>
  <c r="U100" i="2" s="1"/>
  <c r="B100" i="2"/>
  <c r="BV99" i="2"/>
  <c r="BU99" i="2"/>
  <c r="BS99" i="2"/>
  <c r="BR99" i="2"/>
  <c r="BP99" i="2"/>
  <c r="BO99" i="2"/>
  <c r="BM99" i="2"/>
  <c r="BL99" i="2"/>
  <c r="BJ99" i="2"/>
  <c r="BI99" i="2"/>
  <c r="BG99" i="2"/>
  <c r="BF99" i="2"/>
  <c r="BD99" i="2"/>
  <c r="BC99" i="2"/>
  <c r="BA99" i="2"/>
  <c r="AZ99" i="2"/>
  <c r="AX99" i="2"/>
  <c r="AW99" i="2"/>
  <c r="AU99" i="2"/>
  <c r="AT99" i="2"/>
  <c r="U99" i="2"/>
  <c r="S99" i="2"/>
  <c r="R99" i="2"/>
  <c r="M99" i="2"/>
  <c r="B99" i="2"/>
  <c r="BV98" i="2"/>
  <c r="BU98" i="2"/>
  <c r="BS98" i="2"/>
  <c r="BR98" i="2"/>
  <c r="BP98" i="2"/>
  <c r="BO98" i="2"/>
  <c r="BM98" i="2"/>
  <c r="BL98" i="2"/>
  <c r="BJ98" i="2"/>
  <c r="BI98" i="2"/>
  <c r="BG98" i="2"/>
  <c r="BF98" i="2"/>
  <c r="BD98" i="2"/>
  <c r="BC98" i="2"/>
  <c r="BA98" i="2"/>
  <c r="AZ98" i="2"/>
  <c r="AX98" i="2"/>
  <c r="AW98" i="2"/>
  <c r="AU98" i="2"/>
  <c r="AT98" i="2"/>
  <c r="U98" i="2"/>
  <c r="R98" i="2"/>
  <c r="M98" i="2"/>
  <c r="B98" i="2"/>
  <c r="BV97" i="2"/>
  <c r="BU97" i="2"/>
  <c r="BS97" i="2"/>
  <c r="BR97" i="2"/>
  <c r="BP97" i="2"/>
  <c r="BO97" i="2"/>
  <c r="BM97" i="2"/>
  <c r="BL97" i="2"/>
  <c r="BJ97" i="2"/>
  <c r="BI97" i="2"/>
  <c r="BG97" i="2"/>
  <c r="BF97" i="2"/>
  <c r="BD97" i="2"/>
  <c r="BC97" i="2"/>
  <c r="BA97" i="2"/>
  <c r="AZ97" i="2"/>
  <c r="AX97" i="2"/>
  <c r="AW97" i="2"/>
  <c r="AU97" i="2"/>
  <c r="AT97" i="2"/>
  <c r="R97" i="2"/>
  <c r="S97" i="2" s="1"/>
  <c r="M97" i="2"/>
  <c r="U97" i="2" s="1"/>
  <c r="B97" i="2"/>
  <c r="BV96" i="2"/>
  <c r="BU96" i="2"/>
  <c r="BS96" i="2"/>
  <c r="BR96" i="2"/>
  <c r="BP96" i="2"/>
  <c r="BO96" i="2"/>
  <c r="BM96" i="2"/>
  <c r="BL96" i="2"/>
  <c r="BJ96" i="2"/>
  <c r="BI96" i="2"/>
  <c r="BG96" i="2"/>
  <c r="BF96" i="2"/>
  <c r="BD96" i="2"/>
  <c r="BC96" i="2"/>
  <c r="BA96" i="2"/>
  <c r="AZ96" i="2"/>
  <c r="AX96" i="2"/>
  <c r="AW96" i="2"/>
  <c r="AU96" i="2"/>
  <c r="AT96" i="2"/>
  <c r="S96" i="2"/>
  <c r="R96" i="2"/>
  <c r="M96" i="2"/>
  <c r="U96" i="2" s="1"/>
  <c r="B96" i="2"/>
  <c r="BV95" i="2"/>
  <c r="BU95" i="2"/>
  <c r="BS95" i="2"/>
  <c r="BR95" i="2"/>
  <c r="BP95" i="2"/>
  <c r="BO95" i="2"/>
  <c r="BM95" i="2"/>
  <c r="BL95" i="2"/>
  <c r="BJ95" i="2"/>
  <c r="BI95" i="2"/>
  <c r="BG95" i="2"/>
  <c r="BF95" i="2"/>
  <c r="BD95" i="2"/>
  <c r="BC95" i="2"/>
  <c r="BA95" i="2"/>
  <c r="AZ95" i="2"/>
  <c r="AX95" i="2"/>
  <c r="AW95" i="2"/>
  <c r="AU95" i="2"/>
  <c r="AT95" i="2"/>
  <c r="U95" i="2"/>
  <c r="R95" i="2"/>
  <c r="S95" i="2" s="1"/>
  <c r="M95" i="2"/>
  <c r="B95" i="2"/>
  <c r="BV94" i="2"/>
  <c r="BU94" i="2"/>
  <c r="BS94" i="2"/>
  <c r="BR94" i="2"/>
  <c r="BP94" i="2"/>
  <c r="BO94" i="2"/>
  <c r="BM94" i="2"/>
  <c r="BL94" i="2"/>
  <c r="BJ94" i="2"/>
  <c r="BI94" i="2"/>
  <c r="BG94" i="2"/>
  <c r="BF94" i="2"/>
  <c r="BD94" i="2"/>
  <c r="BC94" i="2"/>
  <c r="BA94" i="2"/>
  <c r="AZ94" i="2"/>
  <c r="AX94" i="2"/>
  <c r="AW94" i="2"/>
  <c r="AU94" i="2"/>
  <c r="AT94" i="2"/>
  <c r="R94" i="2"/>
  <c r="M94" i="2"/>
  <c r="U94" i="2" s="1"/>
  <c r="B94" i="2"/>
  <c r="BV93" i="2"/>
  <c r="BU93" i="2"/>
  <c r="BS93" i="2"/>
  <c r="BR93" i="2"/>
  <c r="BP93" i="2"/>
  <c r="BO93" i="2"/>
  <c r="BM93" i="2"/>
  <c r="BL93" i="2"/>
  <c r="BJ93" i="2"/>
  <c r="BI93" i="2"/>
  <c r="BG93" i="2"/>
  <c r="BF93" i="2"/>
  <c r="BD93" i="2"/>
  <c r="BC93" i="2"/>
  <c r="BA93" i="2"/>
  <c r="AZ93" i="2"/>
  <c r="AX93" i="2"/>
  <c r="AW93" i="2"/>
  <c r="AU93" i="2"/>
  <c r="AT93" i="2"/>
  <c r="S93" i="2"/>
  <c r="R93" i="2"/>
  <c r="M93" i="2"/>
  <c r="U93" i="2" s="1"/>
  <c r="B93" i="2"/>
  <c r="BV92" i="2"/>
  <c r="BU92" i="2"/>
  <c r="BS92" i="2"/>
  <c r="BR92" i="2"/>
  <c r="BP92" i="2"/>
  <c r="BO92" i="2"/>
  <c r="BM92" i="2"/>
  <c r="BL92" i="2"/>
  <c r="BJ92" i="2"/>
  <c r="BI92" i="2"/>
  <c r="BG92" i="2"/>
  <c r="BF92" i="2"/>
  <c r="BD92" i="2"/>
  <c r="BC92" i="2"/>
  <c r="BA92" i="2"/>
  <c r="AZ92" i="2"/>
  <c r="AX92" i="2"/>
  <c r="AW92" i="2"/>
  <c r="AU92" i="2"/>
  <c r="AT92" i="2"/>
  <c r="U92" i="2"/>
  <c r="S92" i="2"/>
  <c r="R92" i="2"/>
  <c r="M92" i="2"/>
  <c r="B92" i="2"/>
  <c r="BV91" i="2"/>
  <c r="BU91" i="2"/>
  <c r="BS91" i="2"/>
  <c r="BR91" i="2"/>
  <c r="BP91" i="2"/>
  <c r="BO91" i="2"/>
  <c r="BM91" i="2"/>
  <c r="BL91" i="2"/>
  <c r="BJ91" i="2"/>
  <c r="BI91" i="2"/>
  <c r="BG91" i="2"/>
  <c r="BF91" i="2"/>
  <c r="BD91" i="2"/>
  <c r="BC91" i="2"/>
  <c r="BA91" i="2"/>
  <c r="AZ91" i="2"/>
  <c r="AX91" i="2"/>
  <c r="AW91" i="2"/>
  <c r="AU91" i="2"/>
  <c r="AU105" i="2" s="1"/>
  <c r="AT91" i="2"/>
  <c r="U91" i="2"/>
  <c r="R91" i="2"/>
  <c r="S91" i="2" s="1"/>
  <c r="M91" i="2"/>
  <c r="B91" i="2"/>
  <c r="BV90" i="2"/>
  <c r="BU90" i="2"/>
  <c r="BS90" i="2"/>
  <c r="BR90" i="2"/>
  <c r="BP90" i="2"/>
  <c r="BO90" i="2"/>
  <c r="BM90" i="2"/>
  <c r="BL90" i="2"/>
  <c r="BJ90" i="2"/>
  <c r="BI90" i="2"/>
  <c r="BG90" i="2"/>
  <c r="BF90" i="2"/>
  <c r="BD90" i="2"/>
  <c r="BC90" i="2"/>
  <c r="BA90" i="2"/>
  <c r="AZ90" i="2"/>
  <c r="AX90" i="2"/>
  <c r="AW90" i="2"/>
  <c r="AW112" i="2" s="1"/>
  <c r="AW111" i="2" s="1"/>
  <c r="AU90" i="2"/>
  <c r="AT90" i="2"/>
  <c r="S90" i="2"/>
  <c r="R90" i="2"/>
  <c r="M90" i="2"/>
  <c r="U90" i="2" s="1"/>
  <c r="B90" i="2"/>
  <c r="BV89" i="2"/>
  <c r="BU89" i="2"/>
  <c r="BS89" i="2"/>
  <c r="BR89" i="2"/>
  <c r="BP89" i="2"/>
  <c r="BP105" i="2" s="1"/>
  <c r="BO89" i="2"/>
  <c r="BM89" i="2"/>
  <c r="BL89" i="2"/>
  <c r="BJ89" i="2"/>
  <c r="BI89" i="2"/>
  <c r="BG89" i="2"/>
  <c r="BF89" i="2"/>
  <c r="BD89" i="2"/>
  <c r="BC89" i="2"/>
  <c r="BA89" i="2"/>
  <c r="AZ89" i="2"/>
  <c r="AX89" i="2"/>
  <c r="AW89" i="2"/>
  <c r="AU89" i="2"/>
  <c r="AT89" i="2"/>
  <c r="R89" i="2"/>
  <c r="S89" i="2" s="1"/>
  <c r="M89" i="2"/>
  <c r="U89" i="2" s="1"/>
  <c r="B89" i="2"/>
  <c r="BV88" i="2"/>
  <c r="BU88" i="2"/>
  <c r="BS88" i="2"/>
  <c r="BR88" i="2"/>
  <c r="BR112" i="2" s="1"/>
  <c r="BR111" i="2" s="1"/>
  <c r="BP88" i="2"/>
  <c r="BO88" i="2"/>
  <c r="BM88" i="2"/>
  <c r="BM105" i="2" s="1"/>
  <c r="BL88" i="2"/>
  <c r="BJ88" i="2"/>
  <c r="BI88" i="2"/>
  <c r="BG88" i="2"/>
  <c r="BF88" i="2"/>
  <c r="BD88" i="2"/>
  <c r="BC88" i="2"/>
  <c r="BA88" i="2"/>
  <c r="AZ88" i="2"/>
  <c r="AX88" i="2"/>
  <c r="AW88" i="2"/>
  <c r="AU88" i="2"/>
  <c r="AT88" i="2"/>
  <c r="R88" i="2"/>
  <c r="M88" i="2"/>
  <c r="U88" i="2" s="1"/>
  <c r="B88" i="2"/>
  <c r="BV87" i="2"/>
  <c r="BU87" i="2"/>
  <c r="BS87" i="2"/>
  <c r="BR87" i="2"/>
  <c r="BP87" i="2"/>
  <c r="BP112" i="2" s="1"/>
  <c r="BP111" i="2" s="1"/>
  <c r="BO87" i="2"/>
  <c r="BM87" i="2"/>
  <c r="BL87" i="2"/>
  <c r="BJ87" i="2"/>
  <c r="BI87" i="2"/>
  <c r="BG87" i="2"/>
  <c r="BF87" i="2"/>
  <c r="BD87" i="2"/>
  <c r="BC87" i="2"/>
  <c r="BA87" i="2"/>
  <c r="AZ87" i="2"/>
  <c r="AX87" i="2"/>
  <c r="AW87" i="2"/>
  <c r="AU87" i="2"/>
  <c r="AT87" i="2"/>
  <c r="U87" i="2"/>
  <c r="S87" i="2"/>
  <c r="R87" i="2"/>
  <c r="M87" i="2"/>
  <c r="B87" i="2"/>
  <c r="BV86" i="2"/>
  <c r="BU86" i="2"/>
  <c r="BS86" i="2"/>
  <c r="BS105" i="2" s="1"/>
  <c r="BR86" i="2"/>
  <c r="BP86" i="2"/>
  <c r="BO86" i="2"/>
  <c r="BM86" i="2"/>
  <c r="BL86" i="2"/>
  <c r="BL112" i="2" s="1"/>
  <c r="BL111" i="2" s="1"/>
  <c r="BJ86" i="2"/>
  <c r="BI86" i="2"/>
  <c r="BG86" i="2"/>
  <c r="BG105" i="2" s="1"/>
  <c r="BF86" i="2"/>
  <c r="BD86" i="2"/>
  <c r="BC86" i="2"/>
  <c r="BA86" i="2"/>
  <c r="BA105" i="2" s="1"/>
  <c r="AZ86" i="2"/>
  <c r="AX86" i="2"/>
  <c r="AW86" i="2"/>
  <c r="AU86" i="2"/>
  <c r="AT86" i="2"/>
  <c r="U86" i="2"/>
  <c r="R86" i="2"/>
  <c r="S86" i="2" s="1"/>
  <c r="M86" i="2"/>
  <c r="B86" i="2"/>
  <c r="BV85" i="2"/>
  <c r="BV112" i="2" s="1"/>
  <c r="BV111" i="2" s="1"/>
  <c r="BU85" i="2"/>
  <c r="BU112" i="2" s="1"/>
  <c r="BU111" i="2" s="1"/>
  <c r="BS85" i="2"/>
  <c r="BR85" i="2"/>
  <c r="BR105" i="2" s="1"/>
  <c r="BP85" i="2"/>
  <c r="BO85" i="2"/>
  <c r="BO105" i="2" s="1"/>
  <c r="BM85" i="2"/>
  <c r="BL85" i="2"/>
  <c r="BJ85" i="2"/>
  <c r="BI85" i="2"/>
  <c r="BI105" i="2" s="1"/>
  <c r="BG85" i="2"/>
  <c r="BF85" i="2"/>
  <c r="BF105" i="2" s="1"/>
  <c r="BD85" i="2"/>
  <c r="BD112" i="2" s="1"/>
  <c r="BD111" i="2" s="1"/>
  <c r="BC85" i="2"/>
  <c r="BC105" i="2" s="1"/>
  <c r="BA85" i="2"/>
  <c r="AZ85" i="2"/>
  <c r="AZ105" i="2" s="1"/>
  <c r="AX85" i="2"/>
  <c r="AX112" i="2" s="1"/>
  <c r="AX111" i="2" s="1"/>
  <c r="AW85" i="2"/>
  <c r="AW105" i="2" s="1"/>
  <c r="AU85" i="2"/>
  <c r="AT85" i="2"/>
  <c r="AT112" i="2" s="1"/>
  <c r="AT111" i="2" s="1"/>
  <c r="S85" i="2"/>
  <c r="R85" i="2"/>
  <c r="M85" i="2"/>
  <c r="U85" i="2" s="1"/>
  <c r="AR85" i="2" s="1"/>
  <c r="B85" i="2"/>
  <c r="R84" i="2"/>
  <c r="M84" i="2"/>
  <c r="U84" i="2" s="1"/>
  <c r="B84" i="2"/>
  <c r="AQ82" i="2"/>
  <c r="A82" i="2"/>
  <c r="AP82" i="2" s="1"/>
  <c r="AT73" i="2"/>
  <c r="AT72" i="2"/>
  <c r="BU69" i="2"/>
  <c r="BR69" i="2"/>
  <c r="BO69" i="2"/>
  <c r="BP66" i="2" s="1"/>
  <c r="BL69" i="2"/>
  <c r="BU68" i="2"/>
  <c r="BR68" i="2"/>
  <c r="BO68" i="2"/>
  <c r="BL68" i="2"/>
  <c r="BI68" i="2"/>
  <c r="BF68" i="2"/>
  <c r="BC68" i="2"/>
  <c r="AZ68" i="2"/>
  <c r="AW68" i="2"/>
  <c r="AT68" i="2"/>
  <c r="R68" i="2"/>
  <c r="M68" i="2"/>
  <c r="U68" i="2" s="1"/>
  <c r="B68" i="2"/>
  <c r="BU67" i="2"/>
  <c r="BR67" i="2"/>
  <c r="BO67" i="2"/>
  <c r="BL67" i="2"/>
  <c r="BI67" i="2"/>
  <c r="BF67" i="2"/>
  <c r="BC67" i="2"/>
  <c r="AZ67" i="2"/>
  <c r="AW67" i="2"/>
  <c r="AT67" i="2"/>
  <c r="S67" i="2"/>
  <c r="R67" i="2"/>
  <c r="M67" i="2"/>
  <c r="U67" i="2" s="1"/>
  <c r="B67" i="2"/>
  <c r="BU66" i="2"/>
  <c r="BR66" i="2"/>
  <c r="BO66" i="2"/>
  <c r="BL66" i="2"/>
  <c r="BM66" i="2" s="1"/>
  <c r="BI66" i="2"/>
  <c r="BF66" i="2"/>
  <c r="BC66" i="2"/>
  <c r="AZ66" i="2"/>
  <c r="AW66" i="2"/>
  <c r="AT66" i="2"/>
  <c r="S66" i="2"/>
  <c r="R66" i="2"/>
  <c r="M66" i="2"/>
  <c r="U66" i="2" s="1"/>
  <c r="B66" i="2"/>
  <c r="BU65" i="2"/>
  <c r="BR65" i="2"/>
  <c r="BO65" i="2"/>
  <c r="BL65" i="2"/>
  <c r="BI65" i="2"/>
  <c r="BF65" i="2"/>
  <c r="BC65" i="2"/>
  <c r="AZ65" i="2"/>
  <c r="AW65" i="2"/>
  <c r="AT65" i="2"/>
  <c r="S65" i="2"/>
  <c r="R65" i="2"/>
  <c r="M65" i="2"/>
  <c r="U65" i="2" s="1"/>
  <c r="B65" i="2"/>
  <c r="BU64" i="2"/>
  <c r="BR64" i="2"/>
  <c r="BO64" i="2"/>
  <c r="BL64" i="2"/>
  <c r="BI64" i="2"/>
  <c r="BF64" i="2"/>
  <c r="BC64" i="2"/>
  <c r="AZ64" i="2"/>
  <c r="AW64" i="2"/>
  <c r="AT64" i="2"/>
  <c r="U64" i="2"/>
  <c r="S64" i="2"/>
  <c r="R64" i="2"/>
  <c r="M64" i="2"/>
  <c r="B64" i="2"/>
  <c r="BU63" i="2"/>
  <c r="BR63" i="2"/>
  <c r="BO63" i="2"/>
  <c r="BL63" i="2"/>
  <c r="BI63" i="2"/>
  <c r="BF63" i="2"/>
  <c r="BC63" i="2"/>
  <c r="AZ63" i="2"/>
  <c r="AW63" i="2"/>
  <c r="AT63" i="2"/>
  <c r="U63" i="2"/>
  <c r="S63" i="2"/>
  <c r="R63" i="2"/>
  <c r="M63" i="2"/>
  <c r="B63" i="2"/>
  <c r="BU62" i="2"/>
  <c r="BR62" i="2"/>
  <c r="BO62" i="2"/>
  <c r="BL62" i="2"/>
  <c r="BI62" i="2"/>
  <c r="BF62" i="2"/>
  <c r="BC62" i="2"/>
  <c r="AZ62" i="2"/>
  <c r="AW62" i="2"/>
  <c r="AT62" i="2"/>
  <c r="R62" i="2"/>
  <c r="M62" i="2"/>
  <c r="U62" i="2" s="1"/>
  <c r="B62" i="2"/>
  <c r="BU61" i="2"/>
  <c r="BR61" i="2"/>
  <c r="BO61" i="2"/>
  <c r="BL61" i="2"/>
  <c r="BI61" i="2"/>
  <c r="BF61" i="2"/>
  <c r="BC61" i="2"/>
  <c r="AZ61" i="2"/>
  <c r="AW61" i="2"/>
  <c r="AT61" i="2"/>
  <c r="S61" i="2"/>
  <c r="R61" i="2"/>
  <c r="M61" i="2"/>
  <c r="U61" i="2" s="1"/>
  <c r="B61" i="2"/>
  <c r="BU60" i="2"/>
  <c r="BR60" i="2"/>
  <c r="BO60" i="2"/>
  <c r="BL60" i="2"/>
  <c r="BI60" i="2"/>
  <c r="BF60" i="2"/>
  <c r="BC60" i="2"/>
  <c r="AZ60" i="2"/>
  <c r="AW60" i="2"/>
  <c r="AT60" i="2"/>
  <c r="S60" i="2"/>
  <c r="R60" i="2"/>
  <c r="M60" i="2"/>
  <c r="U60" i="2" s="1"/>
  <c r="B60" i="2"/>
  <c r="BU59" i="2"/>
  <c r="BR59" i="2"/>
  <c r="BO59" i="2"/>
  <c r="BL59" i="2"/>
  <c r="BI59" i="2"/>
  <c r="BF59" i="2"/>
  <c r="BC59" i="2"/>
  <c r="AZ59" i="2"/>
  <c r="AW59" i="2"/>
  <c r="AT59" i="2"/>
  <c r="S59" i="2"/>
  <c r="R59" i="2"/>
  <c r="M59" i="2"/>
  <c r="U59" i="2" s="1"/>
  <c r="B59" i="2"/>
  <c r="BU58" i="2"/>
  <c r="BR58" i="2"/>
  <c r="BO58" i="2"/>
  <c r="BL58" i="2"/>
  <c r="BI58" i="2"/>
  <c r="BF58" i="2"/>
  <c r="BC58" i="2"/>
  <c r="AZ58" i="2"/>
  <c r="AW58" i="2"/>
  <c r="AT58" i="2"/>
  <c r="U58" i="2"/>
  <c r="S58" i="2"/>
  <c r="R58" i="2"/>
  <c r="M58" i="2"/>
  <c r="B58" i="2"/>
  <c r="BU57" i="2"/>
  <c r="BR57" i="2"/>
  <c r="BO57" i="2"/>
  <c r="BL57" i="2"/>
  <c r="BI57" i="2"/>
  <c r="BF57" i="2"/>
  <c r="BC57" i="2"/>
  <c r="AZ57" i="2"/>
  <c r="AW57" i="2"/>
  <c r="AT57" i="2"/>
  <c r="U57" i="2"/>
  <c r="S57" i="2"/>
  <c r="R57" i="2"/>
  <c r="M57" i="2"/>
  <c r="B57" i="2"/>
  <c r="BU56" i="2"/>
  <c r="BR56" i="2"/>
  <c r="BO56" i="2"/>
  <c r="BL56" i="2"/>
  <c r="BI56" i="2"/>
  <c r="BF56" i="2"/>
  <c r="BC56" i="2"/>
  <c r="AZ56" i="2"/>
  <c r="AW56" i="2"/>
  <c r="AT56" i="2"/>
  <c r="R56" i="2"/>
  <c r="M56" i="2"/>
  <c r="U56" i="2" s="1"/>
  <c r="B56" i="2"/>
  <c r="BU55" i="2"/>
  <c r="BR55" i="2"/>
  <c r="BO55" i="2"/>
  <c r="BL55" i="2"/>
  <c r="BI55" i="2"/>
  <c r="BF55" i="2"/>
  <c r="BC55" i="2"/>
  <c r="AZ55" i="2"/>
  <c r="AW55" i="2"/>
  <c r="AT55" i="2"/>
  <c r="S55" i="2"/>
  <c r="R55" i="2"/>
  <c r="M55" i="2"/>
  <c r="U55" i="2" s="1"/>
  <c r="BU54" i="2"/>
  <c r="BR54" i="2"/>
  <c r="BS54" i="2" s="1"/>
  <c r="BO54" i="2"/>
  <c r="BL54" i="2"/>
  <c r="BF54" i="2"/>
  <c r="BC54" i="2"/>
  <c r="AZ54" i="2"/>
  <c r="AW54" i="2"/>
  <c r="AT54" i="2"/>
  <c r="U54" i="2"/>
  <c r="M54" i="2"/>
  <c r="J54" i="2"/>
  <c r="BI54" i="2" s="1"/>
  <c r="B54" i="2"/>
  <c r="BU53" i="2"/>
  <c r="BR53" i="2"/>
  <c r="BO53" i="2"/>
  <c r="BL53" i="2"/>
  <c r="BI53" i="2"/>
  <c r="BF53" i="2"/>
  <c r="BF69" i="2" s="1"/>
  <c r="BC53" i="2"/>
  <c r="AZ53" i="2"/>
  <c r="AW53" i="2"/>
  <c r="AT53" i="2"/>
  <c r="S53" i="2"/>
  <c r="R53" i="2"/>
  <c r="M53" i="2"/>
  <c r="U53" i="2" s="1"/>
  <c r="J53" i="2"/>
  <c r="B53" i="2"/>
  <c r="BU52" i="2"/>
  <c r="BR52" i="2"/>
  <c r="BO52" i="2"/>
  <c r="BL52" i="2"/>
  <c r="BM52" i="2" s="1"/>
  <c r="BI52" i="2"/>
  <c r="BF52" i="2"/>
  <c r="AZ52" i="2"/>
  <c r="AW52" i="2"/>
  <c r="AT52" i="2"/>
  <c r="U52" i="2"/>
  <c r="S52" i="2"/>
  <c r="R52" i="2"/>
  <c r="M52" i="2"/>
  <c r="J52" i="2"/>
  <c r="BC52" i="2" s="1"/>
  <c r="B52" i="2"/>
  <c r="BU51" i="2"/>
  <c r="BR51" i="2"/>
  <c r="BO51" i="2"/>
  <c r="BL51" i="2"/>
  <c r="BI51" i="2"/>
  <c r="BF51" i="2"/>
  <c r="BC51" i="2"/>
  <c r="AW51" i="2"/>
  <c r="AT51" i="2"/>
  <c r="R51" i="2"/>
  <c r="M51" i="2"/>
  <c r="U51" i="2" s="1"/>
  <c r="J51" i="2"/>
  <c r="AZ51" i="2" s="1"/>
  <c r="B51" i="2"/>
  <c r="BU50" i="2"/>
  <c r="BR50" i="2"/>
  <c r="BS50" i="2" s="1"/>
  <c r="BO50" i="2"/>
  <c r="BL50" i="2"/>
  <c r="BI50" i="2"/>
  <c r="BF50" i="2"/>
  <c r="BC50" i="2"/>
  <c r="AZ50" i="2"/>
  <c r="AT50" i="2"/>
  <c r="U50" i="2"/>
  <c r="M50" i="2"/>
  <c r="J50" i="2"/>
  <c r="AW50" i="2" s="1"/>
  <c r="B50" i="2"/>
  <c r="BU49" i="2"/>
  <c r="BU76" i="2" s="1"/>
  <c r="BR49" i="2"/>
  <c r="BR75" i="2" s="1" a="1"/>
  <c r="BR75" i="2" s="1"/>
  <c r="BO49" i="2"/>
  <c r="BO75" i="2" s="1" a="1"/>
  <c r="BO75" i="2" s="1"/>
  <c r="BL49" i="2"/>
  <c r="BL75" i="2" s="1" a="1"/>
  <c r="BL75" i="2" s="1"/>
  <c r="BI49" i="2"/>
  <c r="BF49" i="2"/>
  <c r="BF75" i="2" s="1" a="1"/>
  <c r="BF75" i="2" s="1"/>
  <c r="BC49" i="2"/>
  <c r="AZ49" i="2"/>
  <c r="AW49" i="2"/>
  <c r="R49" i="2"/>
  <c r="M49" i="2"/>
  <c r="U49" i="2" s="1"/>
  <c r="AR49" i="2" s="1"/>
  <c r="J49" i="2"/>
  <c r="AT49" i="2" s="1"/>
  <c r="B49" i="2"/>
  <c r="AQ46" i="2"/>
  <c r="AP46" i="2"/>
  <c r="D46" i="2"/>
  <c r="AA38" i="2"/>
  <c r="C35" i="2"/>
  <c r="U32" i="2"/>
  <c r="T33" i="2" s="1"/>
  <c r="C30" i="2"/>
  <c r="C25" i="2"/>
  <c r="C24" i="2"/>
  <c r="C19" i="2"/>
  <c r="AO9" i="2"/>
  <c r="C1" i="2"/>
  <c r="A1" i="2"/>
  <c r="C34" i="2" s="1"/>
  <c r="AZ75" i="2" l="1" a="1"/>
  <c r="AZ75" i="2" s="1"/>
  <c r="BG54" i="2"/>
  <c r="BP59" i="2"/>
  <c r="BS64" i="2"/>
  <c r="BR140" i="2"/>
  <c r="BR139" i="2"/>
  <c r="BC76" i="2"/>
  <c r="BP53" i="2"/>
  <c r="BG56" i="2"/>
  <c r="BM60" i="2"/>
  <c r="BP65" i="2"/>
  <c r="AW110" i="2"/>
  <c r="AZ69" i="2"/>
  <c r="BA51" i="2" s="1"/>
  <c r="BF74" i="2"/>
  <c r="BG62" i="2"/>
  <c r="AW106" i="2"/>
  <c r="AW107" i="2"/>
  <c r="BP106" i="2"/>
  <c r="BP107" i="2"/>
  <c r="BU143" i="2"/>
  <c r="BG68" i="2"/>
  <c r="BO139" i="2"/>
  <c r="BL74" i="2"/>
  <c r="BM63" i="2"/>
  <c r="BM68" i="2"/>
  <c r="BM62" i="2"/>
  <c r="BM56" i="2"/>
  <c r="BM51" i="2"/>
  <c r="BM67" i="2"/>
  <c r="BM61" i="2"/>
  <c r="BM55" i="2"/>
  <c r="BM54" i="2"/>
  <c r="BM50" i="2"/>
  <c r="BL70" i="2"/>
  <c r="BL71" i="2"/>
  <c r="BM65" i="2"/>
  <c r="BM59" i="2"/>
  <c r="BM53" i="2"/>
  <c r="BM49" i="2"/>
  <c r="BM64" i="2"/>
  <c r="BM58" i="2"/>
  <c r="BM57" i="2"/>
  <c r="BI76" i="2"/>
  <c r="BG51" i="2"/>
  <c r="BR106" i="2"/>
  <c r="BR107" i="2"/>
  <c r="BP110" i="2"/>
  <c r="BR110" i="2"/>
  <c r="AX110" i="2"/>
  <c r="BP51" i="2"/>
  <c r="BP67" i="2"/>
  <c r="BP61" i="2"/>
  <c r="BP55" i="2"/>
  <c r="BP54" i="2"/>
  <c r="BP50" i="2"/>
  <c r="BP62" i="2"/>
  <c r="BO74" i="2"/>
  <c r="BP68" i="2"/>
  <c r="BP56" i="2"/>
  <c r="BI69" i="2"/>
  <c r="BJ55" i="2" s="1"/>
  <c r="BG139" i="2"/>
  <c r="BS67" i="2"/>
  <c r="BS55" i="2"/>
  <c r="BS66" i="2"/>
  <c r="BS60" i="2"/>
  <c r="BR70" i="2"/>
  <c r="BS65" i="2"/>
  <c r="BS59" i="2"/>
  <c r="BS53" i="2"/>
  <c r="BS49" i="2"/>
  <c r="BS52" i="2"/>
  <c r="BR74" i="2"/>
  <c r="BS61" i="2"/>
  <c r="BS63" i="2"/>
  <c r="BS57" i="2"/>
  <c r="BS68" i="2"/>
  <c r="BS62" i="2"/>
  <c r="BS56" i="2"/>
  <c r="BS51" i="2"/>
  <c r="BA64" i="2"/>
  <c r="BC107" i="2"/>
  <c r="T120" i="2"/>
  <c r="BA175" i="2"/>
  <c r="BA176" i="2"/>
  <c r="BF212" i="2"/>
  <c r="BV50" i="2"/>
  <c r="BM140" i="2"/>
  <c r="AT75" i="2" a="1"/>
  <c r="AT75" i="2" s="1"/>
  <c r="AT76" i="2"/>
  <c r="AT69" i="2"/>
  <c r="AU66" i="2" s="1"/>
  <c r="AW69" i="2"/>
  <c r="AX59" i="2" s="1"/>
  <c r="T102" i="2"/>
  <c r="BF70" i="2"/>
  <c r="BG59" i="2"/>
  <c r="BG64" i="2"/>
  <c r="BG58" i="2"/>
  <c r="BG52" i="2"/>
  <c r="BG63" i="2"/>
  <c r="BG57" i="2"/>
  <c r="BG49" i="2"/>
  <c r="BG67" i="2"/>
  <c r="BG61" i="2"/>
  <c r="BG55" i="2"/>
  <c r="BG50" i="2"/>
  <c r="BG65" i="2"/>
  <c r="BG53" i="2"/>
  <c r="BG66" i="2"/>
  <c r="BG60" i="2"/>
  <c r="BF71" i="2"/>
  <c r="BS175" i="2"/>
  <c r="BS176" i="2"/>
  <c r="AW76" i="2"/>
  <c r="BC69" i="2"/>
  <c r="BD52" i="2"/>
  <c r="BS58" i="2"/>
  <c r="BR71" i="2"/>
  <c r="AZ76" i="2"/>
  <c r="C20" i="2"/>
  <c r="C26" i="2"/>
  <c r="C32" i="2"/>
  <c r="I37" i="2"/>
  <c r="R50" i="2"/>
  <c r="R54" i="2"/>
  <c r="BP57" i="2"/>
  <c r="BP63" i="2"/>
  <c r="AW75" i="2" a="1"/>
  <c r="AW75" i="2" s="1"/>
  <c r="AW74" i="2" s="1"/>
  <c r="BJ105" i="2"/>
  <c r="S94" i="2"/>
  <c r="AX105" i="2"/>
  <c r="AZ112" i="2"/>
  <c r="AZ111" i="2" s="1"/>
  <c r="AZ110" i="2" s="1"/>
  <c r="AW145" i="2"/>
  <c r="AW144" i="2" s="1"/>
  <c r="AW143" i="2" s="1"/>
  <c r="BO145" i="2"/>
  <c r="BO144" i="2" s="1"/>
  <c r="BO143" i="2" s="1"/>
  <c r="S121" i="2"/>
  <c r="S130" i="2"/>
  <c r="S131" i="2"/>
  <c r="S165" i="2"/>
  <c r="S171" i="2"/>
  <c r="BF217" i="2"/>
  <c r="BF216" i="2" s="1"/>
  <c r="BF215" i="2" s="1"/>
  <c r="BO247" i="2"/>
  <c r="BR246" i="2"/>
  <c r="BR247" i="2"/>
  <c r="BD279" i="2"/>
  <c r="BV279" i="2"/>
  <c r="BO315" i="2"/>
  <c r="AZ305" i="2"/>
  <c r="AW336" i="2"/>
  <c r="AW345" i="2"/>
  <c r="BF365" i="2"/>
  <c r="BF383" i="2"/>
  <c r="I20" i="2"/>
  <c r="I26" i="2"/>
  <c r="I32" i="2"/>
  <c r="BP52" i="2"/>
  <c r="BF76" i="2"/>
  <c r="BU105" i="2"/>
  <c r="BC112" i="2"/>
  <c r="BC111" i="2" s="1"/>
  <c r="BC110" i="2" s="1"/>
  <c r="A115" i="2"/>
  <c r="AX145" i="2"/>
  <c r="AX144" i="2" s="1"/>
  <c r="AX143" i="2" s="1"/>
  <c r="BP145" i="2"/>
  <c r="BP144" i="2" s="1"/>
  <c r="BL138" i="2"/>
  <c r="BL143" i="2" s="1"/>
  <c r="BV145" i="2"/>
  <c r="BV144" i="2" s="1"/>
  <c r="BV143" i="2" s="1"/>
  <c r="AZ181" i="2"/>
  <c r="AZ180" i="2" s="1"/>
  <c r="AZ179" i="2" s="1"/>
  <c r="AZ174" i="2"/>
  <c r="BR181" i="2"/>
  <c r="BR180" i="2" s="1"/>
  <c r="BR174" i="2"/>
  <c r="S167" i="2"/>
  <c r="R210" i="2"/>
  <c r="T193" i="2" s="1"/>
  <c r="BG210" i="2"/>
  <c r="BG217" i="2"/>
  <c r="BG216" i="2" s="1"/>
  <c r="S193" i="2"/>
  <c r="S214" i="2" s="1" a="1"/>
  <c r="S214" i="2" s="1"/>
  <c r="AX245" i="2"/>
  <c r="BP245" i="2"/>
  <c r="BF281" i="2"/>
  <c r="C36" i="2"/>
  <c r="C21" i="2"/>
  <c r="C27" i="2"/>
  <c r="BP58" i="2"/>
  <c r="BP64" i="2"/>
  <c r="A73" i="2"/>
  <c r="BI75" i="2" a="1"/>
  <c r="BI75" i="2" s="1"/>
  <c r="BI74" i="2" s="1"/>
  <c r="AU112" i="2"/>
  <c r="AU111" i="2" s="1"/>
  <c r="AU110" i="2" s="1"/>
  <c r="BM112" i="2"/>
  <c r="BM111" i="2" s="1"/>
  <c r="BM110" i="2" s="1"/>
  <c r="BA179" i="2"/>
  <c r="BS179" i="2"/>
  <c r="AX176" i="2"/>
  <c r="AX175" i="2"/>
  <c r="BP176" i="2"/>
  <c r="BP175" i="2"/>
  <c r="BJ212" i="2"/>
  <c r="BJ211" i="2"/>
  <c r="BG280" i="2"/>
  <c r="BG281" i="2"/>
  <c r="BF364" i="2"/>
  <c r="BU75" i="2" a="1"/>
  <c r="BU75" i="2" s="1"/>
  <c r="BV63" i="2" s="1"/>
  <c r="R108" i="2"/>
  <c r="BF112" i="2"/>
  <c r="BF111" i="2" s="1"/>
  <c r="BF110" i="2" s="1"/>
  <c r="BA138" i="2"/>
  <c r="BS138" i="2"/>
  <c r="S133" i="2"/>
  <c r="S142" i="2" s="1" a="1"/>
  <c r="S142" i="2" s="1"/>
  <c r="A142" i="2"/>
  <c r="AT145" i="2"/>
  <c r="AT144" i="2" s="1"/>
  <c r="AT143" i="2" s="1"/>
  <c r="BC174" i="2"/>
  <c r="BC181" i="2"/>
  <c r="BC180" i="2" s="1"/>
  <c r="BC179" i="2" s="1"/>
  <c r="BU174" i="2"/>
  <c r="BU181" i="2"/>
  <c r="BU180" i="2" s="1"/>
  <c r="AU212" i="2"/>
  <c r="BM211" i="2"/>
  <c r="BA245" i="2"/>
  <c r="BA252" i="2"/>
  <c r="BA251" i="2" s="1"/>
  <c r="BA250" i="2" s="1"/>
  <c r="BS245" i="2"/>
  <c r="BS252" i="2"/>
  <c r="BS251" i="2" s="1"/>
  <c r="T241" i="2"/>
  <c r="BS322" i="2"/>
  <c r="BS321" i="2" s="1"/>
  <c r="AZ299" i="2"/>
  <c r="AZ322" i="2" s="1"/>
  <c r="AZ321" i="2" s="1"/>
  <c r="AZ320" i="2" s="1"/>
  <c r="AW304" i="2"/>
  <c r="T304" i="2"/>
  <c r="AW334" i="2"/>
  <c r="I27" i="2"/>
  <c r="R73" i="2"/>
  <c r="C22" i="2"/>
  <c r="C28" i="2"/>
  <c r="I33" i="2"/>
  <c r="BP49" i="2"/>
  <c r="S51" i="2"/>
  <c r="S56" i="2"/>
  <c r="S62" i="2"/>
  <c r="S68" i="2"/>
  <c r="BO71" i="2"/>
  <c r="BL76" i="2"/>
  <c r="S84" i="2"/>
  <c r="S88" i="2"/>
  <c r="S98" i="2"/>
  <c r="BG112" i="2"/>
  <c r="BG111" i="2" s="1"/>
  <c r="BG110" i="2" s="1"/>
  <c r="BC138" i="2"/>
  <c r="BU138" i="2"/>
  <c r="S124" i="2"/>
  <c r="T134" i="2"/>
  <c r="R138" i="2"/>
  <c r="T121" i="2" s="1"/>
  <c r="BP138" i="2"/>
  <c r="AZ145" i="2"/>
  <c r="AZ144" i="2" s="1"/>
  <c r="AZ143" i="2" s="1"/>
  <c r="AT217" i="2"/>
  <c r="AT216" i="2" s="1"/>
  <c r="AT215" i="2" s="1"/>
  <c r="BL217" i="2"/>
  <c r="BL216" i="2" s="1"/>
  <c r="BU250" i="2"/>
  <c r="BD245" i="2"/>
  <c r="BV245" i="2"/>
  <c r="BJ279" i="2"/>
  <c r="BC315" i="2"/>
  <c r="BF297" i="2"/>
  <c r="BF315" i="2" s="1"/>
  <c r="BI309" i="2"/>
  <c r="S309" i="2"/>
  <c r="BJ309" i="2" s="1"/>
  <c r="BL316" i="2"/>
  <c r="BF369" i="2"/>
  <c r="I21" i="2"/>
  <c r="R69" i="2"/>
  <c r="T59" i="2" s="1"/>
  <c r="I22" i="2"/>
  <c r="I28" i="2"/>
  <c r="BV52" i="2"/>
  <c r="BO70" i="2"/>
  <c r="A108" i="2"/>
  <c r="BI112" i="2"/>
  <c r="BI111" i="2" s="1"/>
  <c r="BI110" i="2" s="1"/>
  <c r="S134" i="2"/>
  <c r="BA145" i="2"/>
  <c r="BA144" i="2" s="1"/>
  <c r="BF174" i="2"/>
  <c r="BF179" i="2" s="1"/>
  <c r="AU217" i="2"/>
  <c r="AU216" i="2" s="1"/>
  <c r="AU215" i="2" s="1"/>
  <c r="BM217" i="2"/>
  <c r="BM216" i="2" s="1"/>
  <c r="BM215" i="2" s="1"/>
  <c r="T235" i="2"/>
  <c r="AT284" i="2"/>
  <c r="BL284" i="2"/>
  <c r="BV316" i="2"/>
  <c r="BF387" i="2"/>
  <c r="C33" i="2"/>
  <c r="C23" i="2"/>
  <c r="C29" i="2"/>
  <c r="BV58" i="2"/>
  <c r="BP60" i="2"/>
  <c r="BV64" i="2"/>
  <c r="BO76" i="2"/>
  <c r="BA112" i="2"/>
  <c r="BA111" i="2" s="1"/>
  <c r="BA110" i="2" s="1"/>
  <c r="BS112" i="2"/>
  <c r="BS111" i="2" s="1"/>
  <c r="BS110" i="2" s="1"/>
  <c r="BJ112" i="2"/>
  <c r="BJ111" i="2" s="1"/>
  <c r="BJ110" i="2" s="1"/>
  <c r="R142" i="2"/>
  <c r="R141" i="2" s="1"/>
  <c r="BF145" i="2"/>
  <c r="BF144" i="2" s="1"/>
  <c r="S137" i="2"/>
  <c r="R143" i="2"/>
  <c r="BC145" i="2"/>
  <c r="BC144" i="2" s="1"/>
  <c r="BC143" i="2" s="1"/>
  <c r="BG174" i="2"/>
  <c r="BD174" i="2"/>
  <c r="BV174" i="2"/>
  <c r="AW210" i="2"/>
  <c r="AW217" i="2"/>
  <c r="AW216" i="2" s="1"/>
  <c r="BO210" i="2"/>
  <c r="BO217" i="2"/>
  <c r="BO216" i="2" s="1"/>
  <c r="AX210" i="2"/>
  <c r="BP210" i="2"/>
  <c r="BF250" i="2"/>
  <c r="AU279" i="2"/>
  <c r="AU286" i="2"/>
  <c r="AU285" i="2" s="1"/>
  <c r="AU284" i="2" s="1"/>
  <c r="BM279" i="2"/>
  <c r="BM286" i="2"/>
  <c r="BM285" i="2" s="1"/>
  <c r="AW332" i="2"/>
  <c r="BF368" i="2"/>
  <c r="A2077" i="2"/>
  <c r="A1933" i="2"/>
  <c r="A1967" i="2"/>
  <c r="A1830" i="2"/>
  <c r="A2026" i="2"/>
  <c r="A2012" i="2"/>
  <c r="A1899" i="2"/>
  <c r="A1866" i="2"/>
  <c r="A1724" i="2"/>
  <c r="A1758" i="2"/>
  <c r="A1792" i="2"/>
  <c r="A1583" i="2"/>
  <c r="A1619" i="2"/>
  <c r="A1655" i="2"/>
  <c r="A1691" i="2"/>
  <c r="A1546" i="2"/>
  <c r="A1510" i="2"/>
  <c r="A1471" i="2"/>
  <c r="A1432" i="2"/>
  <c r="A1319" i="2"/>
  <c r="A1052" i="2"/>
  <c r="A906" i="2"/>
  <c r="A652" i="2"/>
  <c r="A622" i="2"/>
  <c r="A552" i="2"/>
  <c r="A583" i="2"/>
  <c r="A687" i="2"/>
  <c r="A509" i="2"/>
  <c r="A473" i="2"/>
  <c r="A437" i="2"/>
  <c r="A214" i="2"/>
  <c r="A319" i="2"/>
  <c r="A283" i="2"/>
  <c r="A178" i="2"/>
  <c r="A249" i="2"/>
  <c r="I23" i="2"/>
  <c r="I29" i="2"/>
  <c r="I34" i="2"/>
  <c r="BC75" i="2" a="1"/>
  <c r="BC75" i="2" s="1"/>
  <c r="BC74" i="2" s="1"/>
  <c r="BL105" i="2"/>
  <c r="BG145" i="2"/>
  <c r="BG144" i="2" s="1"/>
  <c r="BG143" i="2" s="1"/>
  <c r="S143" i="2"/>
  <c r="BD145" i="2"/>
  <c r="BD144" i="2" s="1"/>
  <c r="BD143" i="2" s="1"/>
  <c r="BI174" i="2"/>
  <c r="BI181" i="2"/>
  <c r="BI180" i="2" s="1"/>
  <c r="R178" i="2"/>
  <c r="R177" i="2" s="1"/>
  <c r="R174" i="2"/>
  <c r="T171" i="2" s="1"/>
  <c r="R179" i="2"/>
  <c r="AZ215" i="2"/>
  <c r="BR215" i="2"/>
  <c r="BG245" i="2"/>
  <c r="AT280" i="2"/>
  <c r="AT281" i="2"/>
  <c r="AW296" i="2"/>
  <c r="S296" i="2"/>
  <c r="AX296" i="2" s="1"/>
  <c r="AT303" i="2"/>
  <c r="AT315" i="2" s="1"/>
  <c r="BI308" i="2"/>
  <c r="BM506" i="2"/>
  <c r="BR76" i="2"/>
  <c r="BD105" i="2"/>
  <c r="BD110" i="2" s="1"/>
  <c r="BV105" i="2"/>
  <c r="BV110" i="2" s="1"/>
  <c r="BO112" i="2"/>
  <c r="BO111" i="2" s="1"/>
  <c r="BO110" i="2" s="1"/>
  <c r="BI138" i="2"/>
  <c r="BI145" i="2"/>
  <c r="BI144" i="2" s="1"/>
  <c r="BI143" i="2" s="1"/>
  <c r="BJ174" i="2"/>
  <c r="BJ181" i="2"/>
  <c r="BJ180" i="2" s="1"/>
  <c r="BJ179" i="2" s="1"/>
  <c r="AZ211" i="2"/>
  <c r="AZ212" i="2"/>
  <c r="BR211" i="2"/>
  <c r="BR212" i="2"/>
  <c r="BS211" i="2"/>
  <c r="BS212" i="2"/>
  <c r="BI246" i="2"/>
  <c r="BJ246" i="2"/>
  <c r="BJ247" i="2"/>
  <c r="AX281" i="2"/>
  <c r="AX280" i="2"/>
  <c r="BP281" i="2"/>
  <c r="BP280" i="2"/>
  <c r="BL280" i="2"/>
  <c r="BL281" i="2"/>
  <c r="BC301" i="2"/>
  <c r="S313" i="2"/>
  <c r="BG313" i="2" s="1"/>
  <c r="BF313" i="2"/>
  <c r="AW338" i="2"/>
  <c r="BF367" i="2"/>
  <c r="BF373" i="2"/>
  <c r="I24" i="2"/>
  <c r="I30" i="2"/>
  <c r="I35" i="2"/>
  <c r="R104" i="2"/>
  <c r="T98" i="2" s="1"/>
  <c r="AT105" i="2"/>
  <c r="R109" i="2"/>
  <c r="AT181" i="2"/>
  <c r="AT180" i="2" s="1"/>
  <c r="BL181" i="2"/>
  <c r="BL180" i="2" s="1"/>
  <c r="BL179" i="2" s="1"/>
  <c r="S159" i="2"/>
  <c r="S179" i="2" s="1"/>
  <c r="BA210" i="2"/>
  <c r="BS217" i="2"/>
  <c r="BS216" i="2" s="1"/>
  <c r="BS215" i="2" s="1"/>
  <c r="T205" i="2"/>
  <c r="S205" i="2"/>
  <c r="R319" i="2"/>
  <c r="R318" i="2" s="1"/>
  <c r="R315" i="2"/>
  <c r="S304" i="2" s="1"/>
  <c r="AX304" i="2" s="1"/>
  <c r="AW295" i="2"/>
  <c r="R320" i="2"/>
  <c r="BO322" i="2"/>
  <c r="BO321" i="2" s="1"/>
  <c r="BO320" i="2" s="1"/>
  <c r="R438" i="2"/>
  <c r="AU174" i="2"/>
  <c r="AU181" i="2"/>
  <c r="AU180" i="2" s="1"/>
  <c r="BM174" i="2"/>
  <c r="BM181" i="2"/>
  <c r="BM180" i="2" s="1"/>
  <c r="AT174" i="2"/>
  <c r="BC212" i="2"/>
  <c r="AT246" i="2"/>
  <c r="AT247" i="2"/>
  <c r="BM246" i="2"/>
  <c r="BM247" i="2"/>
  <c r="BV250" i="2"/>
  <c r="BA280" i="2"/>
  <c r="BS281" i="2"/>
  <c r="AW337" i="2"/>
  <c r="BF372" i="2"/>
  <c r="C31" i="2"/>
  <c r="BJ138" i="2"/>
  <c r="BJ145" i="2"/>
  <c r="BJ144" i="2" s="1"/>
  <c r="BJ143" i="2" s="1"/>
  <c r="I19" i="2"/>
  <c r="I25" i="2"/>
  <c r="I31" i="2"/>
  <c r="C37" i="2"/>
  <c r="AU145" i="2"/>
  <c r="AU144" i="2" s="1"/>
  <c r="AU143" i="2" s="1"/>
  <c r="BM145" i="2"/>
  <c r="BM144" i="2" s="1"/>
  <c r="BM143" i="2" s="1"/>
  <c r="BF138" i="2"/>
  <c r="BS145" i="2"/>
  <c r="BS144" i="2" s="1"/>
  <c r="BS143" i="2" s="1"/>
  <c r="AW179" i="2"/>
  <c r="BO179" i="2"/>
  <c r="BD210" i="2"/>
  <c r="BV210" i="2"/>
  <c r="S199" i="2"/>
  <c r="AU252" i="2"/>
  <c r="AU251" i="2" s="1"/>
  <c r="AU250" i="2" s="1"/>
  <c r="BM252" i="2"/>
  <c r="BM251" i="2" s="1"/>
  <c r="BM250" i="2" s="1"/>
  <c r="AZ246" i="2"/>
  <c r="AZ247" i="2"/>
  <c r="BC280" i="2"/>
  <c r="BM316" i="2"/>
  <c r="BI300" i="2"/>
  <c r="BI315" i="2" s="1"/>
  <c r="BC312" i="2"/>
  <c r="S312" i="2"/>
  <c r="BD312" i="2" s="1"/>
  <c r="AW174" i="2"/>
  <c r="BO174" i="2"/>
  <c r="BI210" i="2"/>
  <c r="R214" i="2"/>
  <c r="R213" i="2" s="1"/>
  <c r="BC245" i="2"/>
  <c r="BU245" i="2"/>
  <c r="BG252" i="2"/>
  <c r="BG251" i="2" s="1"/>
  <c r="BG250" i="2" s="1"/>
  <c r="S268" i="2"/>
  <c r="S274" i="2"/>
  <c r="AW279" i="2"/>
  <c r="BO279" i="2"/>
  <c r="BA286" i="2"/>
  <c r="BA285" i="2" s="1"/>
  <c r="BA284" i="2" s="1"/>
  <c r="BS286" i="2"/>
  <c r="BS285" i="2" s="1"/>
  <c r="BS284" i="2" s="1"/>
  <c r="T311" i="2"/>
  <c r="BV322" i="2"/>
  <c r="BV321" i="2" s="1"/>
  <c r="BV320" i="2" s="1"/>
  <c r="AT440" i="2"/>
  <c r="AT439" i="2" s="1"/>
  <c r="AT438" i="2" s="1"/>
  <c r="BL440" i="2"/>
  <c r="BL439" i="2" s="1"/>
  <c r="BL438" i="2" s="1"/>
  <c r="BF385" i="2"/>
  <c r="BF386" i="2"/>
  <c r="BF407" i="2"/>
  <c r="BF425" i="2"/>
  <c r="BF469" i="2"/>
  <c r="BJ470" i="2"/>
  <c r="BJ471" i="2"/>
  <c r="BD552" i="2"/>
  <c r="BD551" i="2" s="1"/>
  <c r="BV545" i="2"/>
  <c r="BV550" i="2" s="1"/>
  <c r="BD545" i="2"/>
  <c r="AX654" i="2"/>
  <c r="BP685" i="2"/>
  <c r="BP684" i="2"/>
  <c r="AW740" i="2"/>
  <c r="T740" i="2"/>
  <c r="BI252" i="2"/>
  <c r="BI251" i="2" s="1"/>
  <c r="BI250" i="2" s="1"/>
  <c r="R284" i="2"/>
  <c r="BC286" i="2"/>
  <c r="BC285" i="2" s="1"/>
  <c r="BC284" i="2" s="1"/>
  <c r="BU286" i="2"/>
  <c r="BU285" i="2" s="1"/>
  <c r="BU284" i="2" s="1"/>
  <c r="AW302" i="2"/>
  <c r="AW310" i="2"/>
  <c r="AW314" i="2"/>
  <c r="BP315" i="2"/>
  <c r="AU440" i="2"/>
  <c r="AU439" i="2" s="1"/>
  <c r="AU438" i="2" s="1"/>
  <c r="BM440" i="2"/>
  <c r="BM439" i="2" s="1"/>
  <c r="BM438" i="2" s="1"/>
  <c r="BF384" i="2"/>
  <c r="BC393" i="2"/>
  <c r="BF399" i="2"/>
  <c r="S457" i="2"/>
  <c r="S463" i="2"/>
  <c r="AW495" i="2"/>
  <c r="BF545" i="2"/>
  <c r="BF552" i="2"/>
  <c r="BF551" i="2" s="1"/>
  <c r="S541" i="2"/>
  <c r="BD181" i="2"/>
  <c r="BD180" i="2" s="1"/>
  <c r="BD179" i="2" s="1"/>
  <c r="BV181" i="2"/>
  <c r="BV180" i="2" s="1"/>
  <c r="BV179" i="2" s="1"/>
  <c r="AT210" i="2"/>
  <c r="BL210" i="2"/>
  <c r="AX217" i="2"/>
  <c r="AX216" i="2" s="1"/>
  <c r="AX215" i="2" s="1"/>
  <c r="BP217" i="2"/>
  <c r="BP216" i="2" s="1"/>
  <c r="BP215" i="2" s="1"/>
  <c r="BF245" i="2"/>
  <c r="BJ252" i="2"/>
  <c r="BJ251" i="2" s="1"/>
  <c r="BJ250" i="2" s="1"/>
  <c r="AZ279" i="2"/>
  <c r="AZ284" i="2" s="1"/>
  <c r="BR279" i="2"/>
  <c r="BR284" i="2" s="1"/>
  <c r="BD286" i="2"/>
  <c r="BD285" i="2" s="1"/>
  <c r="BD284" i="2" s="1"/>
  <c r="BV286" i="2"/>
  <c r="BV285" i="2" s="1"/>
  <c r="BV284" i="2" s="1"/>
  <c r="BR315" i="2"/>
  <c r="AW331" i="2"/>
  <c r="BO440" i="2"/>
  <c r="BO439" i="2" s="1"/>
  <c r="BO438" i="2" s="1"/>
  <c r="S451" i="2"/>
  <c r="AW502" i="2"/>
  <c r="BI550" i="2"/>
  <c r="T529" i="2"/>
  <c r="R245" i="2"/>
  <c r="T228" i="2" s="1"/>
  <c r="AT252" i="2"/>
  <c r="AT251" i="2" s="1"/>
  <c r="AT250" i="2" s="1"/>
  <c r="BL252" i="2"/>
  <c r="BL251" i="2" s="1"/>
  <c r="BL250" i="2" s="1"/>
  <c r="BF286" i="2"/>
  <c r="BF285" i="2" s="1"/>
  <c r="BF284" i="2" s="1"/>
  <c r="AZ306" i="2"/>
  <c r="AZ315" i="2" s="1"/>
  <c r="BS315" i="2"/>
  <c r="BP440" i="2"/>
  <c r="BP439" i="2" s="1"/>
  <c r="BP438" i="2" s="1"/>
  <c r="BF374" i="2"/>
  <c r="T392" i="2"/>
  <c r="BF405" i="2"/>
  <c r="BI416" i="2"/>
  <c r="BF424" i="2"/>
  <c r="BF430" i="2"/>
  <c r="BJ506" i="2"/>
  <c r="R550" i="2"/>
  <c r="R549" i="2"/>
  <c r="R548" i="2" s="1"/>
  <c r="R545" i="2"/>
  <c r="T530" i="2" s="1"/>
  <c r="T525" i="2"/>
  <c r="S525" i="2"/>
  <c r="BI547" i="2"/>
  <c r="BI546" i="2"/>
  <c r="BG181" i="2"/>
  <c r="BG180" i="2" s="1"/>
  <c r="BG179" i="2" s="1"/>
  <c r="BA217" i="2"/>
  <c r="BA216" i="2" s="1"/>
  <c r="BA215" i="2" s="1"/>
  <c r="S226" i="2"/>
  <c r="S249" i="2" s="1" a="1"/>
  <c r="S249" i="2" s="1"/>
  <c r="S248" i="2" s="1"/>
  <c r="S232" i="2"/>
  <c r="S238" i="2"/>
  <c r="S244" i="2"/>
  <c r="S245" i="2"/>
  <c r="S264" i="2"/>
  <c r="S270" i="2"/>
  <c r="S276" i="2"/>
  <c r="AW307" i="2"/>
  <c r="BU315" i="2"/>
  <c r="BU320" i="2" s="1"/>
  <c r="AZ440" i="2"/>
  <c r="AZ439" i="2" s="1"/>
  <c r="AZ438" i="2" s="1"/>
  <c r="BR440" i="2"/>
  <c r="BR439" i="2" s="1"/>
  <c r="BR438" i="2" s="1"/>
  <c r="BF381" i="2"/>
  <c r="BF382" i="2"/>
  <c r="BF404" i="2"/>
  <c r="BI415" i="2"/>
  <c r="AT476" i="2"/>
  <c r="AT475" i="2" s="1"/>
  <c r="AT474" i="2" s="1"/>
  <c r="AT469" i="2"/>
  <c r="BL476" i="2"/>
  <c r="BL475" i="2" s="1"/>
  <c r="BL474" i="2" s="1"/>
  <c r="BL469" i="2"/>
  <c r="AT512" i="2"/>
  <c r="AT511" i="2" s="1"/>
  <c r="BL505" i="2"/>
  <c r="AW490" i="2"/>
  <c r="AW492" i="2"/>
  <c r="AZ586" i="2"/>
  <c r="AZ585" i="2" s="1"/>
  <c r="BR586" i="2"/>
  <c r="BR585" i="2" s="1"/>
  <c r="AZ579" i="2"/>
  <c r="BR579" i="2"/>
  <c r="R215" i="2"/>
  <c r="BC217" i="2"/>
  <c r="BC216" i="2" s="1"/>
  <c r="BC215" i="2" s="1"/>
  <c r="BU217" i="2"/>
  <c r="BU216" i="2" s="1"/>
  <c r="T226" i="2"/>
  <c r="AW252" i="2"/>
  <c r="AW251" i="2" s="1"/>
  <c r="AW250" i="2" s="1"/>
  <c r="BO252" i="2"/>
  <c r="BO251" i="2" s="1"/>
  <c r="BO250" i="2" s="1"/>
  <c r="BI286" i="2"/>
  <c r="BI285" i="2" s="1"/>
  <c r="BI284" i="2" s="1"/>
  <c r="BA440" i="2"/>
  <c r="BA439" i="2" s="1"/>
  <c r="BA438" i="2" s="1"/>
  <c r="BS440" i="2"/>
  <c r="BS439" i="2" s="1"/>
  <c r="BS438" i="2" s="1"/>
  <c r="BF380" i="2"/>
  <c r="BF403" i="2"/>
  <c r="BF422" i="2"/>
  <c r="BF423" i="2"/>
  <c r="BF429" i="2"/>
  <c r="BM474" i="2"/>
  <c r="AU512" i="2"/>
  <c r="AU511" i="2" s="1"/>
  <c r="BM512" i="2"/>
  <c r="BM511" i="2" s="1"/>
  <c r="BM510" i="2" s="1"/>
  <c r="AW501" i="2"/>
  <c r="BJ507" i="2"/>
  <c r="BD217" i="2"/>
  <c r="BD216" i="2" s="1"/>
  <c r="BV217" i="2"/>
  <c r="BV216" i="2" s="1"/>
  <c r="BV215" i="2" s="1"/>
  <c r="AX252" i="2"/>
  <c r="AX251" i="2" s="1"/>
  <c r="AX250" i="2" s="1"/>
  <c r="BP252" i="2"/>
  <c r="BP251" i="2" s="1"/>
  <c r="BP250" i="2" s="1"/>
  <c r="BJ286" i="2"/>
  <c r="BJ285" i="2" s="1"/>
  <c r="BJ284" i="2" s="1"/>
  <c r="BM322" i="2"/>
  <c r="BM321" i="2" s="1"/>
  <c r="BM320" i="2" s="1"/>
  <c r="BI357" i="2"/>
  <c r="BF363" i="2"/>
  <c r="S370" i="2"/>
  <c r="BG370" i="2" s="1"/>
  <c r="BF370" i="2"/>
  <c r="BC391" i="2"/>
  <c r="BI413" i="2"/>
  <c r="AW469" i="2"/>
  <c r="BO469" i="2"/>
  <c r="BO510" i="2"/>
  <c r="R279" i="2"/>
  <c r="BF298" i="2"/>
  <c r="R433" i="2"/>
  <c r="S345" i="2" s="1"/>
  <c r="AX345" i="2" s="1"/>
  <c r="R437" i="2"/>
  <c r="S420" i="2" s="1"/>
  <c r="BJ420" i="2" s="1"/>
  <c r="BC389" i="2"/>
  <c r="BI412" i="2"/>
  <c r="AX620" i="2"/>
  <c r="S173" i="2"/>
  <c r="S195" i="2"/>
  <c r="S201" i="2"/>
  <c r="S207" i="2"/>
  <c r="S228" i="2"/>
  <c r="S234" i="2"/>
  <c r="S240" i="2"/>
  <c r="S260" i="2"/>
  <c r="S284" i="2" s="1"/>
  <c r="S266" i="2"/>
  <c r="S272" i="2"/>
  <c r="S278" i="2"/>
  <c r="R283" i="2"/>
  <c r="S298" i="2"/>
  <c r="BG298" i="2" s="1"/>
  <c r="S306" i="2"/>
  <c r="BA306" i="2" s="1"/>
  <c r="BC311" i="2"/>
  <c r="BC322" i="2" s="1"/>
  <c r="BC321" i="2" s="1"/>
  <c r="BC320" i="2" s="1"/>
  <c r="BL317" i="2"/>
  <c r="S342" i="2"/>
  <c r="AX342" i="2" s="1"/>
  <c r="AW351" i="2"/>
  <c r="BI356" i="2"/>
  <c r="BI440" i="2" s="1"/>
  <c r="BI439" i="2" s="1"/>
  <c r="BI438" i="2" s="1"/>
  <c r="BC360" i="2"/>
  <c r="BC440" i="2" s="1"/>
  <c r="BC439" i="2" s="1"/>
  <c r="BC438" i="2" s="1"/>
  <c r="BF361" i="2"/>
  <c r="BF379" i="2"/>
  <c r="BI411" i="2"/>
  <c r="BF428" i="2"/>
  <c r="AZ469" i="2"/>
  <c r="BR469" i="2"/>
  <c r="BR506" i="2"/>
  <c r="BU510" i="2"/>
  <c r="AX545" i="2"/>
  <c r="BP552" i="2"/>
  <c r="BP551" i="2" s="1"/>
  <c r="BP550" i="2" s="1"/>
  <c r="BF388" i="2"/>
  <c r="BC395" i="2"/>
  <c r="BF401" i="2"/>
  <c r="BS471" i="2"/>
  <c r="BA512" i="2"/>
  <c r="BA511" i="2" s="1"/>
  <c r="BS512" i="2"/>
  <c r="BS511" i="2" s="1"/>
  <c r="AW488" i="2"/>
  <c r="AW498" i="2"/>
  <c r="BR547" i="2"/>
  <c r="BI353" i="2"/>
  <c r="BI354" i="2"/>
  <c r="S354" i="2"/>
  <c r="BJ354" i="2" s="1"/>
  <c r="BI355" i="2"/>
  <c r="BI409" i="2"/>
  <c r="S409" i="2"/>
  <c r="BJ409" i="2" s="1"/>
  <c r="BI419" i="2"/>
  <c r="BF426" i="2"/>
  <c r="BF427" i="2"/>
  <c r="BC471" i="2"/>
  <c r="BO474" i="2"/>
  <c r="BU506" i="2"/>
  <c r="BU507" i="2"/>
  <c r="BC617" i="2"/>
  <c r="AW350" i="2"/>
  <c r="BF376" i="2"/>
  <c r="BC392" i="2"/>
  <c r="BF408" i="2"/>
  <c r="BI418" i="2"/>
  <c r="BD470" i="2"/>
  <c r="BD471" i="2"/>
  <c r="BD505" i="2"/>
  <c r="BD512" i="2"/>
  <c r="BD511" i="2" s="1"/>
  <c r="BV505" i="2"/>
  <c r="BV512" i="2"/>
  <c r="BV511" i="2" s="1"/>
  <c r="BG505" i="2"/>
  <c r="AW487" i="2"/>
  <c r="AW496" i="2"/>
  <c r="AX476" i="2"/>
  <c r="AX475" i="2" s="1"/>
  <c r="BP476" i="2"/>
  <c r="BP475" i="2" s="1"/>
  <c r="BP474" i="2" s="1"/>
  <c r="AW499" i="2"/>
  <c r="AT505" i="2"/>
  <c r="BP505" i="2"/>
  <c r="BL512" i="2"/>
  <c r="BL511" i="2" s="1"/>
  <c r="BL510" i="2" s="1"/>
  <c r="BG552" i="2"/>
  <c r="BG551" i="2" s="1"/>
  <c r="BG545" i="2"/>
  <c r="BP545" i="2"/>
  <c r="BA579" i="2"/>
  <c r="BA586" i="2"/>
  <c r="BA585" i="2" s="1"/>
  <c r="BA584" i="2" s="1"/>
  <c r="BS579" i="2"/>
  <c r="BS586" i="2"/>
  <c r="BS585" i="2" s="1"/>
  <c r="BV616" i="2"/>
  <c r="BR654" i="2"/>
  <c r="BF398" i="2"/>
  <c r="AU469" i="2"/>
  <c r="BM469" i="2"/>
  <c r="AZ476" i="2"/>
  <c r="AZ475" i="2" s="1"/>
  <c r="BR476" i="2"/>
  <c r="BR475" i="2" s="1"/>
  <c r="BR474" i="2" s="1"/>
  <c r="BG512" i="2"/>
  <c r="BG511" i="2" s="1"/>
  <c r="BG510" i="2" s="1"/>
  <c r="AU505" i="2"/>
  <c r="BC579" i="2"/>
  <c r="BU579" i="2"/>
  <c r="BS651" i="2"/>
  <c r="AZ732" i="2"/>
  <c r="BA476" i="2"/>
  <c r="BA475" i="2" s="1"/>
  <c r="BA474" i="2" s="1"/>
  <c r="BS476" i="2"/>
  <c r="BS475" i="2" s="1"/>
  <c r="BS505" i="2"/>
  <c r="BJ552" i="2"/>
  <c r="BJ551" i="2" s="1"/>
  <c r="S543" i="2"/>
  <c r="AX552" i="2"/>
  <c r="AX551" i="2" s="1"/>
  <c r="AX550" i="2" s="1"/>
  <c r="BD581" i="2"/>
  <c r="BV580" i="2"/>
  <c r="BV581" i="2"/>
  <c r="BG622" i="2"/>
  <c r="BG621" i="2" s="1"/>
  <c r="AT616" i="2"/>
  <c r="AT617" i="2"/>
  <c r="T708" i="2"/>
  <c r="AT708" i="2"/>
  <c r="T751" i="2"/>
  <c r="AW751" i="2"/>
  <c r="BC394" i="2"/>
  <c r="R474" i="2"/>
  <c r="BC476" i="2"/>
  <c r="BC475" i="2" s="1"/>
  <c r="BC474" i="2" s="1"/>
  <c r="BU476" i="2"/>
  <c r="BU475" i="2" s="1"/>
  <c r="BU474" i="2" s="1"/>
  <c r="AW500" i="2"/>
  <c r="AT552" i="2"/>
  <c r="AT551" i="2" s="1"/>
  <c r="AT550" i="2" s="1"/>
  <c r="BL552" i="2"/>
  <c r="BL551" i="2" s="1"/>
  <c r="BL550" i="2" s="1"/>
  <c r="S535" i="2"/>
  <c r="R583" i="2"/>
  <c r="R582" i="2" s="1"/>
  <c r="BF579" i="2"/>
  <c r="BF586" i="2"/>
  <c r="BF585" i="2" s="1"/>
  <c r="BL616" i="2"/>
  <c r="BL617" i="2"/>
  <c r="BD656" i="2"/>
  <c r="BD655" i="2" s="1"/>
  <c r="BV649" i="2"/>
  <c r="BV684" i="2"/>
  <c r="BC731" i="2"/>
  <c r="BD476" i="2"/>
  <c r="BD475" i="2" s="1"/>
  <c r="BD474" i="2" s="1"/>
  <c r="BV476" i="2"/>
  <c r="BV475" i="2" s="1"/>
  <c r="BV474" i="2" s="1"/>
  <c r="BA505" i="2"/>
  <c r="AU545" i="2"/>
  <c r="BM545" i="2"/>
  <c r="AT545" i="2"/>
  <c r="BG579" i="2"/>
  <c r="BG586" i="2"/>
  <c r="BG585" i="2" s="1"/>
  <c r="R579" i="2"/>
  <c r="T560" i="2" s="1"/>
  <c r="R584" i="2"/>
  <c r="S561" i="2"/>
  <c r="S584" i="2" s="1"/>
  <c r="BJ622" i="2"/>
  <c r="BJ621" i="2" s="1"/>
  <c r="BJ620" i="2" s="1"/>
  <c r="T603" i="2"/>
  <c r="BF654" i="2"/>
  <c r="BF375" i="2"/>
  <c r="BF400" i="2"/>
  <c r="BF476" i="2"/>
  <c r="BF475" i="2" s="1"/>
  <c r="BF474" i="2" s="1"/>
  <c r="BC505" i="2"/>
  <c r="AW545" i="2"/>
  <c r="BO545" i="2"/>
  <c r="BI579" i="2"/>
  <c r="BI586" i="2"/>
  <c r="BI585" i="2" s="1"/>
  <c r="BI584" i="2" s="1"/>
  <c r="T567" i="2"/>
  <c r="S568" i="2"/>
  <c r="T568" i="2"/>
  <c r="BG656" i="2"/>
  <c r="BG655" i="2" s="1"/>
  <c r="BG654" i="2" s="1"/>
  <c r="BG649" i="2"/>
  <c r="T648" i="2"/>
  <c r="AW736" i="2"/>
  <c r="AZ743" i="2"/>
  <c r="T743" i="2"/>
  <c r="BC390" i="2"/>
  <c r="S454" i="2"/>
  <c r="S460" i="2"/>
  <c r="S466" i="2"/>
  <c r="BG476" i="2"/>
  <c r="BG475" i="2" s="1"/>
  <c r="BG474" i="2" s="1"/>
  <c r="BO505" i="2"/>
  <c r="BF505" i="2"/>
  <c r="BF510" i="2" s="1"/>
  <c r="S529" i="2"/>
  <c r="T537" i="2"/>
  <c r="T572" i="2"/>
  <c r="T573" i="2"/>
  <c r="S573" i="2"/>
  <c r="AU615" i="2"/>
  <c r="AU622" i="2"/>
  <c r="AU621" i="2" s="1"/>
  <c r="BM615" i="2"/>
  <c r="BM622" i="2"/>
  <c r="BM621" i="2" s="1"/>
  <c r="BJ650" i="2"/>
  <c r="BJ651" i="2"/>
  <c r="T641" i="2"/>
  <c r="S449" i="2"/>
  <c r="BI476" i="2"/>
  <c r="BI475" i="2" s="1"/>
  <c r="BI474" i="2" s="1"/>
  <c r="S499" i="2"/>
  <c r="AX499" i="2" s="1"/>
  <c r="AZ552" i="2"/>
  <c r="AZ551" i="2" s="1"/>
  <c r="BR552" i="2"/>
  <c r="BR551" i="2" s="1"/>
  <c r="BR550" i="2" s="1"/>
  <c r="S537" i="2"/>
  <c r="BM552" i="2"/>
  <c r="BM551" i="2" s="1"/>
  <c r="AT579" i="2"/>
  <c r="AT586" i="2"/>
  <c r="AT585" i="2" s="1"/>
  <c r="BL579" i="2"/>
  <c r="BL586" i="2"/>
  <c r="BL585" i="2" s="1"/>
  <c r="BO617" i="2"/>
  <c r="BJ654" i="2"/>
  <c r="BJ688" i="2"/>
  <c r="AT719" i="2"/>
  <c r="T719" i="2"/>
  <c r="AW735" i="2"/>
  <c r="AZ512" i="2"/>
  <c r="AZ511" i="2" s="1"/>
  <c r="AZ510" i="2" s="1"/>
  <c r="BR512" i="2"/>
  <c r="BR511" i="2" s="1"/>
  <c r="BR510" i="2" s="1"/>
  <c r="BI505" i="2"/>
  <c r="BI510" i="2" s="1"/>
  <c r="BA552" i="2"/>
  <c r="BA551" i="2" s="1"/>
  <c r="BA550" i="2" s="1"/>
  <c r="BS552" i="2"/>
  <c r="BS551" i="2" s="1"/>
  <c r="BO552" i="2"/>
  <c r="BO551" i="2" s="1"/>
  <c r="BO550" i="2" s="1"/>
  <c r="AU586" i="2"/>
  <c r="AU585" i="2" s="1"/>
  <c r="AU579" i="2"/>
  <c r="BM586" i="2"/>
  <c r="BM585" i="2" s="1"/>
  <c r="BM584" i="2" s="1"/>
  <c r="BM579" i="2"/>
  <c r="AT688" i="2"/>
  <c r="BC698" i="2"/>
  <c r="T727" i="2"/>
  <c r="BC727" i="2"/>
  <c r="R469" i="2"/>
  <c r="BC545" i="2"/>
  <c r="BU545" i="2"/>
  <c r="T531" i="2"/>
  <c r="AW586" i="2"/>
  <c r="AW585" i="2" s="1"/>
  <c r="AW579" i="2"/>
  <c r="BO586" i="2"/>
  <c r="BO585" i="2" s="1"/>
  <c r="BO579" i="2"/>
  <c r="AZ616" i="2"/>
  <c r="BR617" i="2"/>
  <c r="AX615" i="2"/>
  <c r="BP615" i="2"/>
  <c r="BM684" i="2"/>
  <c r="AT697" i="2"/>
  <c r="T704" i="2"/>
  <c r="AZ704" i="2"/>
  <c r="AZ902" i="2" s="1"/>
  <c r="BI711" i="2"/>
  <c r="T711" i="2"/>
  <c r="S531" i="2"/>
  <c r="BJ545" i="2"/>
  <c r="BU552" i="2"/>
  <c r="BU551" i="2" s="1"/>
  <c r="BU550" i="2" s="1"/>
  <c r="AX586" i="2"/>
  <c r="AX585" i="2" s="1"/>
  <c r="AX579" i="2"/>
  <c r="BP586" i="2"/>
  <c r="BP585" i="2" s="1"/>
  <c r="BP579" i="2"/>
  <c r="BD586" i="2"/>
  <c r="BD585" i="2" s="1"/>
  <c r="BD584" i="2" s="1"/>
  <c r="BA615" i="2"/>
  <c r="BS615" i="2"/>
  <c r="BO651" i="2"/>
  <c r="BP650" i="2"/>
  <c r="BP651" i="2"/>
  <c r="AW747" i="2"/>
  <c r="T747" i="2"/>
  <c r="T601" i="2"/>
  <c r="T607" i="2"/>
  <c r="R615" i="2"/>
  <c r="T606" i="2" s="1"/>
  <c r="BG615" i="2"/>
  <c r="R619" i="2"/>
  <c r="BC649" i="2"/>
  <c r="BU649" i="2"/>
  <c r="T633" i="2"/>
  <c r="T645" i="2"/>
  <c r="BD649" i="2"/>
  <c r="AZ656" i="2"/>
  <c r="AZ655" i="2" s="1"/>
  <c r="BV656" i="2"/>
  <c r="BV655" i="2" s="1"/>
  <c r="BV654" i="2" s="1"/>
  <c r="S673" i="2"/>
  <c r="BD683" i="2"/>
  <c r="BA690" i="2"/>
  <c r="BA689" i="2" s="1"/>
  <c r="BV690" i="2"/>
  <c r="BV689" i="2" s="1"/>
  <c r="BV688" i="2" s="1"/>
  <c r="BM902" i="2"/>
  <c r="BM909" i="2"/>
  <c r="BM908" i="2" s="1"/>
  <c r="AW702" i="2"/>
  <c r="T705" i="2"/>
  <c r="S715" i="2"/>
  <c r="BA715" i="2" s="1"/>
  <c r="T716" i="2"/>
  <c r="T728" i="2"/>
  <c r="T729" i="2"/>
  <c r="BF756" i="2"/>
  <c r="BF761" i="2"/>
  <c r="T761" i="2"/>
  <c r="AZ770" i="2"/>
  <c r="AW791" i="2"/>
  <c r="AZ798" i="2"/>
  <c r="T798" i="2"/>
  <c r="AZ803" i="2"/>
  <c r="AZ814" i="2"/>
  <c r="T814" i="2"/>
  <c r="BI615" i="2"/>
  <c r="BF649" i="2"/>
  <c r="BF683" i="2"/>
  <c r="T706" i="2"/>
  <c r="T715" i="2"/>
  <c r="T717" i="2"/>
  <c r="BC738" i="2"/>
  <c r="T750" i="2"/>
  <c r="BF750" i="2"/>
  <c r="BC775" i="2"/>
  <c r="BF783" i="2"/>
  <c r="BC586" i="2"/>
  <c r="BC585" i="2" s="1"/>
  <c r="BU586" i="2"/>
  <c r="BU585" i="2" s="1"/>
  <c r="BU584" i="2" s="1"/>
  <c r="BJ615" i="2"/>
  <c r="AW622" i="2"/>
  <c r="AW621" i="2" s="1"/>
  <c r="BO622" i="2"/>
  <c r="BO621" i="2" s="1"/>
  <c r="BO620" i="2" s="1"/>
  <c r="S629" i="2"/>
  <c r="S675" i="2"/>
  <c r="BP902" i="2"/>
  <c r="BP909" i="2"/>
  <c r="BP908" i="2" s="1"/>
  <c r="BP907" i="2" s="1"/>
  <c r="T707" i="2"/>
  <c r="BI722" i="2"/>
  <c r="T722" i="2"/>
  <c r="BF739" i="2"/>
  <c r="T742" i="2"/>
  <c r="BC742" i="2"/>
  <c r="T757" i="2"/>
  <c r="AW769" i="2"/>
  <c r="AT807" i="2"/>
  <c r="S647" i="2"/>
  <c r="BI649" i="2"/>
  <c r="BI654" i="2" s="1"/>
  <c r="BC683" i="2"/>
  <c r="BC688" i="2" s="1"/>
  <c r="BU683" i="2"/>
  <c r="BJ683" i="2"/>
  <c r="BR909" i="2"/>
  <c r="BR908" i="2" s="1"/>
  <c r="BR902" i="2"/>
  <c r="BI700" i="2"/>
  <c r="T720" i="2"/>
  <c r="BI733" i="2"/>
  <c r="T753" i="2"/>
  <c r="BC753" i="2"/>
  <c r="AZ765" i="2"/>
  <c r="AT774" i="2"/>
  <c r="T783" i="2"/>
  <c r="AW790" i="2"/>
  <c r="T790" i="2"/>
  <c r="AW802" i="2"/>
  <c r="AW902" i="2" s="1"/>
  <c r="AZ622" i="2"/>
  <c r="AZ621" i="2" s="1"/>
  <c r="AZ620" i="2" s="1"/>
  <c r="BR622" i="2"/>
  <c r="BR621" i="2" s="1"/>
  <c r="BR620" i="2" s="1"/>
  <c r="R649" i="2"/>
  <c r="T632" i="2" s="1"/>
  <c r="AW650" i="2"/>
  <c r="R687" i="2"/>
  <c r="R683" i="2"/>
  <c r="T663" i="2" s="1"/>
  <c r="BL683" i="2"/>
  <c r="BS902" i="2"/>
  <c r="BS909" i="2"/>
  <c r="BS908" i="2" s="1"/>
  <c r="BF701" i="2"/>
  <c r="T721" i="2"/>
  <c r="BF723" i="2"/>
  <c r="BI744" i="2"/>
  <c r="T744" i="2"/>
  <c r="T745" i="2"/>
  <c r="AT752" i="2"/>
  <c r="T752" i="2"/>
  <c r="T782" i="2"/>
  <c r="BC782" i="2"/>
  <c r="BA622" i="2"/>
  <c r="BA621" i="2" s="1"/>
  <c r="BS622" i="2"/>
  <c r="BS621" i="2" s="1"/>
  <c r="BS620" i="2" s="1"/>
  <c r="S642" i="2"/>
  <c r="S648" i="2"/>
  <c r="BL649" i="2"/>
  <c r="BL654" i="2" s="1"/>
  <c r="R653" i="2"/>
  <c r="S663" i="2"/>
  <c r="S680" i="2"/>
  <c r="BU909" i="2"/>
  <c r="BU908" i="2" s="1"/>
  <c r="S710" i="2"/>
  <c r="BA710" i="2" s="1"/>
  <c r="T741" i="2"/>
  <c r="AZ748" i="2"/>
  <c r="T748" i="2"/>
  <c r="S748" i="2"/>
  <c r="BA748" i="2" s="1"/>
  <c r="T749" i="2"/>
  <c r="BC749" i="2"/>
  <c r="AW757" i="2"/>
  <c r="BF767" i="2"/>
  <c r="AW773" i="2"/>
  <c r="AW795" i="2"/>
  <c r="T795" i="2"/>
  <c r="AW806" i="2"/>
  <c r="BF811" i="2"/>
  <c r="BC622" i="2"/>
  <c r="BC621" i="2" s="1"/>
  <c r="BC620" i="2" s="1"/>
  <c r="BU622" i="2"/>
  <c r="BU621" i="2" s="1"/>
  <c r="BU620" i="2" s="1"/>
  <c r="BM649" i="2"/>
  <c r="BG690" i="2"/>
  <c r="BG689" i="2" s="1"/>
  <c r="BG688" i="2" s="1"/>
  <c r="AT683" i="2"/>
  <c r="BO683" i="2"/>
  <c r="BO688" i="2" s="1"/>
  <c r="BV902" i="2"/>
  <c r="BV909" i="2"/>
  <c r="BV908" i="2" s="1"/>
  <c r="T709" i="2"/>
  <c r="T710" i="2"/>
  <c r="AW779" i="2"/>
  <c r="T816" i="2"/>
  <c r="BF816" i="2"/>
  <c r="S576" i="2"/>
  <c r="BJ586" i="2"/>
  <c r="BJ585" i="2" s="1"/>
  <c r="BJ584" i="2" s="1"/>
  <c r="BD622" i="2"/>
  <c r="BD621" i="2" s="1"/>
  <c r="BD620" i="2" s="1"/>
  <c r="BV622" i="2"/>
  <c r="BV621" i="2" s="1"/>
  <c r="BV620" i="2" s="1"/>
  <c r="AT649" i="2"/>
  <c r="AT654" i="2" s="1"/>
  <c r="BI683" i="2"/>
  <c r="BI688" i="2" s="1"/>
  <c r="AW724" i="2"/>
  <c r="BI766" i="2"/>
  <c r="AZ787" i="2"/>
  <c r="S577" i="2"/>
  <c r="BF622" i="2"/>
  <c r="BF621" i="2" s="1"/>
  <c r="BF620" i="2" s="1"/>
  <c r="AU649" i="2"/>
  <c r="AU654" i="2" s="1"/>
  <c r="BR649" i="2"/>
  <c r="BO656" i="2"/>
  <c r="BO655" i="2" s="1"/>
  <c r="BO654" i="2" s="1"/>
  <c r="AW683" i="2"/>
  <c r="BR683" i="2"/>
  <c r="BR688" i="2" s="1"/>
  <c r="BC716" i="2"/>
  <c r="T724" i="2"/>
  <c r="T725" i="2"/>
  <c r="T794" i="2"/>
  <c r="BF794" i="2"/>
  <c r="BI810" i="2"/>
  <c r="S606" i="2"/>
  <c r="S612" i="2"/>
  <c r="S620" i="2" s="1"/>
  <c r="S632" i="2"/>
  <c r="S638" i="2"/>
  <c r="S644" i="2"/>
  <c r="AX649" i="2"/>
  <c r="S668" i="2"/>
  <c r="AX683" i="2"/>
  <c r="AX688" i="2" s="1"/>
  <c r="BS683" i="2"/>
  <c r="R688" i="2"/>
  <c r="AZ721" i="2"/>
  <c r="AZ909" i="2" s="1"/>
  <c r="AZ908" i="2" s="1"/>
  <c r="AT763" i="2"/>
  <c r="BC771" i="2"/>
  <c r="T778" i="2"/>
  <c r="BF778" i="2"/>
  <c r="T787" i="2"/>
  <c r="BI799" i="2"/>
  <c r="T799" i="2"/>
  <c r="T815" i="2"/>
  <c r="BC815" i="2"/>
  <c r="AW656" i="2"/>
  <c r="AW655" i="2" s="1"/>
  <c r="AW654" i="2" s="1"/>
  <c r="AU690" i="2"/>
  <c r="AU689" i="2" s="1"/>
  <c r="AU688" i="2" s="1"/>
  <c r="BM690" i="2"/>
  <c r="BM689" i="2" s="1"/>
  <c r="BM688" i="2" s="1"/>
  <c r="AZ683" i="2"/>
  <c r="BF717" i="2"/>
  <c r="T786" i="2"/>
  <c r="BC786" i="2"/>
  <c r="BA656" i="2"/>
  <c r="BA655" i="2" s="1"/>
  <c r="BA654" i="2" s="1"/>
  <c r="BS656" i="2"/>
  <c r="BS655" i="2" s="1"/>
  <c r="BS654" i="2" s="1"/>
  <c r="BA649" i="2"/>
  <c r="BU690" i="2"/>
  <c r="BU689" i="2" s="1"/>
  <c r="BU688" i="2" s="1"/>
  <c r="BL909" i="2"/>
  <c r="BL908" i="2" s="1"/>
  <c r="BL907" i="2" s="1"/>
  <c r="BL902" i="2"/>
  <c r="BF734" i="2"/>
  <c r="T758" i="2"/>
  <c r="AW762" i="2"/>
  <c r="T762" i="2"/>
  <c r="BI777" i="2"/>
  <c r="T777" i="2"/>
  <c r="T1232" i="2"/>
  <c r="BC1330" i="2"/>
  <c r="BC1334" i="2"/>
  <c r="T1338" i="2"/>
  <c r="BF1338" i="2"/>
  <c r="T1244" i="2"/>
  <c r="T1123" i="2"/>
  <c r="T1342" i="2"/>
  <c r="BF1342" i="2"/>
  <c r="T1127" i="2"/>
  <c r="T1346" i="2"/>
  <c r="BF1346" i="2"/>
  <c r="T1350" i="2"/>
  <c r="BF1350" i="2"/>
  <c r="T1256" i="2"/>
  <c r="T1135" i="2"/>
  <c r="T1354" i="2"/>
  <c r="BF1354" i="2"/>
  <c r="T1139" i="2"/>
  <c r="T1358" i="2"/>
  <c r="BF1358" i="2"/>
  <c r="BF1362" i="2"/>
  <c r="T1268" i="2"/>
  <c r="BF1366" i="2"/>
  <c r="BF1370" i="2"/>
  <c r="T1370" i="2"/>
  <c r="BF1374" i="2"/>
  <c r="T1374" i="2"/>
  <c r="T1280" i="2"/>
  <c r="BF1378" i="2"/>
  <c r="T1378" i="2"/>
  <c r="BF1382" i="2"/>
  <c r="T1382" i="2"/>
  <c r="BI1386" i="2"/>
  <c r="T1386" i="2"/>
  <c r="BI1390" i="2"/>
  <c r="T1390" i="2"/>
  <c r="T1175" i="2"/>
  <c r="BI1394" i="2"/>
  <c r="T1394" i="2"/>
  <c r="T1300" i="2"/>
  <c r="BI1399" i="2"/>
  <c r="T1399" i="2"/>
  <c r="T1184" i="2"/>
  <c r="BI1404" i="2"/>
  <c r="BI1410" i="2"/>
  <c r="BL1048" i="2"/>
  <c r="BL1055" i="2"/>
  <c r="BL1054" i="2" s="1"/>
  <c r="T937" i="2"/>
  <c r="BF937" i="2"/>
  <c r="BF944" i="2"/>
  <c r="T962" i="2"/>
  <c r="BI981" i="2"/>
  <c r="T981" i="2"/>
  <c r="BI992" i="2"/>
  <c r="T992" i="2"/>
  <c r="BI1000" i="2"/>
  <c r="T1000" i="2"/>
  <c r="AW1020" i="2"/>
  <c r="T1020" i="2"/>
  <c r="T1093" i="2"/>
  <c r="AZ1093" i="2"/>
  <c r="BO909" i="2"/>
  <c r="BO908" i="2" s="1"/>
  <c r="T789" i="2"/>
  <c r="T793" i="2"/>
  <c r="T797" i="2"/>
  <c r="T801" i="2"/>
  <c r="T813" i="2"/>
  <c r="T817" i="2"/>
  <c r="T821" i="2"/>
  <c r="T825" i="2"/>
  <c r="T829" i="2"/>
  <c r="T833" i="2"/>
  <c r="T849" i="2"/>
  <c r="T853" i="2"/>
  <c r="T857" i="2"/>
  <c r="T861" i="2"/>
  <c r="T865" i="2"/>
  <c r="T869" i="2"/>
  <c r="T881" i="2"/>
  <c r="T886" i="2"/>
  <c r="T891" i="2"/>
  <c r="BI897" i="2"/>
  <c r="T897" i="2"/>
  <c r="BM1048" i="2"/>
  <c r="BM1055" i="2"/>
  <c r="BM1054" i="2" s="1"/>
  <c r="T919" i="2"/>
  <c r="T920" i="2"/>
  <c r="BC922" i="2"/>
  <c r="T925" i="2"/>
  <c r="BF925" i="2"/>
  <c r="S926" i="2"/>
  <c r="BG926" i="2" s="1"/>
  <c r="BF927" i="2"/>
  <c r="T933" i="2"/>
  <c r="BF933" i="2"/>
  <c r="BF935" i="2"/>
  <c r="T938" i="2"/>
  <c r="BF940" i="2"/>
  <c r="T956" i="2"/>
  <c r="BF956" i="2"/>
  <c r="T964" i="2"/>
  <c r="BF964" i="2"/>
  <c r="T972" i="2"/>
  <c r="BF972" i="2"/>
  <c r="AW1005" i="2"/>
  <c r="T986" i="2"/>
  <c r="T1005" i="2"/>
  <c r="S1034" i="2"/>
  <c r="AX1034" i="2" s="1"/>
  <c r="AW1034" i="2"/>
  <c r="R818" i="2"/>
  <c r="R822" i="2"/>
  <c r="R826" i="2"/>
  <c r="R830" i="2"/>
  <c r="R834" i="2"/>
  <c r="R838" i="2"/>
  <c r="R842" i="2"/>
  <c r="R846" i="2"/>
  <c r="R850" i="2"/>
  <c r="R854" i="2"/>
  <c r="R858" i="2"/>
  <c r="R862" i="2"/>
  <c r="R866" i="2"/>
  <c r="R870" i="2"/>
  <c r="R874" i="2"/>
  <c r="R878" i="2"/>
  <c r="R882" i="2"/>
  <c r="R887" i="2"/>
  <c r="R892" i="2"/>
  <c r="AT1048" i="2"/>
  <c r="AT1055" i="2"/>
  <c r="AT1054" i="2" s="1"/>
  <c r="T926" i="2"/>
  <c r="T929" i="2"/>
  <c r="BF929" i="2"/>
  <c r="BF931" i="2"/>
  <c r="BF1048" i="2" s="1"/>
  <c r="BF936" i="2"/>
  <c r="T943" i="2"/>
  <c r="T944" i="2"/>
  <c r="T970" i="2"/>
  <c r="BI989" i="2"/>
  <c r="T989" i="2"/>
  <c r="S998" i="2"/>
  <c r="BJ998" i="2" s="1"/>
  <c r="AW1012" i="2"/>
  <c r="T1012" i="2"/>
  <c r="AW1092" i="2"/>
  <c r="T1092" i="2"/>
  <c r="BC1331" i="2"/>
  <c r="T1233" i="2"/>
  <c r="BC1335" i="2"/>
  <c r="BF1339" i="2"/>
  <c r="T1245" i="2"/>
  <c r="T1339" i="2"/>
  <c r="T1124" i="2"/>
  <c r="BF1343" i="2"/>
  <c r="T1343" i="2"/>
  <c r="BF1347" i="2"/>
  <c r="T1347" i="2"/>
  <c r="T1132" i="2"/>
  <c r="BF1351" i="2"/>
  <c r="T1351" i="2"/>
  <c r="T1136" i="2"/>
  <c r="BF1355" i="2"/>
  <c r="T1355" i="2"/>
  <c r="BF1359" i="2"/>
  <c r="T1359" i="2"/>
  <c r="BF1363" i="2"/>
  <c r="BF1367" i="2"/>
  <c r="T1371" i="2"/>
  <c r="BF1371" i="2"/>
  <c r="T1375" i="2"/>
  <c r="BF1375" i="2"/>
  <c r="T1379" i="2"/>
  <c r="BF1379" i="2"/>
  <c r="T1383" i="2"/>
  <c r="BF1383" i="2"/>
  <c r="BI1387" i="2"/>
  <c r="T1387" i="2"/>
  <c r="T1293" i="2"/>
  <c r="T1172" i="2"/>
  <c r="BI1391" i="2"/>
  <c r="T1391" i="2"/>
  <c r="T1297" i="2"/>
  <c r="BI1395" i="2"/>
  <c r="T1395" i="2"/>
  <c r="T1301" i="2"/>
  <c r="BI1400" i="2"/>
  <c r="T1400" i="2"/>
  <c r="BI1406" i="2"/>
  <c r="BI1411" i="2"/>
  <c r="T1196" i="2"/>
  <c r="BP1055" i="2"/>
  <c r="BP1054" i="2" s="1"/>
  <c r="BP1053" i="2" s="1"/>
  <c r="BP1048" i="2"/>
  <c r="T924" i="2"/>
  <c r="BF932" i="2"/>
  <c r="T953" i="2"/>
  <c r="BF953" i="2"/>
  <c r="BI980" i="2"/>
  <c r="T980" i="2"/>
  <c r="T978" i="2"/>
  <c r="BI997" i="2"/>
  <c r="T997" i="2"/>
  <c r="BI893" i="2"/>
  <c r="T893" i="2"/>
  <c r="T898" i="2"/>
  <c r="BO902" i="2"/>
  <c r="BR1048" i="2"/>
  <c r="BR1055" i="2"/>
  <c r="BR1054" i="2" s="1"/>
  <c r="BR1053" i="2" s="1"/>
  <c r="T936" i="2"/>
  <c r="T961" i="2"/>
  <c r="BF961" i="2"/>
  <c r="T969" i="2"/>
  <c r="BF969" i="2"/>
  <c r="AW1004" i="2"/>
  <c r="T1004" i="2"/>
  <c r="AW1017" i="2"/>
  <c r="T998" i="2"/>
  <c r="T1017" i="2"/>
  <c r="AW1039" i="2"/>
  <c r="BI1067" i="2"/>
  <c r="BU902" i="2"/>
  <c r="R819" i="2"/>
  <c r="R823" i="2"/>
  <c r="R827" i="2"/>
  <c r="R831" i="2"/>
  <c r="R835" i="2"/>
  <c r="R839" i="2"/>
  <c r="R843" i="2"/>
  <c r="R847" i="2"/>
  <c r="R851" i="2"/>
  <c r="R855" i="2"/>
  <c r="R859" i="2"/>
  <c r="R863" i="2"/>
  <c r="R867" i="2"/>
  <c r="R871" i="2"/>
  <c r="R875" i="2"/>
  <c r="R879" i="2"/>
  <c r="R883" i="2"/>
  <c r="R888" i="2"/>
  <c r="R894" i="2"/>
  <c r="R899" i="2"/>
  <c r="T928" i="2"/>
  <c r="T932" i="2"/>
  <c r="T958" i="2"/>
  <c r="BI977" i="2"/>
  <c r="T977" i="2"/>
  <c r="BI988" i="2"/>
  <c r="T988" i="2"/>
  <c r="AW1024" i="2"/>
  <c r="T1024" i="2"/>
  <c r="AW1031" i="2"/>
  <c r="T1031" i="2"/>
  <c r="BC1332" i="2"/>
  <c r="T1234" i="2"/>
  <c r="BC1336" i="2"/>
  <c r="T1121" i="2"/>
  <c r="T1340" i="2"/>
  <c r="BF1340" i="2"/>
  <c r="T1246" i="2"/>
  <c r="T1344" i="2"/>
  <c r="BF1344" i="2"/>
  <c r="T1129" i="2"/>
  <c r="T1348" i="2"/>
  <c r="BF1348" i="2"/>
  <c r="T1133" i="2"/>
  <c r="T1352" i="2"/>
  <c r="BF1352" i="2"/>
  <c r="T1258" i="2"/>
  <c r="J1356" i="2"/>
  <c r="R1356" i="2" s="1"/>
  <c r="T1360" i="2"/>
  <c r="BF1360" i="2"/>
  <c r="T1145" i="2"/>
  <c r="BF1364" i="2"/>
  <c r="T1270" i="2"/>
  <c r="BF1368" i="2"/>
  <c r="J1372" i="2"/>
  <c r="R1372" i="2" s="1"/>
  <c r="R1425" i="2" s="1"/>
  <c r="T1376" i="2"/>
  <c r="BF1376" i="2"/>
  <c r="T1282" i="2"/>
  <c r="J1380" i="2"/>
  <c r="R1380" i="2" s="1"/>
  <c r="T1384" i="2"/>
  <c r="BF1384" i="2"/>
  <c r="T1169" i="2"/>
  <c r="BI1388" i="2"/>
  <c r="T1388" i="2"/>
  <c r="BI1392" i="2"/>
  <c r="T1392" i="2"/>
  <c r="BI1396" i="2"/>
  <c r="BI1425" i="2" s="1"/>
  <c r="T1396" i="2"/>
  <c r="T1181" i="2"/>
  <c r="BI1402" i="2"/>
  <c r="T1308" i="2"/>
  <c r="BI1407" i="2"/>
  <c r="T1192" i="2"/>
  <c r="BI1412" i="2"/>
  <c r="T1412" i="2"/>
  <c r="AZ1055" i="2"/>
  <c r="AZ1054" i="2" s="1"/>
  <c r="AZ1048" i="2"/>
  <c r="BU1048" i="2"/>
  <c r="T952" i="2"/>
  <c r="BF952" i="2"/>
  <c r="BI996" i="2"/>
  <c r="T996" i="2"/>
  <c r="AW1009" i="2"/>
  <c r="T990" i="2"/>
  <c r="T1009" i="2"/>
  <c r="BI889" i="2"/>
  <c r="T889" i="2"/>
  <c r="T949" i="2"/>
  <c r="BF949" i="2"/>
  <c r="T960" i="2"/>
  <c r="BF960" i="2"/>
  <c r="T968" i="2"/>
  <c r="S968" i="2"/>
  <c r="BG968" i="2" s="1"/>
  <c r="BF968" i="2"/>
  <c r="T966" i="2"/>
  <c r="BI985" i="2"/>
  <c r="T985" i="2"/>
  <c r="AW1016" i="2"/>
  <c r="T1016" i="2"/>
  <c r="AW1038" i="2"/>
  <c r="S1071" i="2"/>
  <c r="BA1071" i="2" s="1"/>
  <c r="AZ1115" i="2"/>
  <c r="T1115" i="2"/>
  <c r="BF947" i="2"/>
  <c r="BI976" i="2"/>
  <c r="T976" i="2"/>
  <c r="S1002" i="2"/>
  <c r="AX1002" i="2" s="1"/>
  <c r="AW1030" i="2"/>
  <c r="AW1096" i="2"/>
  <c r="AW1113" i="2"/>
  <c r="T1113" i="2"/>
  <c r="BC1333" i="2"/>
  <c r="T1118" i="2"/>
  <c r="BF1337" i="2"/>
  <c r="T1337" i="2"/>
  <c r="BF1341" i="2"/>
  <c r="T1341" i="2"/>
  <c r="T1126" i="2"/>
  <c r="BF1345" i="2"/>
  <c r="T1345" i="2"/>
  <c r="BF1349" i="2"/>
  <c r="T1349" i="2"/>
  <c r="BF1353" i="2"/>
  <c r="T1353" i="2"/>
  <c r="T1138" i="2"/>
  <c r="BF1357" i="2"/>
  <c r="T1357" i="2"/>
  <c r="BF1361" i="2"/>
  <c r="T1361" i="2"/>
  <c r="BF1365" i="2"/>
  <c r="T1365" i="2"/>
  <c r="BF1369" i="2"/>
  <c r="T1154" i="2"/>
  <c r="T1373" i="2"/>
  <c r="BF1373" i="2"/>
  <c r="T1377" i="2"/>
  <c r="BF1377" i="2"/>
  <c r="T1381" i="2"/>
  <c r="BF1381" i="2"/>
  <c r="T1166" i="2"/>
  <c r="T1385" i="2"/>
  <c r="BF1385" i="2"/>
  <c r="BI1389" i="2"/>
  <c r="T1389" i="2"/>
  <c r="BI1393" i="2"/>
  <c r="T1393" i="2"/>
  <c r="T1178" i="2"/>
  <c r="BI1398" i="2"/>
  <c r="T1398" i="2"/>
  <c r="T1311" i="2"/>
  <c r="BI1403" i="2"/>
  <c r="T1188" i="2"/>
  <c r="BI1408" i="2"/>
  <c r="S948" i="2"/>
  <c r="BG948" i="2" s="1"/>
  <c r="BF948" i="2"/>
  <c r="T974" i="2"/>
  <c r="BI993" i="2"/>
  <c r="T993" i="2"/>
  <c r="T982" i="2"/>
  <c r="BI1001" i="2"/>
  <c r="T1001" i="2"/>
  <c r="AW1008" i="2"/>
  <c r="AW1055" i="2" s="1"/>
  <c r="AW1054" i="2" s="1"/>
  <c r="AW1053" i="2" s="1"/>
  <c r="T1008" i="2"/>
  <c r="AW1021" i="2"/>
  <c r="T1002" i="2"/>
  <c r="T1021" i="2"/>
  <c r="T1095" i="2"/>
  <c r="S1095" i="2"/>
  <c r="BG1095" i="2" s="1"/>
  <c r="T824" i="2"/>
  <c r="BI885" i="2"/>
  <c r="T885" i="2"/>
  <c r="BI901" i="2"/>
  <c r="T901" i="2"/>
  <c r="BC1055" i="2"/>
  <c r="BC1054" i="2" s="1"/>
  <c r="BC1048" i="2"/>
  <c r="BI1055" i="2"/>
  <c r="BI1054" i="2" s="1"/>
  <c r="BI1053" i="2" s="1"/>
  <c r="BI1048" i="2"/>
  <c r="T945" i="2"/>
  <c r="BF945" i="2"/>
  <c r="T957" i="2"/>
  <c r="S957" i="2"/>
  <c r="BG957" i="2" s="1"/>
  <c r="BF957" i="2"/>
  <c r="T965" i="2"/>
  <c r="BF965" i="2"/>
  <c r="T954" i="2"/>
  <c r="T973" i="2"/>
  <c r="BF973" i="2"/>
  <c r="BI984" i="2"/>
  <c r="T984" i="2"/>
  <c r="S1070" i="2"/>
  <c r="AX1070" i="2" s="1"/>
  <c r="AW1070" i="2"/>
  <c r="T1070" i="2"/>
  <c r="BI1111" i="2"/>
  <c r="T1111" i="2"/>
  <c r="S1111" i="2"/>
  <c r="BJ1111" i="2" s="1"/>
  <c r="T921" i="2"/>
  <c r="BF938" i="2"/>
  <c r="T941" i="2"/>
  <c r="BF941" i="2"/>
  <c r="BF1055" i="2" s="1"/>
  <c r="BF1054" i="2" s="1"/>
  <c r="T948" i="2"/>
  <c r="AW1013" i="2"/>
  <c r="T994" i="2"/>
  <c r="T1013" i="2"/>
  <c r="AW1042" i="2"/>
  <c r="AU1048" i="2"/>
  <c r="R1215" i="2"/>
  <c r="T775" i="2" s="1"/>
  <c r="R1210" i="2"/>
  <c r="R1214" i="2"/>
  <c r="S1096" i="2" s="1"/>
  <c r="AX1096" i="2" s="1"/>
  <c r="AT1064" i="2"/>
  <c r="T1064" i="2"/>
  <c r="BI1397" i="2"/>
  <c r="T1397" i="2"/>
  <c r="BI1401" i="2"/>
  <c r="T1401" i="2"/>
  <c r="T1307" i="2"/>
  <c r="T1314" i="2"/>
  <c r="T1186" i="2"/>
  <c r="BI1405" i="2"/>
  <c r="T1190" i="2"/>
  <c r="BI1409" i="2"/>
  <c r="T1194" i="2"/>
  <c r="BI1413" i="2"/>
  <c r="T1413" i="2"/>
  <c r="T1198" i="2"/>
  <c r="BO1048" i="2"/>
  <c r="AW1002" i="2"/>
  <c r="AW1048" i="2" s="1"/>
  <c r="AW1006" i="2"/>
  <c r="AW1010" i="2"/>
  <c r="AW1014" i="2"/>
  <c r="AW1018" i="2"/>
  <c r="AW1022" i="2"/>
  <c r="T1037" i="2"/>
  <c r="R1053" i="2"/>
  <c r="T739" i="2" s="1"/>
  <c r="BL1217" i="2"/>
  <c r="BL1216" i="2" s="1"/>
  <c r="BL1215" i="2" s="1"/>
  <c r="BL1210" i="2"/>
  <c r="S1072" i="2"/>
  <c r="BD1072" i="2" s="1"/>
  <c r="S1097" i="2"/>
  <c r="AU1097" i="2" s="1"/>
  <c r="AT1108" i="2"/>
  <c r="T1108" i="2"/>
  <c r="AZ1110" i="2"/>
  <c r="T1110" i="2"/>
  <c r="S1110" i="2"/>
  <c r="BA1110" i="2" s="1"/>
  <c r="BI1122" i="2"/>
  <c r="T1122" i="2"/>
  <c r="S1122" i="2"/>
  <c r="BJ1122" i="2" s="1"/>
  <c r="AW1125" i="2"/>
  <c r="T1125" i="2"/>
  <c r="S1125" i="2"/>
  <c r="AX1125" i="2" s="1"/>
  <c r="T1144" i="2"/>
  <c r="BI1144" i="2"/>
  <c r="AW1146" i="2"/>
  <c r="T1146" i="2"/>
  <c r="S1146" i="2"/>
  <c r="AX1146" i="2" s="1"/>
  <c r="T1155" i="2"/>
  <c r="BI1155" i="2"/>
  <c r="S1176" i="2"/>
  <c r="BA1176" i="2" s="1"/>
  <c r="T1176" i="2"/>
  <c r="AZ1176" i="2"/>
  <c r="T1072" i="2"/>
  <c r="T1090" i="2"/>
  <c r="BF1090" i="2"/>
  <c r="S1094" i="2"/>
  <c r="BD1094" i="2" s="1"/>
  <c r="BC1094" i="2"/>
  <c r="AW1107" i="2"/>
  <c r="T1107" i="2"/>
  <c r="S1107" i="2"/>
  <c r="AX1107" i="2" s="1"/>
  <c r="BF1112" i="2"/>
  <c r="S1112" i="2"/>
  <c r="BG1112" i="2" s="1"/>
  <c r="T1128" i="2"/>
  <c r="BF1128" i="2"/>
  <c r="S1128" i="2"/>
  <c r="BG1128" i="2" s="1"/>
  <c r="AT1130" i="2"/>
  <c r="S1154" i="2"/>
  <c r="BA1154" i="2" s="1"/>
  <c r="S1164" i="2"/>
  <c r="BD1164" i="2" s="1"/>
  <c r="T1164" i="2"/>
  <c r="BC1164" i="2"/>
  <c r="T1279" i="2"/>
  <c r="BO1055" i="2"/>
  <c r="BO1054" i="2" s="1"/>
  <c r="BO1053" i="2" s="1"/>
  <c r="BO1217" i="2"/>
  <c r="BO1216" i="2" s="1"/>
  <c r="BO1215" i="2" s="1"/>
  <c r="BO1210" i="2"/>
  <c r="BF1073" i="2"/>
  <c r="S1073" i="2"/>
  <c r="BG1073" i="2" s="1"/>
  <c r="BI1089" i="2"/>
  <c r="T1089" i="2"/>
  <c r="S1091" i="2"/>
  <c r="AX1091" i="2" s="1"/>
  <c r="AW1091" i="2"/>
  <c r="T1094" i="2"/>
  <c r="BC1105" i="2"/>
  <c r="BC1109" i="2"/>
  <c r="T1112" i="2"/>
  <c r="T1120" i="2"/>
  <c r="BC1120" i="2"/>
  <c r="T1130" i="2"/>
  <c r="BA1048" i="2"/>
  <c r="BA1055" i="2"/>
  <c r="BA1054" i="2" s="1"/>
  <c r="BA1053" i="2" s="1"/>
  <c r="BS1048" i="2"/>
  <c r="BS1055" i="2"/>
  <c r="BS1054" i="2" s="1"/>
  <c r="T1073" i="2"/>
  <c r="S1075" i="2"/>
  <c r="AU1075" i="2" s="1"/>
  <c r="T1091" i="2"/>
  <c r="AZ1104" i="2"/>
  <c r="S1104" i="2"/>
  <c r="BA1104" i="2" s="1"/>
  <c r="BF1106" i="2"/>
  <c r="S1106" i="2"/>
  <c r="BG1106" i="2" s="1"/>
  <c r="T1109" i="2"/>
  <c r="S1121" i="2"/>
  <c r="BA1121" i="2" s="1"/>
  <c r="AZ1121" i="2"/>
  <c r="AW1124" i="2"/>
  <c r="S1127" i="2"/>
  <c r="BD1127" i="2" s="1"/>
  <c r="BC1127" i="2"/>
  <c r="AZ1143" i="2"/>
  <c r="T1143" i="2"/>
  <c r="S1143" i="2"/>
  <c r="BA1143" i="2" s="1"/>
  <c r="T1151" i="2"/>
  <c r="BU1055" i="2"/>
  <c r="BU1054" i="2" s="1"/>
  <c r="BU1053" i="2" s="1"/>
  <c r="BR1210" i="2"/>
  <c r="BR1217" i="2"/>
  <c r="BR1216" i="2" s="1"/>
  <c r="BR1215" i="2" s="1"/>
  <c r="T1075" i="2"/>
  <c r="T1087" i="2"/>
  <c r="S1087" i="2"/>
  <c r="BD1087" i="2" s="1"/>
  <c r="BC1087" i="2"/>
  <c r="S1089" i="2"/>
  <c r="BJ1089" i="2" s="1"/>
  <c r="AT1119" i="2"/>
  <c r="T1119" i="2"/>
  <c r="S1119" i="2"/>
  <c r="AU1119" i="2" s="1"/>
  <c r="T1150" i="2"/>
  <c r="BF1150" i="2"/>
  <c r="T1264" i="2"/>
  <c r="R1050" i="2"/>
  <c r="BV1048" i="2"/>
  <c r="AW1043" i="2"/>
  <c r="BV1055" i="2"/>
  <c r="BV1054" i="2" s="1"/>
  <c r="BS1210" i="2"/>
  <c r="BS1217" i="2"/>
  <c r="BS1216" i="2" s="1"/>
  <c r="BS1215" i="2" s="1"/>
  <c r="S1076" i="2"/>
  <c r="BD1076" i="2" s="1"/>
  <c r="AT1086" i="2"/>
  <c r="T1086" i="2"/>
  <c r="S1088" i="2"/>
  <c r="BA1088" i="2" s="1"/>
  <c r="AZ1088" i="2"/>
  <c r="S1102" i="2"/>
  <c r="AX1102" i="2" s="1"/>
  <c r="AW1102" i="2"/>
  <c r="AZ1137" i="2"/>
  <c r="T1137" i="2"/>
  <c r="S1137" i="2"/>
  <c r="BA1137" i="2" s="1"/>
  <c r="AW1140" i="2"/>
  <c r="T1140" i="2"/>
  <c r="S1140" i="2"/>
  <c r="AX1140" i="2" s="1"/>
  <c r="T1142" i="2"/>
  <c r="T1162" i="2"/>
  <c r="AW1162" i="2"/>
  <c r="S1162" i="2"/>
  <c r="AX1162" i="2" s="1"/>
  <c r="BF946" i="2"/>
  <c r="BF950" i="2"/>
  <c r="BF954" i="2"/>
  <c r="BF958" i="2"/>
  <c r="BF962" i="2"/>
  <c r="BF966" i="2"/>
  <c r="BF970" i="2"/>
  <c r="BU1210" i="2"/>
  <c r="BU1217" i="2"/>
  <c r="BU1216" i="2" s="1"/>
  <c r="S1103" i="2"/>
  <c r="AX1103" i="2" s="1"/>
  <c r="AW1103" i="2"/>
  <c r="T1117" i="2"/>
  <c r="BF1117" i="2"/>
  <c r="S1117" i="2"/>
  <c r="BG1117" i="2" s="1"/>
  <c r="S1170" i="2"/>
  <c r="BA1170" i="2" s="1"/>
  <c r="T1170" i="2"/>
  <c r="AZ1170" i="2"/>
  <c r="S1182" i="2"/>
  <c r="BD1182" i="2" s="1"/>
  <c r="BC1182" i="2"/>
  <c r="T1182" i="2"/>
  <c r="BV1210" i="2"/>
  <c r="BV1217" i="2"/>
  <c r="BV1216" i="2" s="1"/>
  <c r="BV1215" i="2" s="1"/>
  <c r="S1078" i="2"/>
  <c r="BJ1078" i="2" s="1"/>
  <c r="T1084" i="2"/>
  <c r="BF1084" i="2"/>
  <c r="S1084" i="2"/>
  <c r="BG1084" i="2" s="1"/>
  <c r="S1086" i="2"/>
  <c r="AU1086" i="2" s="1"/>
  <c r="BF1101" i="2"/>
  <c r="S1101" i="2"/>
  <c r="BG1101" i="2" s="1"/>
  <c r="S1118" i="2"/>
  <c r="AX1118" i="2" s="1"/>
  <c r="AW1118" i="2"/>
  <c r="BF1161" i="2"/>
  <c r="S1161" i="2"/>
  <c r="BG1161" i="2" s="1"/>
  <c r="T1161" i="2"/>
  <c r="R1048" i="2"/>
  <c r="T734" i="2" s="1"/>
  <c r="T1081" i="2"/>
  <c r="AW1081" i="2"/>
  <c r="AW1217" i="2" s="1"/>
  <c r="AW1216" i="2" s="1"/>
  <c r="S1085" i="2"/>
  <c r="AX1085" i="2" s="1"/>
  <c r="AW1085" i="2"/>
  <c r="T1116" i="2"/>
  <c r="S1116" i="2"/>
  <c r="BD1116" i="2" s="1"/>
  <c r="BC1116" i="2"/>
  <c r="T1134" i="2"/>
  <c r="BF1134" i="2"/>
  <c r="S1134" i="2"/>
  <c r="BG1134" i="2" s="1"/>
  <c r="S1136" i="2"/>
  <c r="AX1136" i="2" s="1"/>
  <c r="T1148" i="2"/>
  <c r="BF1167" i="2"/>
  <c r="S1167" i="2"/>
  <c r="BG1167" i="2" s="1"/>
  <c r="T1167" i="2"/>
  <c r="S1179" i="2"/>
  <c r="AX1179" i="2" s="1"/>
  <c r="AW1179" i="2"/>
  <c r="T1179" i="2"/>
  <c r="AW1035" i="2"/>
  <c r="R1052" i="2"/>
  <c r="BC1065" i="2"/>
  <c r="BC1210" i="2" s="1"/>
  <c r="T1068" i="2"/>
  <c r="BF1068" i="2"/>
  <c r="BF1217" i="2" s="1"/>
  <c r="BF1216" i="2" s="1"/>
  <c r="BF1215" i="2" s="1"/>
  <c r="BF1079" i="2"/>
  <c r="S1079" i="2"/>
  <c r="BG1079" i="2" s="1"/>
  <c r="T1085" i="2"/>
  <c r="S1099" i="2"/>
  <c r="BA1099" i="2" s="1"/>
  <c r="AZ1099" i="2"/>
  <c r="T1147" i="2"/>
  <c r="AW1147" i="2"/>
  <c r="S1147" i="2"/>
  <c r="AX1147" i="2" s="1"/>
  <c r="T1195" i="2"/>
  <c r="S1195" i="2"/>
  <c r="BL1316" i="2"/>
  <c r="BL1317" i="2"/>
  <c r="AT1317" i="2"/>
  <c r="AT1316" i="2"/>
  <c r="AT1320" i="2"/>
  <c r="S1036" i="2"/>
  <c r="AX1036" i="2" s="1"/>
  <c r="AZ1071" i="2"/>
  <c r="AZ1210" i="2" s="1"/>
  <c r="T1071" i="2"/>
  <c r="T1079" i="2"/>
  <c r="S1081" i="2"/>
  <c r="AX1081" i="2" s="1"/>
  <c r="S1082" i="2"/>
  <c r="BA1082" i="2" s="1"/>
  <c r="AZ1082" i="2"/>
  <c r="BC1098" i="2"/>
  <c r="S1100" i="2"/>
  <c r="BJ1100" i="2" s="1"/>
  <c r="BI1100" i="2"/>
  <c r="T1114" i="2"/>
  <c r="S1114" i="2"/>
  <c r="AX1114" i="2" s="1"/>
  <c r="AW1114" i="2"/>
  <c r="T1131" i="2"/>
  <c r="S1131" i="2"/>
  <c r="BD1131" i="2" s="1"/>
  <c r="BC1131" i="2"/>
  <c r="BI1210" i="2"/>
  <c r="BI1217" i="2"/>
  <c r="BI1216" i="2" s="1"/>
  <c r="BI1215" i="2" s="1"/>
  <c r="BC1083" i="2"/>
  <c r="BC1217" i="2" s="1"/>
  <c r="BC1216" i="2" s="1"/>
  <c r="BC1215" i="2" s="1"/>
  <c r="BI1133" i="2"/>
  <c r="T1183" i="2"/>
  <c r="T1247" i="2"/>
  <c r="T1253" i="2"/>
  <c r="T1262" i="2"/>
  <c r="T1285" i="2"/>
  <c r="T1295" i="2"/>
  <c r="T1298" i="2"/>
  <c r="T1197" i="2"/>
  <c r="AU1320" i="2"/>
  <c r="T1231" i="2"/>
  <c r="T1236" i="2"/>
  <c r="T1239" i="2"/>
  <c r="T1242" i="2"/>
  <c r="T1276" i="2"/>
  <c r="BI1306" i="2"/>
  <c r="T1306" i="2"/>
  <c r="T1156" i="2"/>
  <c r="S1163" i="2"/>
  <c r="AU1163" i="2" s="1"/>
  <c r="T1171" i="2"/>
  <c r="BC1171" i="2"/>
  <c r="T1185" i="2"/>
  <c r="T1199" i="2"/>
  <c r="S1199" i="2"/>
  <c r="T1259" i="2"/>
  <c r="T1265" i="2"/>
  <c r="T1274" i="2"/>
  <c r="BM1210" i="2"/>
  <c r="T1077" i="2"/>
  <c r="AZ1148" i="2"/>
  <c r="S1151" i="2"/>
  <c r="AX1151" i="2" s="1"/>
  <c r="S1156" i="2"/>
  <c r="BG1156" i="2" s="1"/>
  <c r="T1163" i="2"/>
  <c r="S1171" i="2"/>
  <c r="BD1171" i="2" s="1"/>
  <c r="T1187" i="2"/>
  <c r="S1187" i="2"/>
  <c r="AX1322" i="2"/>
  <c r="AX1321" i="2" s="1"/>
  <c r="AX1320" i="2" s="1"/>
  <c r="BR1320" i="2"/>
  <c r="T1237" i="2"/>
  <c r="T1257" i="2"/>
  <c r="T1288" i="2"/>
  <c r="BI1305" i="2"/>
  <c r="T1305" i="2"/>
  <c r="AW1136" i="2"/>
  <c r="AZ1315" i="2"/>
  <c r="BS1315" i="2"/>
  <c r="BA1317" i="2"/>
  <c r="T1243" i="2"/>
  <c r="T1248" i="2"/>
  <c r="T1251" i="2"/>
  <c r="T1254" i="2"/>
  <c r="T1271" i="2"/>
  <c r="T1277" i="2"/>
  <c r="T1286" i="2"/>
  <c r="BI1290" i="2"/>
  <c r="BI1315" i="2" s="1"/>
  <c r="T1290" i="2"/>
  <c r="T1291" i="2"/>
  <c r="T1296" i="2"/>
  <c r="BP1210" i="2"/>
  <c r="BP1217" i="2"/>
  <c r="BP1216" i="2" s="1"/>
  <c r="BP1215" i="2" s="1"/>
  <c r="T1141" i="2"/>
  <c r="AZ1165" i="2"/>
  <c r="T1165" i="2"/>
  <c r="T1174" i="2"/>
  <c r="BU1322" i="2"/>
  <c r="BU1321" i="2" s="1"/>
  <c r="BU1320" i="2" s="1"/>
  <c r="BU1315" i="2"/>
  <c r="T1269" i="2"/>
  <c r="S1152" i="2"/>
  <c r="AU1152" i="2" s="1"/>
  <c r="T1152" i="2"/>
  <c r="AZ1154" i="2"/>
  <c r="S1173" i="2"/>
  <c r="AX1173" i="2" s="1"/>
  <c r="AW1173" i="2"/>
  <c r="T1173" i="2"/>
  <c r="T1189" i="2"/>
  <c r="T1203" i="2"/>
  <c r="S1203" i="2"/>
  <c r="BC1322" i="2"/>
  <c r="BC1321" i="2" s="1"/>
  <c r="T1240" i="2"/>
  <c r="T1249" i="2"/>
  <c r="T1260" i="2"/>
  <c r="T1263" i="2"/>
  <c r="T1266" i="2"/>
  <c r="T1283" i="2"/>
  <c r="BI1289" i="2"/>
  <c r="T1289" i="2"/>
  <c r="T1299" i="2"/>
  <c r="T1302" i="2"/>
  <c r="T1312" i="2"/>
  <c r="T1153" i="2"/>
  <c r="S1158" i="2"/>
  <c r="AX1158" i="2" s="1"/>
  <c r="AW1158" i="2"/>
  <c r="T1158" i="2"/>
  <c r="T1191" i="2"/>
  <c r="S1191" i="2"/>
  <c r="BM1217" i="2"/>
  <c r="BM1216" i="2" s="1"/>
  <c r="T1238" i="2"/>
  <c r="T1255" i="2"/>
  <c r="T1281" i="2"/>
  <c r="S1145" i="2"/>
  <c r="BG1145" i="2" s="1"/>
  <c r="S1153" i="2"/>
  <c r="BD1153" i="2" s="1"/>
  <c r="AZ1159" i="2"/>
  <c r="T1159" i="2"/>
  <c r="T1168" i="2"/>
  <c r="T1261" i="2"/>
  <c r="T1272" i="2"/>
  <c r="T1275" i="2"/>
  <c r="T1278" i="2"/>
  <c r="BI1309" i="2"/>
  <c r="T1309" i="2"/>
  <c r="S1149" i="2"/>
  <c r="BD1149" i="2" s="1"/>
  <c r="BI1177" i="2"/>
  <c r="T1177" i="2"/>
  <c r="S1207" i="2"/>
  <c r="BL1320" i="2"/>
  <c r="T1235" i="2"/>
  <c r="T1241" i="2"/>
  <c r="T1252" i="2"/>
  <c r="T1267" i="2"/>
  <c r="T1294" i="2"/>
  <c r="BF1210" i="2"/>
  <c r="S1139" i="2"/>
  <c r="BG1139" i="2" s="1"/>
  <c r="T1149" i="2"/>
  <c r="T1160" i="2"/>
  <c r="S1177" i="2"/>
  <c r="BJ1177" i="2" s="1"/>
  <c r="T1193" i="2"/>
  <c r="R1320" i="2"/>
  <c r="T811" i="2" s="1"/>
  <c r="R1319" i="2"/>
  <c r="R1315" i="2"/>
  <c r="R1317" i="2"/>
  <c r="T1226" i="2"/>
  <c r="T1230" i="2"/>
  <c r="T1250" i="2"/>
  <c r="T1273" i="2"/>
  <c r="T1284" i="2"/>
  <c r="T1287" i="2"/>
  <c r="BF1315" i="2"/>
  <c r="T1303" i="2"/>
  <c r="T1304" i="2"/>
  <c r="BI1304" i="2"/>
  <c r="BI1322" i="2" s="1"/>
  <c r="BI1321" i="2" s="1"/>
  <c r="BI1320" i="2" s="1"/>
  <c r="BV1322" i="2"/>
  <c r="BV1321" i="2" s="1"/>
  <c r="BV1320" i="2" s="1"/>
  <c r="AW1432" i="2"/>
  <c r="AW1431" i="2" s="1"/>
  <c r="AW1425" i="2"/>
  <c r="BO1432" i="2"/>
  <c r="BO1431" i="2" s="1"/>
  <c r="BO1430" i="2" s="1"/>
  <c r="BO1425" i="2"/>
  <c r="BJ1505" i="2"/>
  <c r="T1482" i="2"/>
  <c r="BC1227" i="2"/>
  <c r="BC1315" i="2" s="1"/>
  <c r="BG1315" i="2"/>
  <c r="BP1425" i="2"/>
  <c r="AZ1322" i="2"/>
  <c r="AZ1321" i="2" s="1"/>
  <c r="AZ1320" i="2" s="1"/>
  <c r="AZ1425" i="2"/>
  <c r="AZ1432" i="2"/>
  <c r="AZ1431" i="2" s="1"/>
  <c r="AZ1430" i="2" s="1"/>
  <c r="BR1425" i="2"/>
  <c r="BR1432" i="2"/>
  <c r="BR1431" i="2" s="1"/>
  <c r="BR1430" i="2" s="1"/>
  <c r="BR1465" i="2"/>
  <c r="AU1501" i="2"/>
  <c r="AU1502" i="2"/>
  <c r="BA1432" i="2"/>
  <c r="BA1431" i="2" s="1"/>
  <c r="BA1425" i="2"/>
  <c r="BS1432" i="2"/>
  <c r="BS1431" i="2" s="1"/>
  <c r="BS1425" i="2"/>
  <c r="T1180" i="2"/>
  <c r="BI1291" i="2"/>
  <c r="T1313" i="2"/>
  <c r="BF1322" i="2"/>
  <c r="BF1321" i="2" s="1"/>
  <c r="BU1432" i="2"/>
  <c r="BU1431" i="2" s="1"/>
  <c r="BU1430" i="2" s="1"/>
  <c r="BU1425" i="2"/>
  <c r="AW1414" i="2"/>
  <c r="T1414" i="2"/>
  <c r="BD1465" i="2"/>
  <c r="BV1465" i="2"/>
  <c r="T1292" i="2"/>
  <c r="BM1315" i="2"/>
  <c r="BM1320" i="2" s="1"/>
  <c r="BV1432" i="2"/>
  <c r="BV1431" i="2" s="1"/>
  <c r="BV1430" i="2" s="1"/>
  <c r="BV1425" i="2"/>
  <c r="AW1315" i="2"/>
  <c r="AW1320" i="2" s="1"/>
  <c r="BO1315" i="2"/>
  <c r="BR1315" i="2"/>
  <c r="BP1541" i="2"/>
  <c r="AX1315" i="2"/>
  <c r="BP1315" i="2"/>
  <c r="BA1505" i="2"/>
  <c r="BR1538" i="2"/>
  <c r="BR1537" i="2"/>
  <c r="AU1315" i="2"/>
  <c r="R1463" i="2"/>
  <c r="T1369" i="2" s="1"/>
  <c r="BA1322" i="2"/>
  <c r="BA1321" i="2" s="1"/>
  <c r="BA1320" i="2" s="1"/>
  <c r="BS1322" i="2"/>
  <c r="BS1321" i="2" s="1"/>
  <c r="BO1322" i="2"/>
  <c r="BO1321" i="2" s="1"/>
  <c r="AT1432" i="2"/>
  <c r="AT1431" i="2" s="1"/>
  <c r="AT1430" i="2" s="1"/>
  <c r="AT1425" i="2"/>
  <c r="BL1425" i="2"/>
  <c r="BL1432" i="2"/>
  <c r="BL1431" i="2" s="1"/>
  <c r="BM1465" i="2"/>
  <c r="T1450" i="2"/>
  <c r="T1310" i="2"/>
  <c r="AU1432" i="2"/>
  <c r="AU1431" i="2" s="1"/>
  <c r="AU1425" i="2"/>
  <c r="BM1432" i="2"/>
  <c r="BM1431" i="2" s="1"/>
  <c r="BM1425" i="2"/>
  <c r="S1419" i="2"/>
  <c r="BC1460" i="2"/>
  <c r="BU1460" i="2"/>
  <c r="T1459" i="2"/>
  <c r="AW1460" i="2"/>
  <c r="AW1465" i="2" s="1"/>
  <c r="BC1467" i="2"/>
  <c r="BC1466" i="2" s="1"/>
  <c r="BG1500" i="2"/>
  <c r="BV1541" i="2"/>
  <c r="BD1579" i="2"/>
  <c r="AW1594" i="2"/>
  <c r="BV1650" i="2"/>
  <c r="BD1460" i="2"/>
  <c r="BV1460" i="2"/>
  <c r="S1459" i="2"/>
  <c r="AX1460" i="2"/>
  <c r="S1465" i="2"/>
  <c r="R1505" i="2"/>
  <c r="T1411" i="2" s="1"/>
  <c r="R1504" i="2"/>
  <c r="R1500" i="2"/>
  <c r="T1402" i="2" s="1"/>
  <c r="S1480" i="2"/>
  <c r="BI1507" i="2"/>
  <c r="BI1506" i="2" s="1"/>
  <c r="BI1505" i="2" s="1"/>
  <c r="BJ1500" i="2"/>
  <c r="BF1536" i="2"/>
  <c r="BF1543" i="2"/>
  <c r="BF1542" i="2" s="1"/>
  <c r="BF1462" i="2"/>
  <c r="AZ1460" i="2"/>
  <c r="BF1467" i="2"/>
  <c r="BF1466" i="2" s="1"/>
  <c r="BF1465" i="2" s="1"/>
  <c r="BG1507" i="2"/>
  <c r="BG1506" i="2" s="1"/>
  <c r="BG1505" i="2" s="1"/>
  <c r="R1539" i="2"/>
  <c r="BS1611" i="2"/>
  <c r="BG1467" i="2"/>
  <c r="BG1466" i="2" s="1"/>
  <c r="BG1465" i="2" s="1"/>
  <c r="AT1500" i="2"/>
  <c r="AT1507" i="2"/>
  <c r="AT1506" i="2" s="1"/>
  <c r="AT1505" i="2" s="1"/>
  <c r="BL1500" i="2"/>
  <c r="BL1507" i="2"/>
  <c r="BL1506" i="2" s="1"/>
  <c r="BL1505" i="2" s="1"/>
  <c r="BI1501" i="2"/>
  <c r="BI1502" i="2"/>
  <c r="BI1543" i="2"/>
  <c r="BI1542" i="2" s="1"/>
  <c r="BI1536" i="2"/>
  <c r="S1517" i="2"/>
  <c r="S1541" i="2" s="1"/>
  <c r="T1519" i="2"/>
  <c r="AU1537" i="2"/>
  <c r="AU1538" i="2"/>
  <c r="AW1589" i="2"/>
  <c r="BI1575" i="2"/>
  <c r="S1421" i="2"/>
  <c r="BI1467" i="2"/>
  <c r="BI1466" i="2" s="1"/>
  <c r="T1441" i="2"/>
  <c r="S1450" i="2"/>
  <c r="S1451" i="2"/>
  <c r="AU1507" i="2"/>
  <c r="AU1506" i="2" s="1"/>
  <c r="AU1505" i="2" s="1"/>
  <c r="BM1507" i="2"/>
  <c r="BM1506" i="2" s="1"/>
  <c r="BM1505" i="2" s="1"/>
  <c r="S1482" i="2"/>
  <c r="S1483" i="2"/>
  <c r="T1483" i="2"/>
  <c r="BJ1538" i="2"/>
  <c r="BJ1537" i="2"/>
  <c r="AT1536" i="2"/>
  <c r="BL1536" i="2"/>
  <c r="S1523" i="2"/>
  <c r="BP1432" i="2"/>
  <c r="BP1431" i="2" s="1"/>
  <c r="T1415" i="2"/>
  <c r="BJ1460" i="2"/>
  <c r="BJ1467" i="2"/>
  <c r="BJ1466" i="2" s="1"/>
  <c r="BJ1465" i="2" s="1"/>
  <c r="S1441" i="2"/>
  <c r="S1464" i="2" s="1" a="1"/>
  <c r="S1464" i="2" s="1"/>
  <c r="S1463" i="2" s="1"/>
  <c r="BI1460" i="2"/>
  <c r="BO1467" i="2"/>
  <c r="BO1466" i="2" s="1"/>
  <c r="BO1465" i="2" s="1"/>
  <c r="AW1500" i="2"/>
  <c r="AW1507" i="2"/>
  <c r="AW1506" i="2" s="1"/>
  <c r="BO1500" i="2"/>
  <c r="BO1507" i="2"/>
  <c r="BO1506" i="2" s="1"/>
  <c r="BO1505" i="2" s="1"/>
  <c r="T1485" i="2"/>
  <c r="S1529" i="2"/>
  <c r="AW1601" i="2"/>
  <c r="AT1460" i="2"/>
  <c r="BL1460" i="2"/>
  <c r="BU1467" i="2"/>
  <c r="BU1466" i="2" s="1"/>
  <c r="AX1500" i="2"/>
  <c r="AX1505" i="2" s="1"/>
  <c r="BP1500" i="2"/>
  <c r="BP1505" i="2" s="1"/>
  <c r="S1485" i="2"/>
  <c r="AU1460" i="2"/>
  <c r="BM1460" i="2"/>
  <c r="BP1460" i="2"/>
  <c r="BP1465" i="2" s="1"/>
  <c r="AZ1500" i="2"/>
  <c r="AZ1505" i="2" s="1"/>
  <c r="BR1500" i="2"/>
  <c r="BR1505" i="2" s="1"/>
  <c r="BR1460" i="2"/>
  <c r="BA1500" i="2"/>
  <c r="BS1500" i="2"/>
  <c r="S1489" i="2"/>
  <c r="T1489" i="2"/>
  <c r="AX1536" i="2"/>
  <c r="BP1536" i="2"/>
  <c r="S1445" i="2"/>
  <c r="T1445" i="2"/>
  <c r="BC1507" i="2"/>
  <c r="BC1506" i="2" s="1"/>
  <c r="BC1505" i="2" s="1"/>
  <c r="BC1500" i="2"/>
  <c r="BU1507" i="2"/>
  <c r="BU1506" i="2" s="1"/>
  <c r="BU1500" i="2"/>
  <c r="T1491" i="2"/>
  <c r="S1491" i="2"/>
  <c r="BR1541" i="2"/>
  <c r="BA1541" i="2"/>
  <c r="BA1610" i="2"/>
  <c r="BA1611" i="2"/>
  <c r="S1418" i="2"/>
  <c r="S1457" i="2"/>
  <c r="R1460" i="2"/>
  <c r="T1456" i="2" s="1"/>
  <c r="BD1500" i="2"/>
  <c r="BD1507" i="2"/>
  <c r="BD1506" i="2" s="1"/>
  <c r="BD1505" i="2" s="1"/>
  <c r="BV1500" i="2"/>
  <c r="BV1507" i="2"/>
  <c r="BV1506" i="2" s="1"/>
  <c r="BV1505" i="2" s="1"/>
  <c r="BA1537" i="2"/>
  <c r="BA1538" i="2"/>
  <c r="BS1537" i="2"/>
  <c r="BA1467" i="2"/>
  <c r="BA1466" i="2" s="1"/>
  <c r="BA1465" i="2" s="1"/>
  <c r="BS1467" i="2"/>
  <c r="BS1466" i="2" s="1"/>
  <c r="BS1465" i="2" s="1"/>
  <c r="T1447" i="2"/>
  <c r="S1460" i="2"/>
  <c r="BF1500" i="2"/>
  <c r="S1495" i="2"/>
  <c r="T1495" i="2"/>
  <c r="BU1536" i="2"/>
  <c r="AU1541" i="2"/>
  <c r="AW1599" i="2"/>
  <c r="AT1543" i="2"/>
  <c r="AT1542" i="2" s="1"/>
  <c r="AT1541" i="2" s="1"/>
  <c r="BL1543" i="2"/>
  <c r="BL1542" i="2" s="1"/>
  <c r="AZ1536" i="2"/>
  <c r="AZ1541" i="2" s="1"/>
  <c r="AX1543" i="2"/>
  <c r="AX1542" i="2" s="1"/>
  <c r="AX1541" i="2" s="1"/>
  <c r="BS1543" i="2"/>
  <c r="BS1542" i="2" s="1"/>
  <c r="BS1541" i="2" s="1"/>
  <c r="AT1574" i="2"/>
  <c r="AT1579" i="2" s="1"/>
  <c r="BL1574" i="2"/>
  <c r="R1579" i="2"/>
  <c r="BJ1616" i="2"/>
  <c r="BJ1615" i="2" s="1"/>
  <c r="BJ1614" i="2" s="1"/>
  <c r="BD1645" i="2"/>
  <c r="BV1645" i="2"/>
  <c r="T1631" i="2"/>
  <c r="T1632" i="2"/>
  <c r="AX1682" i="2"/>
  <c r="AX1683" i="2"/>
  <c r="AT1467" i="2"/>
  <c r="AT1466" i="2" s="1"/>
  <c r="AT1465" i="2" s="1"/>
  <c r="BL1467" i="2"/>
  <c r="BL1466" i="2" s="1"/>
  <c r="BL1465" i="2" s="1"/>
  <c r="BF1507" i="2"/>
  <c r="BF1506" i="2" s="1"/>
  <c r="BF1505" i="2" s="1"/>
  <c r="BV1536" i="2"/>
  <c r="AU1574" i="2"/>
  <c r="BM1574" i="2"/>
  <c r="BM1579" i="2" s="1"/>
  <c r="S1568" i="2"/>
  <c r="S1573" i="2"/>
  <c r="BL1609" i="2"/>
  <c r="BL1616" i="2"/>
  <c r="BL1615" i="2" s="1"/>
  <c r="BL1614" i="2" s="1"/>
  <c r="BO1616" i="2"/>
  <c r="BO1615" i="2" s="1"/>
  <c r="BO1614" i="2" s="1"/>
  <c r="AW1597" i="2"/>
  <c r="BJ1609" i="2"/>
  <c r="BF1645" i="2"/>
  <c r="AZ1683" i="2"/>
  <c r="AZ1682" i="2"/>
  <c r="BR1683" i="2"/>
  <c r="BR1682" i="2"/>
  <c r="AW1536" i="2"/>
  <c r="BO1536" i="2"/>
  <c r="AW1556" i="2"/>
  <c r="BF1574" i="2"/>
  <c r="BF1579" i="2" s="1"/>
  <c r="AW1595" i="2"/>
  <c r="AW1606" i="2"/>
  <c r="BG1645" i="2"/>
  <c r="BG1652" i="2"/>
  <c r="BG1651" i="2" s="1"/>
  <c r="BG1650" i="2" s="1"/>
  <c r="R1649" i="2"/>
  <c r="R1648" i="2" s="1"/>
  <c r="R1645" i="2"/>
  <c r="S1626" i="2"/>
  <c r="R1650" i="2"/>
  <c r="S1497" i="2"/>
  <c r="S1519" i="2"/>
  <c r="S1525" i="2"/>
  <c r="S1532" i="2"/>
  <c r="BD1536" i="2"/>
  <c r="BD1541" i="2" s="1"/>
  <c r="BP1581" i="2"/>
  <c r="BP1580" i="2" s="1"/>
  <c r="BA1581" i="2"/>
  <c r="BA1580" i="2" s="1"/>
  <c r="BA1579" i="2" s="1"/>
  <c r="BS1581" i="2"/>
  <c r="BS1580" i="2" s="1"/>
  <c r="AU1581" i="2"/>
  <c r="AU1580" i="2" s="1"/>
  <c r="AT1609" i="2"/>
  <c r="AT1616" i="2"/>
  <c r="AT1615" i="2" s="1"/>
  <c r="BO1609" i="2"/>
  <c r="BP1609" i="2"/>
  <c r="BI1647" i="2"/>
  <c r="T1672" i="2"/>
  <c r="BG1536" i="2"/>
  <c r="BG1541" i="2" s="1"/>
  <c r="AZ1574" i="2"/>
  <c r="BR1574" i="2"/>
  <c r="AW1560" i="2"/>
  <c r="BO1574" i="2"/>
  <c r="AU1609" i="2"/>
  <c r="AZ1609" i="2"/>
  <c r="BR1609" i="2"/>
  <c r="AW1604" i="2"/>
  <c r="BJ1645" i="2"/>
  <c r="AT1652" i="2"/>
  <c r="AT1651" i="2" s="1"/>
  <c r="AT1650" i="2" s="1"/>
  <c r="BL1652" i="2"/>
  <c r="BL1651" i="2" s="1"/>
  <c r="BA1574" i="2"/>
  <c r="BS1574" i="2"/>
  <c r="BP1574" i="2"/>
  <c r="AZ1616" i="2"/>
  <c r="AZ1615" i="2" s="1"/>
  <c r="BR1616" i="2"/>
  <c r="BR1615" i="2" s="1"/>
  <c r="AT1645" i="2"/>
  <c r="BL1645" i="2"/>
  <c r="AU1652" i="2"/>
  <c r="AU1651" i="2" s="1"/>
  <c r="BM1652" i="2"/>
  <c r="BM1651" i="2" s="1"/>
  <c r="BM1650" i="2" s="1"/>
  <c r="AX1645" i="2"/>
  <c r="AX1650" i="2" s="1"/>
  <c r="T1667" i="2"/>
  <c r="BC1543" i="2"/>
  <c r="BC1542" i="2" s="1"/>
  <c r="BC1541" i="2" s="1"/>
  <c r="BU1543" i="2"/>
  <c r="BU1542" i="2" s="1"/>
  <c r="BU1541" i="2" s="1"/>
  <c r="T1534" i="2"/>
  <c r="R1536" i="2"/>
  <c r="T1523" i="2" s="1"/>
  <c r="BC1574" i="2"/>
  <c r="BC1579" i="2" s="1"/>
  <c r="BU1574" i="2"/>
  <c r="BU1579" i="2" s="1"/>
  <c r="BI1576" i="2"/>
  <c r="BL1581" i="2"/>
  <c r="BL1580" i="2" s="1"/>
  <c r="BL1579" i="2" s="1"/>
  <c r="BA1616" i="2"/>
  <c r="BA1615" i="2" s="1"/>
  <c r="BA1614" i="2" s="1"/>
  <c r="BS1616" i="2"/>
  <c r="BS1615" i="2" s="1"/>
  <c r="BS1614" i="2" s="1"/>
  <c r="AW1596" i="2"/>
  <c r="AW1602" i="2"/>
  <c r="AU1645" i="2"/>
  <c r="BM1645" i="2"/>
  <c r="BP1645" i="2"/>
  <c r="BP1650" i="2" s="1"/>
  <c r="T1665" i="2"/>
  <c r="R1541" i="2"/>
  <c r="BD1574" i="2"/>
  <c r="BV1574" i="2"/>
  <c r="BC1609" i="2"/>
  <c r="BC1616" i="2"/>
  <c r="BC1615" i="2" s="1"/>
  <c r="BC1614" i="2" s="1"/>
  <c r="BU1609" i="2"/>
  <c r="BU1616" i="2"/>
  <c r="BU1615" i="2" s="1"/>
  <c r="BU1614" i="2" s="1"/>
  <c r="T1643" i="2"/>
  <c r="T1644" i="2"/>
  <c r="T1668" i="2"/>
  <c r="T1679" i="2"/>
  <c r="T1664" i="2"/>
  <c r="T1675" i="2"/>
  <c r="T1663" i="2"/>
  <c r="BM1536" i="2"/>
  <c r="BM1541" i="2" s="1"/>
  <c r="BJ1686" i="2"/>
  <c r="T1516" i="2"/>
  <c r="BO1543" i="2"/>
  <c r="BO1542" i="2" s="1"/>
  <c r="BO1541" i="2" s="1"/>
  <c r="BG1581" i="2"/>
  <c r="BG1580" i="2" s="1"/>
  <c r="BG1579" i="2" s="1"/>
  <c r="L1590" i="2"/>
  <c r="R1555" i="2"/>
  <c r="AW1592" i="2"/>
  <c r="BV1581" i="2"/>
  <c r="BV1580" i="2" s="1"/>
  <c r="BV1579" i="2" s="1"/>
  <c r="BF1609" i="2"/>
  <c r="BF1614" i="2" s="1"/>
  <c r="BP1616" i="2"/>
  <c r="BP1615" i="2" s="1"/>
  <c r="AZ1645" i="2"/>
  <c r="BR1645" i="2"/>
  <c r="BC1652" i="2"/>
  <c r="BC1651" i="2" s="1"/>
  <c r="BU1652" i="2"/>
  <c r="BU1651" i="2" s="1"/>
  <c r="T1639" i="2"/>
  <c r="BL1683" i="2"/>
  <c r="R1558" i="2"/>
  <c r="R1574" i="2" s="1"/>
  <c r="L1593" i="2"/>
  <c r="BG1609" i="2"/>
  <c r="BG1614" i="2" s="1"/>
  <c r="BA1645" i="2"/>
  <c r="BS1645" i="2"/>
  <c r="T1634" i="2"/>
  <c r="T1638" i="2"/>
  <c r="S1638" i="2"/>
  <c r="AW1543" i="2"/>
  <c r="AW1542" i="2" s="1"/>
  <c r="AW1541" i="2" s="1"/>
  <c r="BJ1574" i="2"/>
  <c r="S1562" i="2"/>
  <c r="R1578" i="2"/>
  <c r="BI1616" i="2"/>
  <c r="BI1615" i="2" s="1"/>
  <c r="BI1614" i="2" s="1"/>
  <c r="BC1645" i="2"/>
  <c r="BU1645" i="2"/>
  <c r="AU1681" i="2"/>
  <c r="AU1688" i="2"/>
  <c r="AU1687" i="2" s="1"/>
  <c r="AU1686" i="2" s="1"/>
  <c r="BM1681" i="2"/>
  <c r="BM1688" i="2"/>
  <c r="BM1687" i="2" s="1"/>
  <c r="BI1581" i="2"/>
  <c r="BI1580" i="2" s="1"/>
  <c r="BI1579" i="2" s="1"/>
  <c r="S1634" i="2"/>
  <c r="AZ1652" i="2"/>
  <c r="AZ1651" i="2" s="1"/>
  <c r="AZ1650" i="2" s="1"/>
  <c r="BR1652" i="2"/>
  <c r="BR1651" i="2" s="1"/>
  <c r="BR1650" i="2" s="1"/>
  <c r="BI1681" i="2"/>
  <c r="S1662" i="2"/>
  <c r="T1673" i="2"/>
  <c r="S1674" i="2"/>
  <c r="BD1681" i="2"/>
  <c r="BD1686" i="2" s="1"/>
  <c r="R1685" i="2"/>
  <c r="R1684" i="2" s="1"/>
  <c r="BP1688" i="2"/>
  <c r="BP1687" i="2" s="1"/>
  <c r="BP1686" i="2" s="1"/>
  <c r="AW1717" i="2"/>
  <c r="AW1724" i="2"/>
  <c r="AW1723" i="2" s="1"/>
  <c r="AW1722" i="2" s="1"/>
  <c r="BO1717" i="2"/>
  <c r="BO1724" i="2"/>
  <c r="BO1723" i="2" s="1"/>
  <c r="BO1722" i="2" s="1"/>
  <c r="BD1753" i="2"/>
  <c r="BV1753" i="2"/>
  <c r="BF1790" i="2"/>
  <c r="BG1821" i="2"/>
  <c r="BJ1581" i="2"/>
  <c r="BJ1580" i="2" s="1"/>
  <c r="AU1616" i="2"/>
  <c r="AU1615" i="2" s="1"/>
  <c r="AU1614" i="2" s="1"/>
  <c r="BM1616" i="2"/>
  <c r="BM1615" i="2" s="1"/>
  <c r="BM1614" i="2" s="1"/>
  <c r="BA1652" i="2"/>
  <c r="BA1651" i="2" s="1"/>
  <c r="BA1650" i="2" s="1"/>
  <c r="BS1652" i="2"/>
  <c r="BS1651" i="2" s="1"/>
  <c r="AX1717" i="2"/>
  <c r="BP1717" i="2"/>
  <c r="BF1752" i="2"/>
  <c r="BI1822" i="2"/>
  <c r="BI1821" i="2"/>
  <c r="T1838" i="2"/>
  <c r="AW1605" i="2"/>
  <c r="BI1609" i="2"/>
  <c r="AW1645" i="2"/>
  <c r="BO1645" i="2"/>
  <c r="AT1688" i="2"/>
  <c r="AT1687" i="2" s="1"/>
  <c r="BL1688" i="2"/>
  <c r="BL1687" i="2" s="1"/>
  <c r="BL1686" i="2" s="1"/>
  <c r="BJ1681" i="2"/>
  <c r="BV1688" i="2"/>
  <c r="BV1687" i="2" s="1"/>
  <c r="BV1686" i="2" s="1"/>
  <c r="AZ1717" i="2"/>
  <c r="AZ1724" i="2"/>
  <c r="AZ1723" i="2" s="1"/>
  <c r="AZ1722" i="2" s="1"/>
  <c r="BR1717" i="2"/>
  <c r="BR1724" i="2"/>
  <c r="BR1723" i="2" s="1"/>
  <c r="BR1722" i="2" s="1"/>
  <c r="BG1752" i="2"/>
  <c r="BG1753" i="2"/>
  <c r="BA1717" i="2"/>
  <c r="BA1724" i="2"/>
  <c r="BA1723" i="2" s="1"/>
  <c r="BS1717" i="2"/>
  <c r="BS1724" i="2"/>
  <c r="BS1723" i="2" s="1"/>
  <c r="BS1722" i="2" s="1"/>
  <c r="BI1752" i="2"/>
  <c r="T1748" i="2"/>
  <c r="BF1652" i="2"/>
  <c r="BF1651" i="2" s="1"/>
  <c r="BF1650" i="2" s="1"/>
  <c r="AW1681" i="2"/>
  <c r="AW1688" i="2"/>
  <c r="AW1687" i="2" s="1"/>
  <c r="AW1686" i="2" s="1"/>
  <c r="BO1681" i="2"/>
  <c r="BO1688" i="2"/>
  <c r="BO1687" i="2" s="1"/>
  <c r="BO1686" i="2" s="1"/>
  <c r="S1666" i="2"/>
  <c r="S1678" i="2"/>
  <c r="BU1718" i="2"/>
  <c r="AT1786" i="2"/>
  <c r="AT1787" i="2"/>
  <c r="BL1787" i="2"/>
  <c r="AT1822" i="2"/>
  <c r="BL1825" i="2"/>
  <c r="S1627" i="2"/>
  <c r="S1649" i="2" s="1" a="1"/>
  <c r="S1649" i="2" s="1"/>
  <c r="S1639" i="2"/>
  <c r="S1667" i="2"/>
  <c r="BD1717" i="2"/>
  <c r="BD1724" i="2"/>
  <c r="BD1723" i="2" s="1"/>
  <c r="BD1722" i="2" s="1"/>
  <c r="BV1717" i="2"/>
  <c r="BV1724" i="2"/>
  <c r="BV1723" i="2" s="1"/>
  <c r="BV1722" i="2" s="1"/>
  <c r="AT1752" i="2"/>
  <c r="AU1822" i="2"/>
  <c r="AU1821" i="2"/>
  <c r="AZ1857" i="2"/>
  <c r="AZ1858" i="2"/>
  <c r="BR1857" i="2"/>
  <c r="BR1858" i="2"/>
  <c r="AZ1581" i="2"/>
  <c r="AZ1580" i="2" s="1"/>
  <c r="AZ1579" i="2" s="1"/>
  <c r="BR1581" i="2"/>
  <c r="BR1580" i="2" s="1"/>
  <c r="BR1579" i="2" s="1"/>
  <c r="BI1652" i="2"/>
  <c r="BI1651" i="2" s="1"/>
  <c r="BI1650" i="2" s="1"/>
  <c r="S1680" i="2"/>
  <c r="BF1717" i="2"/>
  <c r="AU1756" i="2"/>
  <c r="BM1756" i="2"/>
  <c r="AW1822" i="2"/>
  <c r="BG1894" i="2"/>
  <c r="BG1893" i="2"/>
  <c r="BD1616" i="2"/>
  <c r="BD1615" i="2" s="1"/>
  <c r="BD1614" i="2" s="1"/>
  <c r="BV1616" i="2"/>
  <c r="BV1615" i="2" s="1"/>
  <c r="BV1614" i="2" s="1"/>
  <c r="BJ1652" i="2"/>
  <c r="BJ1651" i="2" s="1"/>
  <c r="BA1688" i="2"/>
  <c r="BA1687" i="2" s="1"/>
  <c r="BA1686" i="2" s="1"/>
  <c r="BA1681" i="2"/>
  <c r="BS1688" i="2"/>
  <c r="BS1687" i="2" s="1"/>
  <c r="BS1681" i="2"/>
  <c r="R1722" i="2"/>
  <c r="S1697" i="2"/>
  <c r="R1721" i="2"/>
  <c r="R1717" i="2"/>
  <c r="T1708" i="2" s="1"/>
  <c r="BG1724" i="2"/>
  <c r="BG1723" i="2" s="1"/>
  <c r="BG1717" i="2"/>
  <c r="T1699" i="2"/>
  <c r="S1699" i="2"/>
  <c r="T1702" i="2"/>
  <c r="T1705" i="2"/>
  <c r="S1705" i="2"/>
  <c r="BP1790" i="2"/>
  <c r="BA1858" i="2"/>
  <c r="BA1857" i="2"/>
  <c r="BS1858" i="2"/>
  <c r="BS1857" i="2"/>
  <c r="BC1688" i="2"/>
  <c r="BC1687" i="2" s="1"/>
  <c r="BC1686" i="2" s="1"/>
  <c r="BU1688" i="2"/>
  <c r="BU1687" i="2" s="1"/>
  <c r="BU1686" i="2" s="1"/>
  <c r="AT1681" i="2"/>
  <c r="BI1724" i="2"/>
  <c r="BI1723" i="2" s="1"/>
  <c r="BI1722" i="2" s="1"/>
  <c r="BI1717" i="2"/>
  <c r="AX1756" i="2"/>
  <c r="BP1756" i="2"/>
  <c r="AZ1787" i="2"/>
  <c r="BR1822" i="2"/>
  <c r="T1850" i="2"/>
  <c r="R1686" i="2"/>
  <c r="BR1753" i="2"/>
  <c r="BS1790" i="2"/>
  <c r="S1632" i="2"/>
  <c r="S1644" i="2"/>
  <c r="S1661" i="2"/>
  <c r="BF1681" i="2"/>
  <c r="S1672" i="2"/>
  <c r="AT1717" i="2"/>
  <c r="BL1717" i="2"/>
  <c r="BA1752" i="2"/>
  <c r="BA1753" i="2"/>
  <c r="BS1752" i="2"/>
  <c r="BS1753" i="2"/>
  <c r="T1661" i="2"/>
  <c r="BG1688" i="2"/>
  <c r="BG1687" i="2" s="1"/>
  <c r="BG1686" i="2" s="1"/>
  <c r="BC1681" i="2"/>
  <c r="AU1717" i="2"/>
  <c r="AU1724" i="2"/>
  <c r="AU1723" i="2" s="1"/>
  <c r="BM1717" i="2"/>
  <c r="BM1724" i="2"/>
  <c r="BM1723" i="2" s="1"/>
  <c r="BM1722" i="2" s="1"/>
  <c r="BC1752" i="2"/>
  <c r="T1737" i="2"/>
  <c r="BD1790" i="2"/>
  <c r="T1714" i="2"/>
  <c r="AT1724" i="2"/>
  <c r="AT1723" i="2" s="1"/>
  <c r="AT1722" i="2" s="1"/>
  <c r="BL1724" i="2"/>
  <c r="BL1723" i="2" s="1"/>
  <c r="AU1751" i="2"/>
  <c r="BM1751" i="2"/>
  <c r="AZ1758" i="2"/>
  <c r="AZ1757" i="2" s="1"/>
  <c r="AZ1756" i="2" s="1"/>
  <c r="BR1758" i="2"/>
  <c r="BR1757" i="2" s="1"/>
  <c r="BR1756" i="2" s="1"/>
  <c r="BA1785" i="2"/>
  <c r="BS1785" i="2"/>
  <c r="BI1792" i="2"/>
  <c r="BI1791" i="2" s="1"/>
  <c r="BI1790" i="2" s="1"/>
  <c r="BC1820" i="2"/>
  <c r="BU1820" i="2"/>
  <c r="S1810" i="2"/>
  <c r="BL1820" i="2"/>
  <c r="AT1827" i="2"/>
  <c r="AT1826" i="2" s="1"/>
  <c r="AT1825" i="2" s="1"/>
  <c r="BC1863" i="2"/>
  <c r="BC1862" i="2" s="1"/>
  <c r="BC1861" i="2" s="1"/>
  <c r="BU1863" i="2"/>
  <c r="BU1862" i="2" s="1"/>
  <c r="BU1861" i="2" s="1"/>
  <c r="AZ1892" i="2"/>
  <c r="AZ1899" i="2"/>
  <c r="AZ1898" i="2" s="1"/>
  <c r="AZ1897" i="2" s="1"/>
  <c r="BR1892" i="2"/>
  <c r="BR1899" i="2"/>
  <c r="BR1898" i="2" s="1"/>
  <c r="BR1897" i="2" s="1"/>
  <c r="BG1927" i="2"/>
  <c r="BC1961" i="2"/>
  <c r="BC1962" i="2"/>
  <c r="BU1961" i="2"/>
  <c r="BU1962" i="2"/>
  <c r="AW1751" i="2"/>
  <c r="AW1756" i="2" s="1"/>
  <c r="BO1751" i="2"/>
  <c r="BO1756" i="2" s="1"/>
  <c r="R1756" i="2"/>
  <c r="BA1758" i="2"/>
  <c r="BA1757" i="2" s="1"/>
  <c r="BA1756" i="2" s="1"/>
  <c r="BS1758" i="2"/>
  <c r="BS1757" i="2" s="1"/>
  <c r="BS1756" i="2" s="1"/>
  <c r="BC1785" i="2"/>
  <c r="BU1785" i="2"/>
  <c r="BJ1792" i="2"/>
  <c r="BJ1791" i="2" s="1"/>
  <c r="BJ1790" i="2" s="1"/>
  <c r="BD1827" i="2"/>
  <c r="BD1826" i="2" s="1"/>
  <c r="BD1825" i="2" s="1"/>
  <c r="BV1827" i="2"/>
  <c r="BV1826" i="2" s="1"/>
  <c r="S1813" i="2"/>
  <c r="BM1820" i="2"/>
  <c r="BM1825" i="2" s="1"/>
  <c r="R1825" i="2"/>
  <c r="AU1827" i="2"/>
  <c r="AU1826" i="2" s="1"/>
  <c r="AU1825" i="2" s="1"/>
  <c r="BD1863" i="2"/>
  <c r="BD1862" i="2" s="1"/>
  <c r="BD1856" i="2"/>
  <c r="BV1863" i="2"/>
  <c r="BV1862" i="2" s="1"/>
  <c r="BV1856" i="2"/>
  <c r="BA1893" i="2"/>
  <c r="BS1893" i="2"/>
  <c r="S1891" i="2"/>
  <c r="R1930" i="2"/>
  <c r="R1926" i="2"/>
  <c r="T1906" i="2"/>
  <c r="R1931" i="2"/>
  <c r="S1906" i="2"/>
  <c r="BI1933" i="2"/>
  <c r="BI1932" i="2" s="1"/>
  <c r="BI1931" i="2" s="1"/>
  <c r="BJ1717" i="2"/>
  <c r="S1743" i="2"/>
  <c r="AX1751" i="2"/>
  <c r="BP1751" i="2"/>
  <c r="BC1758" i="2"/>
  <c r="BC1757" i="2" s="1"/>
  <c r="BC1756" i="2" s="1"/>
  <c r="BU1758" i="2"/>
  <c r="BU1757" i="2" s="1"/>
  <c r="BU1756" i="2" s="1"/>
  <c r="S1769" i="2"/>
  <c r="S1781" i="2"/>
  <c r="BD1785" i="2"/>
  <c r="BV1785" i="2"/>
  <c r="BV1790" i="2" s="1"/>
  <c r="BL1792" i="2"/>
  <c r="BL1791" i="2" s="1"/>
  <c r="BL1790" i="2" s="1"/>
  <c r="S1800" i="2"/>
  <c r="BF1827" i="2"/>
  <c r="BF1826" i="2" s="1"/>
  <c r="S1812" i="2"/>
  <c r="BO1820" i="2"/>
  <c r="BO1825" i="2" s="1"/>
  <c r="AW1827" i="2"/>
  <c r="AW1826" i="2" s="1"/>
  <c r="AW1825" i="2" s="1"/>
  <c r="R1861" i="2"/>
  <c r="R1860" i="2"/>
  <c r="R1859" i="2" s="1"/>
  <c r="R1856" i="2"/>
  <c r="BF1856" i="2"/>
  <c r="BC1858" i="2"/>
  <c r="BC1899" i="2"/>
  <c r="BC1898" i="2" s="1"/>
  <c r="BU1899" i="2"/>
  <c r="BU1898" i="2" s="1"/>
  <c r="BU1897" i="2" s="1"/>
  <c r="BC1892" i="2"/>
  <c r="BU1892" i="2"/>
  <c r="BI1893" i="2"/>
  <c r="BJ1933" i="2"/>
  <c r="BJ1932" i="2" s="1"/>
  <c r="BJ1931" i="2" s="1"/>
  <c r="BJ1926" i="2"/>
  <c r="AT1926" i="2"/>
  <c r="BL1926" i="2"/>
  <c r="BL1931" i="2" s="1"/>
  <c r="BD1961" i="2"/>
  <c r="BD1962" i="2"/>
  <c r="BV1961" i="2"/>
  <c r="BV1962" i="2"/>
  <c r="BD1965" i="2"/>
  <c r="BV1965" i="2"/>
  <c r="AX1724" i="2"/>
  <c r="AX1723" i="2" s="1"/>
  <c r="AX1722" i="2" s="1"/>
  <c r="BP1724" i="2"/>
  <c r="BP1723" i="2" s="1"/>
  <c r="BP1722" i="2" s="1"/>
  <c r="BD1758" i="2"/>
  <c r="BD1757" i="2" s="1"/>
  <c r="BD1756" i="2" s="1"/>
  <c r="BV1758" i="2"/>
  <c r="BV1757" i="2" s="1"/>
  <c r="BV1756" i="2" s="1"/>
  <c r="BF1785" i="2"/>
  <c r="AT1792" i="2"/>
  <c r="AT1791" i="2" s="1"/>
  <c r="AT1790" i="2" s="1"/>
  <c r="BM1792" i="2"/>
  <c r="BM1791" i="2" s="1"/>
  <c r="BM1790" i="2" s="1"/>
  <c r="T1800" i="2"/>
  <c r="BG1827" i="2"/>
  <c r="BG1826" i="2" s="1"/>
  <c r="BG1825" i="2" s="1"/>
  <c r="R1820" i="2"/>
  <c r="BV1820" i="2"/>
  <c r="AZ1827" i="2"/>
  <c r="AZ1826" i="2" s="1"/>
  <c r="AZ1825" i="2" s="1"/>
  <c r="S1836" i="2"/>
  <c r="BG1856" i="2"/>
  <c r="BG1861" i="2" s="1"/>
  <c r="BD1892" i="2"/>
  <c r="BV1892" i="2"/>
  <c r="BF1892" i="2"/>
  <c r="AT1931" i="2"/>
  <c r="AW1927" i="2"/>
  <c r="AW1928" i="2"/>
  <c r="BO1927" i="2"/>
  <c r="BO1928" i="2"/>
  <c r="BF1961" i="2"/>
  <c r="BF1758" i="2"/>
  <c r="BF1757" i="2" s="1"/>
  <c r="BF1756" i="2" s="1"/>
  <c r="R1785" i="2"/>
  <c r="T1775" i="2" s="1"/>
  <c r="BG1785" i="2"/>
  <c r="R1789" i="2"/>
  <c r="R1788" i="2" s="1"/>
  <c r="AU1792" i="2"/>
  <c r="AU1791" i="2" s="1"/>
  <c r="AU1790" i="2" s="1"/>
  <c r="BO1792" i="2"/>
  <c r="BO1791" i="2" s="1"/>
  <c r="BO1790" i="2" s="1"/>
  <c r="BA1827" i="2"/>
  <c r="BA1826" i="2" s="1"/>
  <c r="BA1825" i="2" s="1"/>
  <c r="BI1857" i="2"/>
  <c r="BI1858" i="2"/>
  <c r="T1853" i="2"/>
  <c r="BF1897" i="2"/>
  <c r="AU1931" i="2"/>
  <c r="BM1931" i="2"/>
  <c r="BG1961" i="2"/>
  <c r="BG1962" i="2"/>
  <c r="BG1965" i="2"/>
  <c r="S1708" i="2"/>
  <c r="S1734" i="2"/>
  <c r="S1755" i="2" s="1" a="1"/>
  <c r="S1755" i="2" s="1"/>
  <c r="S1746" i="2"/>
  <c r="BG1758" i="2"/>
  <c r="BG1757" i="2" s="1"/>
  <c r="BG1756" i="2" s="1"/>
  <c r="S1772" i="2"/>
  <c r="S1784" i="2"/>
  <c r="AW1792" i="2"/>
  <c r="AW1791" i="2" s="1"/>
  <c r="AW1790" i="2" s="1"/>
  <c r="BR1792" i="2"/>
  <c r="BR1791" i="2" s="1"/>
  <c r="BR1790" i="2" s="1"/>
  <c r="BJ1820" i="2"/>
  <c r="BJ1827" i="2"/>
  <c r="BJ1826" i="2" s="1"/>
  <c r="BJ1825" i="2" s="1"/>
  <c r="S1803" i="2"/>
  <c r="S1819" i="2"/>
  <c r="BC1827" i="2"/>
  <c r="BC1826" i="2" s="1"/>
  <c r="BC1825" i="2" s="1"/>
  <c r="BJ1856" i="2"/>
  <c r="BJ1863" i="2"/>
  <c r="BJ1862" i="2" s="1"/>
  <c r="S1838" i="2"/>
  <c r="T1839" i="2"/>
  <c r="T1840" i="2"/>
  <c r="S1840" i="2"/>
  <c r="S1850" i="2"/>
  <c r="T1852" i="2"/>
  <c r="S1852" i="2"/>
  <c r="S1897" i="2"/>
  <c r="S1896" i="2" a="1"/>
  <c r="S1896" i="2" s="1"/>
  <c r="S1879" i="2"/>
  <c r="S1892" i="2" s="1"/>
  <c r="R1896" i="2"/>
  <c r="BI1961" i="2"/>
  <c r="BC1724" i="2"/>
  <c r="BC1723" i="2" s="1"/>
  <c r="BC1722" i="2" s="1"/>
  <c r="BU1724" i="2"/>
  <c r="BU1723" i="2" s="1"/>
  <c r="BU1722" i="2" s="1"/>
  <c r="BI1758" i="2"/>
  <c r="BI1757" i="2" s="1"/>
  <c r="BI1756" i="2" s="1"/>
  <c r="AZ1792" i="2"/>
  <c r="AZ1791" i="2" s="1"/>
  <c r="AZ1790" i="2" s="1"/>
  <c r="S1804" i="2"/>
  <c r="AT1856" i="2"/>
  <c r="AT1863" i="2"/>
  <c r="AT1862" i="2" s="1"/>
  <c r="AT1861" i="2" s="1"/>
  <c r="BL1856" i="2"/>
  <c r="BL1863" i="2"/>
  <c r="BL1862" i="2" s="1"/>
  <c r="S1839" i="2"/>
  <c r="S1851" i="2"/>
  <c r="BI1897" i="2"/>
  <c r="AX1926" i="2"/>
  <c r="BP1926" i="2"/>
  <c r="BJ1758" i="2"/>
  <c r="BJ1757" i="2" s="1"/>
  <c r="BJ1756" i="2" s="1"/>
  <c r="S1805" i="2"/>
  <c r="AU1858" i="2"/>
  <c r="BM1857" i="2"/>
  <c r="BJ1892" i="2"/>
  <c r="AZ1926" i="2"/>
  <c r="BR1926" i="2"/>
  <c r="T1919" i="2"/>
  <c r="BL1962" i="2"/>
  <c r="S1711" i="2"/>
  <c r="BF1724" i="2"/>
  <c r="BF1723" i="2" s="1"/>
  <c r="BF1722" i="2" s="1"/>
  <c r="S1737" i="2"/>
  <c r="S1749" i="2"/>
  <c r="S1751" i="2" s="1"/>
  <c r="R1751" i="2"/>
  <c r="R1754" i="2" s="1"/>
  <c r="AT1758" i="2"/>
  <c r="AT1757" i="2" s="1"/>
  <c r="AT1756" i="2" s="1"/>
  <c r="BL1758" i="2"/>
  <c r="BL1757" i="2" s="1"/>
  <c r="BL1756" i="2" s="1"/>
  <c r="S1775" i="2"/>
  <c r="S1806" i="2"/>
  <c r="BD1820" i="2"/>
  <c r="BF1863" i="2"/>
  <c r="BF1862" i="2" s="1"/>
  <c r="AT1892" i="2"/>
  <c r="BL1892" i="2"/>
  <c r="BA1926" i="2"/>
  <c r="BS1927" i="2"/>
  <c r="BS1928" i="2"/>
  <c r="BA1933" i="2"/>
  <c r="BA1932" i="2" s="1"/>
  <c r="BS1931" i="2"/>
  <c r="T1918" i="2"/>
  <c r="S1765" i="2"/>
  <c r="AX1827" i="2"/>
  <c r="AX1826" i="2" s="1"/>
  <c r="AX1820" i="2"/>
  <c r="BP1827" i="2"/>
  <c r="BP1826" i="2" s="1"/>
  <c r="BP1820" i="2"/>
  <c r="BF1820" i="2"/>
  <c r="BR1827" i="2"/>
  <c r="BR1826" i="2" s="1"/>
  <c r="BR1825" i="2" s="1"/>
  <c r="AU1892" i="2"/>
  <c r="BM1892" i="2"/>
  <c r="AU1899" i="2"/>
  <c r="AU1898" i="2" s="1"/>
  <c r="BM1899" i="2"/>
  <c r="BM1898" i="2" s="1"/>
  <c r="BC1926" i="2"/>
  <c r="BU1926" i="2"/>
  <c r="T1917" i="2"/>
  <c r="S1917" i="2"/>
  <c r="AX1785" i="2"/>
  <c r="BP1785" i="2"/>
  <c r="AZ1821" i="2"/>
  <c r="BS1827" i="2"/>
  <c r="BS1826" i="2" s="1"/>
  <c r="BS1825" i="2" s="1"/>
  <c r="AW1857" i="2"/>
  <c r="AW1858" i="2"/>
  <c r="BO1857" i="2"/>
  <c r="BO1858" i="2"/>
  <c r="AW1861" i="2"/>
  <c r="BI1863" i="2"/>
  <c r="BI1862" i="2" s="1"/>
  <c r="BI1861" i="2" s="1"/>
  <c r="AW1893" i="2"/>
  <c r="AW1894" i="2"/>
  <c r="BO1894" i="2"/>
  <c r="BD1926" i="2"/>
  <c r="BD1933" i="2"/>
  <c r="BD1932" i="2" s="1"/>
  <c r="BD1931" i="2" s="1"/>
  <c r="BV1926" i="2"/>
  <c r="BV1933" i="2"/>
  <c r="BV1932" i="2" s="1"/>
  <c r="AZ1961" i="2"/>
  <c r="AZ1962" i="2"/>
  <c r="BR1961" i="2"/>
  <c r="BR1962" i="2"/>
  <c r="BA1821" i="2"/>
  <c r="BA1822" i="2"/>
  <c r="BU1827" i="2"/>
  <c r="BU1826" i="2" s="1"/>
  <c r="BU1825" i="2" s="1"/>
  <c r="AX1892" i="2"/>
  <c r="AX1899" i="2"/>
  <c r="AX1898" i="2" s="1"/>
  <c r="AX1897" i="2" s="1"/>
  <c r="BP1892" i="2"/>
  <c r="BP1899" i="2"/>
  <c r="BP1898" i="2" s="1"/>
  <c r="R1892" i="2"/>
  <c r="BF1928" i="2"/>
  <c r="BI1926" i="2"/>
  <c r="AZ1965" i="2"/>
  <c r="BR1965" i="2"/>
  <c r="BJ1899" i="2"/>
  <c r="BJ1898" i="2" s="1"/>
  <c r="AX1933" i="2"/>
  <c r="AX1932" i="2" s="1"/>
  <c r="BP1933" i="2"/>
  <c r="BP1932" i="2" s="1"/>
  <c r="BP1931" i="2" s="1"/>
  <c r="AU1926" i="2"/>
  <c r="BM1926" i="2"/>
  <c r="AZ1933" i="2"/>
  <c r="AZ1932" i="2" s="1"/>
  <c r="AZ1931" i="2" s="1"/>
  <c r="BR1933" i="2"/>
  <c r="BR1932" i="2" s="1"/>
  <c r="BR1931" i="2" s="1"/>
  <c r="BA1960" i="2"/>
  <c r="BA1965" i="2" s="1"/>
  <c r="BS1960" i="2"/>
  <c r="BS1965" i="2" s="1"/>
  <c r="BF1967" i="2"/>
  <c r="BF1966" i="2" s="1"/>
  <c r="BF1965" i="2" s="1"/>
  <c r="S1880" i="2"/>
  <c r="AW1899" i="2"/>
  <c r="AW1898" i="2" s="1"/>
  <c r="AW1897" i="2" s="1"/>
  <c r="BO1899" i="2"/>
  <c r="BO1898" i="2" s="1"/>
  <c r="BO1897" i="2" s="1"/>
  <c r="S1918" i="2"/>
  <c r="BC1933" i="2"/>
  <c r="BC1932" i="2" s="1"/>
  <c r="BC1931" i="2" s="1"/>
  <c r="BU1933" i="2"/>
  <c r="BU1932" i="2" s="1"/>
  <c r="S1944" i="2"/>
  <c r="S1965" i="2" s="1"/>
  <c r="S1956" i="2"/>
  <c r="BI1967" i="2"/>
  <c r="BI1966" i="2" s="1"/>
  <c r="BI1965" i="2" s="1"/>
  <c r="S1841" i="2"/>
  <c r="S1853" i="2"/>
  <c r="S1881" i="2"/>
  <c r="S1919" i="2"/>
  <c r="S1945" i="2"/>
  <c r="S1957" i="2"/>
  <c r="BJ1967" i="2"/>
  <c r="BJ1966" i="2" s="1"/>
  <c r="BJ1965" i="2" s="1"/>
  <c r="AU1863" i="2"/>
  <c r="AU1862" i="2" s="1"/>
  <c r="AU1861" i="2" s="1"/>
  <c r="BM1863" i="2"/>
  <c r="BM1862" i="2" s="1"/>
  <c r="BM1861" i="2" s="1"/>
  <c r="BF1933" i="2"/>
  <c r="BF1932" i="2" s="1"/>
  <c r="BF1931" i="2" s="1"/>
  <c r="R1960" i="2"/>
  <c r="T1945" i="2" s="1"/>
  <c r="R1964" i="2"/>
  <c r="R1963" i="2" s="1"/>
  <c r="AT1967" i="2"/>
  <c r="AT1966" i="2" s="1"/>
  <c r="AT1965" i="2" s="1"/>
  <c r="BL1967" i="2"/>
  <c r="BL1966" i="2" s="1"/>
  <c r="BL1965" i="2" s="1"/>
  <c r="BA1899" i="2"/>
  <c r="BA1898" i="2" s="1"/>
  <c r="BA1897" i="2" s="1"/>
  <c r="BS1899" i="2"/>
  <c r="BS1898" i="2" s="1"/>
  <c r="BS1897" i="2" s="1"/>
  <c r="BG1933" i="2"/>
  <c r="BG1932" i="2" s="1"/>
  <c r="BG1931" i="2" s="1"/>
  <c r="S1959" i="2"/>
  <c r="S1960" i="2"/>
  <c r="AU1967" i="2"/>
  <c r="AU1966" i="2" s="1"/>
  <c r="AU1965" i="2" s="1"/>
  <c r="BM1967" i="2"/>
  <c r="BM1966" i="2" s="1"/>
  <c r="BM1965" i="2" s="1"/>
  <c r="C2003" i="2"/>
  <c r="AX1863" i="2"/>
  <c r="AX1862" i="2" s="1"/>
  <c r="AX1861" i="2" s="1"/>
  <c r="BP1863" i="2"/>
  <c r="BP1862" i="2" s="1"/>
  <c r="BP1861" i="2" s="1"/>
  <c r="AW1967" i="2"/>
  <c r="AW1966" i="2" s="1"/>
  <c r="AW1965" i="2" s="1"/>
  <c r="BO1967" i="2"/>
  <c r="BO1966" i="2" s="1"/>
  <c r="BO1965" i="2" s="1"/>
  <c r="BD1899" i="2"/>
  <c r="BD1898" i="2" s="1"/>
  <c r="BD1897" i="2" s="1"/>
  <c r="BV1899" i="2"/>
  <c r="BV1898" i="2" s="1"/>
  <c r="BV1897" i="2" s="1"/>
  <c r="AX1967" i="2"/>
  <c r="AX1966" i="2" s="1"/>
  <c r="AX1965" i="2" s="1"/>
  <c r="BP1967" i="2"/>
  <c r="BP1966" i="2" s="1"/>
  <c r="BP1965" i="2" s="1"/>
  <c r="S1950" i="2"/>
  <c r="S1951" i="2"/>
  <c r="BF1053" i="2" l="1"/>
  <c r="T1206" i="2"/>
  <c r="T837" i="2"/>
  <c r="S1752" i="2"/>
  <c r="S1753" i="2"/>
  <c r="BI1317" i="2"/>
  <c r="BI1316" i="2"/>
  <c r="BC1317" i="2"/>
  <c r="BC1316" i="2"/>
  <c r="S1754" i="2"/>
  <c r="S1894" i="2"/>
  <c r="S1893" i="2"/>
  <c r="BC1211" i="2"/>
  <c r="BC1212" i="2"/>
  <c r="BF1049" i="2"/>
  <c r="BF1050" i="2"/>
  <c r="R1576" i="2"/>
  <c r="T1569" i="2"/>
  <c r="T1563" i="2"/>
  <c r="T1559" i="2"/>
  <c r="S1559" i="2"/>
  <c r="AX1559" i="2" s="1"/>
  <c r="R1575" i="2"/>
  <c r="T1571" i="2"/>
  <c r="T1566" i="2"/>
  <c r="T1570" i="2"/>
  <c r="T1565" i="2"/>
  <c r="T1564" i="2"/>
  <c r="T1554" i="2"/>
  <c r="T1567" i="2"/>
  <c r="S1560" i="2"/>
  <c r="AX1560" i="2" s="1"/>
  <c r="T1568" i="2"/>
  <c r="S1554" i="2"/>
  <c r="S1557" i="2"/>
  <c r="AX1557" i="2" s="1"/>
  <c r="T1572" i="2"/>
  <c r="T1561" i="2"/>
  <c r="T1573" i="2"/>
  <c r="T1562" i="2"/>
  <c r="T1560" i="2"/>
  <c r="S1561" i="2"/>
  <c r="AX1561" i="2" s="1"/>
  <c r="S1556" i="2"/>
  <c r="AX1556" i="2" s="1"/>
  <c r="T1556" i="2"/>
  <c r="T1557" i="2"/>
  <c r="AW1050" i="2"/>
  <c r="AW1049" i="2"/>
  <c r="R1894" i="2"/>
  <c r="T1886" i="2"/>
  <c r="T1874" i="2"/>
  <c r="T1885" i="2"/>
  <c r="T1873" i="2"/>
  <c r="T1884" i="2"/>
  <c r="T1883" i="2"/>
  <c r="T1872" i="2"/>
  <c r="T1882" i="2"/>
  <c r="T1890" i="2"/>
  <c r="T1878" i="2"/>
  <c r="R1893" i="2"/>
  <c r="T1888" i="2"/>
  <c r="T1876" i="2"/>
  <c r="T1877" i="2"/>
  <c r="T1889" i="2"/>
  <c r="BM1897" i="2"/>
  <c r="BJ1893" i="2"/>
  <c r="BJ1894" i="2"/>
  <c r="T1814" i="2"/>
  <c r="T1808" i="2"/>
  <c r="T1807" i="2"/>
  <c r="R1822" i="2"/>
  <c r="T1818" i="2"/>
  <c r="T1802" i="2"/>
  <c r="R1821" i="2"/>
  <c r="T1817" i="2"/>
  <c r="T1801" i="2"/>
  <c r="T1816" i="2"/>
  <c r="T1815" i="2"/>
  <c r="T1811" i="2"/>
  <c r="BJ1718" i="2"/>
  <c r="BJ1719" i="2"/>
  <c r="T1812" i="2"/>
  <c r="T1950" i="2"/>
  <c r="BA1786" i="2"/>
  <c r="BA1787" i="2"/>
  <c r="T1769" i="2"/>
  <c r="BL1718" i="2"/>
  <c r="BL1719" i="2"/>
  <c r="AW1787" i="2"/>
  <c r="AX1718" i="2"/>
  <c r="AX1719" i="2"/>
  <c r="BI1683" i="2"/>
  <c r="BI1682" i="2"/>
  <c r="BC1646" i="2"/>
  <c r="BC1647" i="2"/>
  <c r="BD1611" i="2"/>
  <c r="AU1647" i="2"/>
  <c r="AU1646" i="2"/>
  <c r="BR1614" i="2"/>
  <c r="AU1575" i="2"/>
  <c r="AU1576" i="2"/>
  <c r="BD1646" i="2"/>
  <c r="BD1647" i="2"/>
  <c r="S1462" i="2"/>
  <c r="S1461" i="2"/>
  <c r="BP1537" i="2"/>
  <c r="BP1538" i="2"/>
  <c r="AU1461" i="2"/>
  <c r="AU1462" i="2"/>
  <c r="AZ1461" i="2"/>
  <c r="AZ1462" i="2"/>
  <c r="R1503" i="2"/>
  <c r="T1410" i="2"/>
  <c r="BL1426" i="2"/>
  <c r="BL1427" i="2"/>
  <c r="BP1316" i="2"/>
  <c r="BP1317" i="2"/>
  <c r="BA1462" i="2"/>
  <c r="BG1316" i="2"/>
  <c r="BG1317" i="2"/>
  <c r="BM1211" i="2"/>
  <c r="BM1212" i="2"/>
  <c r="BV1050" i="2"/>
  <c r="BV1049" i="2"/>
  <c r="R1211" i="2"/>
  <c r="R1212" i="2"/>
  <c r="S1169" i="2"/>
  <c r="AX1169" i="2" s="1"/>
  <c r="S1178" i="2"/>
  <c r="BG1178" i="2" s="1"/>
  <c r="S1168" i="2"/>
  <c r="AX1168" i="2" s="1"/>
  <c r="S1160" i="2"/>
  <c r="BD1160" i="2" s="1"/>
  <c r="S1159" i="2"/>
  <c r="BA1159" i="2" s="1"/>
  <c r="S1142" i="2"/>
  <c r="BD1142" i="2" s="1"/>
  <c r="S1175" i="2"/>
  <c r="BD1175" i="2" s="1"/>
  <c r="S1148" i="2"/>
  <c r="BA1148" i="2" s="1"/>
  <c r="S1174" i="2"/>
  <c r="AU1174" i="2" s="1"/>
  <c r="S1165" i="2"/>
  <c r="BA1165" i="2" s="1"/>
  <c r="S1141" i="2"/>
  <c r="AU1141" i="2" s="1"/>
  <c r="S1138" i="2"/>
  <c r="BD1138" i="2" s="1"/>
  <c r="S1135" i="2"/>
  <c r="AX1135" i="2" s="1"/>
  <c r="S1132" i="2"/>
  <c r="BA1132" i="2" s="1"/>
  <c r="S1129" i="2"/>
  <c r="AX1129" i="2" s="1"/>
  <c r="S1166" i="2"/>
  <c r="BJ1166" i="2" s="1"/>
  <c r="S1157" i="2"/>
  <c r="AX1157" i="2" s="1"/>
  <c r="S1172" i="2"/>
  <c r="BG1172" i="2" s="1"/>
  <c r="S1184" i="2"/>
  <c r="AX1184" i="2" s="1"/>
  <c r="S1183" i="2"/>
  <c r="BG1183" i="2" s="1"/>
  <c r="S1066" i="2"/>
  <c r="BA1066" i="2" s="1"/>
  <c r="S1080" i="2"/>
  <c r="AX1080" i="2" s="1"/>
  <c r="S1180" i="2"/>
  <c r="AX1180" i="2" s="1"/>
  <c r="S1181" i="2"/>
  <c r="BA1181" i="2" s="1"/>
  <c r="S1074" i="2"/>
  <c r="AX1074" i="2" s="1"/>
  <c r="S1065" i="2"/>
  <c r="BD1065" i="2" s="1"/>
  <c r="S1068" i="2"/>
  <c r="BG1068" i="2" s="1"/>
  <c r="S1069" i="2"/>
  <c r="AX1069" i="2" s="1"/>
  <c r="T770" i="2"/>
  <c r="S1115" i="2"/>
  <c r="BA1115" i="2" s="1"/>
  <c r="S1113" i="2"/>
  <c r="AX1113" i="2" s="1"/>
  <c r="S1093" i="2"/>
  <c r="BA1093" i="2" s="1"/>
  <c r="S1133" i="2"/>
  <c r="BJ1133" i="2" s="1"/>
  <c r="S1008" i="2"/>
  <c r="AX1008" i="2" s="1"/>
  <c r="S958" i="2"/>
  <c r="BG958" i="2" s="1"/>
  <c r="AZ1053" i="2"/>
  <c r="S929" i="2"/>
  <c r="BG929" i="2" s="1"/>
  <c r="T866" i="2"/>
  <c r="BF866" i="2"/>
  <c r="T818" i="2"/>
  <c r="BC818" i="2"/>
  <c r="R906" i="2"/>
  <c r="R904" i="2"/>
  <c r="T700" i="2" s="1"/>
  <c r="R907" i="2"/>
  <c r="T703" i="2" s="1"/>
  <c r="S964" i="2"/>
  <c r="BG964" i="2" s="1"/>
  <c r="S1020" i="2"/>
  <c r="AX1020" i="2" s="1"/>
  <c r="S944" i="2"/>
  <c r="BG944" i="2" s="1"/>
  <c r="T467" i="2"/>
  <c r="T461" i="2"/>
  <c r="T455" i="2"/>
  <c r="R470" i="2"/>
  <c r="R471" i="2"/>
  <c r="T465" i="2"/>
  <c r="T459" i="2"/>
  <c r="T453" i="2"/>
  <c r="T464" i="2"/>
  <c r="T458" i="2"/>
  <c r="T452" i="2"/>
  <c r="T450" i="2"/>
  <c r="T468" i="2"/>
  <c r="T462" i="2"/>
  <c r="T456" i="2"/>
  <c r="T454" i="2"/>
  <c r="T457" i="2"/>
  <c r="T451" i="2"/>
  <c r="T460" i="2"/>
  <c r="T463" i="2"/>
  <c r="T466" i="2"/>
  <c r="R472" i="2"/>
  <c r="T449" i="2"/>
  <c r="AX1786" i="2"/>
  <c r="AX1787" i="2"/>
  <c r="BM1427" i="2"/>
  <c r="BM1426" i="2"/>
  <c r="BM1928" i="2"/>
  <c r="BM1927" i="2"/>
  <c r="AX1822" i="2"/>
  <c r="AX1821" i="2"/>
  <c r="AX1927" i="2"/>
  <c r="AX1928" i="2"/>
  <c r="S1825" i="2"/>
  <c r="S1824" i="2" a="1"/>
  <c r="S1824" i="2" s="1"/>
  <c r="S1823" i="2" s="1"/>
  <c r="S1820" i="2"/>
  <c r="AU1718" i="2"/>
  <c r="AU1719" i="2"/>
  <c r="S1964" i="2" a="1"/>
  <c r="S1964" i="2" s="1"/>
  <c r="S1963" i="2" s="1"/>
  <c r="BU1931" i="2"/>
  <c r="AU1928" i="2"/>
  <c r="AU1927" i="2"/>
  <c r="BP1897" i="2"/>
  <c r="BO1893" i="2"/>
  <c r="BP1786" i="2"/>
  <c r="BP1787" i="2"/>
  <c r="AU1897" i="2"/>
  <c r="AX1825" i="2"/>
  <c r="BM1858" i="2"/>
  <c r="BI1962" i="2"/>
  <c r="T1851" i="2"/>
  <c r="BJ1822" i="2"/>
  <c r="BJ1821" i="2"/>
  <c r="BC1897" i="2"/>
  <c r="T1946" i="2"/>
  <c r="BA1894" i="2"/>
  <c r="BV1825" i="2"/>
  <c r="AZ1893" i="2"/>
  <c r="AZ1894" i="2"/>
  <c r="T1778" i="2"/>
  <c r="BC1682" i="2"/>
  <c r="BC1683" i="2"/>
  <c r="AT1718" i="2"/>
  <c r="AT1719" i="2"/>
  <c r="BA1790" i="2"/>
  <c r="AZ1786" i="2"/>
  <c r="T1698" i="2"/>
  <c r="BJ1650" i="2"/>
  <c r="AW1786" i="2"/>
  <c r="BL1786" i="2"/>
  <c r="BI1753" i="2"/>
  <c r="BR1718" i="2"/>
  <c r="BR1719" i="2"/>
  <c r="BS1650" i="2"/>
  <c r="BD1752" i="2"/>
  <c r="T1637" i="2"/>
  <c r="BL1682" i="2"/>
  <c r="T1676" i="2"/>
  <c r="BU1611" i="2"/>
  <c r="BU1610" i="2"/>
  <c r="AZ1614" i="2"/>
  <c r="BI1646" i="2"/>
  <c r="BV1537" i="2"/>
  <c r="BV1538" i="2"/>
  <c r="BV1501" i="2"/>
  <c r="BV1502" i="2"/>
  <c r="AX1537" i="2"/>
  <c r="AX1538" i="2"/>
  <c r="BP1430" i="2"/>
  <c r="T1517" i="2"/>
  <c r="AT1502" i="2"/>
  <c r="AT1501" i="2"/>
  <c r="BF1461" i="2"/>
  <c r="AT1426" i="2"/>
  <c r="AT1427" i="2"/>
  <c r="AX1316" i="2"/>
  <c r="AX1317" i="2"/>
  <c r="BA1461" i="2"/>
  <c r="BR1426" i="2"/>
  <c r="BR1427" i="2"/>
  <c r="BA1316" i="2"/>
  <c r="T1035" i="2"/>
  <c r="S1023" i="2"/>
  <c r="AX1023" i="2" s="1"/>
  <c r="S1019" i="2"/>
  <c r="AX1019" i="2" s="1"/>
  <c r="S1015" i="2"/>
  <c r="AX1015" i="2" s="1"/>
  <c r="S1011" i="2"/>
  <c r="AX1011" i="2" s="1"/>
  <c r="S1007" i="2"/>
  <c r="AX1007" i="2" s="1"/>
  <c r="S1003" i="2"/>
  <c r="AX1003" i="2" s="1"/>
  <c r="AX1055" i="2" s="1"/>
  <c r="AX1054" i="2" s="1"/>
  <c r="AX1053" i="2" s="1"/>
  <c r="S999" i="2"/>
  <c r="BJ999" i="2" s="1"/>
  <c r="S995" i="2"/>
  <c r="BJ995" i="2" s="1"/>
  <c r="T1046" i="2"/>
  <c r="T1043" i="2"/>
  <c r="S1033" i="2"/>
  <c r="AX1033" i="2" s="1"/>
  <c r="T1032" i="2"/>
  <c r="S1026" i="2"/>
  <c r="AX1026" i="2" s="1"/>
  <c r="S1037" i="2"/>
  <c r="AX1037" i="2" s="1"/>
  <c r="S918" i="2"/>
  <c r="S975" i="2"/>
  <c r="BJ975" i="2" s="1"/>
  <c r="S967" i="2"/>
  <c r="BG967" i="2" s="1"/>
  <c r="S959" i="2"/>
  <c r="BG959" i="2" s="1"/>
  <c r="S987" i="2"/>
  <c r="BJ987" i="2" s="1"/>
  <c r="S951" i="2"/>
  <c r="BG951" i="2" s="1"/>
  <c r="S979" i="2"/>
  <c r="BJ979" i="2" s="1"/>
  <c r="S971" i="2"/>
  <c r="BG971" i="2" s="1"/>
  <c r="S963" i="2"/>
  <c r="BG963" i="2" s="1"/>
  <c r="S935" i="2"/>
  <c r="BG935" i="2" s="1"/>
  <c r="S927" i="2"/>
  <c r="BG927" i="2" s="1"/>
  <c r="T1047" i="2"/>
  <c r="S991" i="2"/>
  <c r="BJ991" i="2" s="1"/>
  <c r="S955" i="2"/>
  <c r="BG955" i="2" s="1"/>
  <c r="S939" i="2"/>
  <c r="BG939" i="2" s="1"/>
  <c r="S923" i="2"/>
  <c r="BD923" i="2" s="1"/>
  <c r="T1036" i="2"/>
  <c r="R1049" i="2"/>
  <c r="S1029" i="2"/>
  <c r="AX1029" i="2" s="1"/>
  <c r="S983" i="2"/>
  <c r="BJ983" i="2" s="1"/>
  <c r="S920" i="2"/>
  <c r="BD920" i="2" s="1"/>
  <c r="S919" i="2"/>
  <c r="BD919" i="2" s="1"/>
  <c r="S992" i="2"/>
  <c r="BJ992" i="2" s="1"/>
  <c r="S925" i="2"/>
  <c r="BG925" i="2" s="1"/>
  <c r="S943" i="2"/>
  <c r="BG943" i="2" s="1"/>
  <c r="T1025" i="2"/>
  <c r="S937" i="2"/>
  <c r="BG937" i="2" s="1"/>
  <c r="S962" i="2"/>
  <c r="BG962" i="2" s="1"/>
  <c r="S938" i="2"/>
  <c r="BG938" i="2" s="1"/>
  <c r="S1000" i="2"/>
  <c r="BJ1000" i="2" s="1"/>
  <c r="T1034" i="2"/>
  <c r="S954" i="2"/>
  <c r="BG954" i="2" s="1"/>
  <c r="T1041" i="2"/>
  <c r="S931" i="2"/>
  <c r="BG931" i="2" s="1"/>
  <c r="S1009" i="2"/>
  <c r="AX1009" i="2" s="1"/>
  <c r="S976" i="2"/>
  <c r="BJ976" i="2" s="1"/>
  <c r="S981" i="2"/>
  <c r="BJ981" i="2" s="1"/>
  <c r="S922" i="2"/>
  <c r="BD922" i="2" s="1"/>
  <c r="S930" i="2"/>
  <c r="BG930" i="2" s="1"/>
  <c r="S997" i="2"/>
  <c r="BJ997" i="2" s="1"/>
  <c r="S961" i="2"/>
  <c r="BG961" i="2" s="1"/>
  <c r="S1017" i="2"/>
  <c r="AX1017" i="2" s="1"/>
  <c r="S936" i="2"/>
  <c r="BG936" i="2" s="1"/>
  <c r="S1012" i="2"/>
  <c r="AX1012" i="2" s="1"/>
  <c r="S953" i="2"/>
  <c r="BG953" i="2" s="1"/>
  <c r="S1039" i="2"/>
  <c r="AX1039" i="2" s="1"/>
  <c r="S986" i="2"/>
  <c r="BJ986" i="2" s="1"/>
  <c r="S949" i="2"/>
  <c r="BG949" i="2" s="1"/>
  <c r="T1030" i="2"/>
  <c r="S993" i="2"/>
  <c r="BJ993" i="2" s="1"/>
  <c r="S973" i="2"/>
  <c r="BG973" i="2" s="1"/>
  <c r="T1045" i="2"/>
  <c r="T1027" i="2"/>
  <c r="T736" i="2"/>
  <c r="T732" i="2"/>
  <c r="S1120" i="2"/>
  <c r="BD1120" i="2" s="1"/>
  <c r="S1155" i="2"/>
  <c r="BJ1155" i="2" s="1"/>
  <c r="S1064" i="2"/>
  <c r="S942" i="2"/>
  <c r="BG942" i="2" s="1"/>
  <c r="S1022" i="2"/>
  <c r="AX1022" i="2" s="1"/>
  <c r="T1380" i="2"/>
  <c r="BF1380" i="2"/>
  <c r="S1031" i="2"/>
  <c r="AX1031" i="2" s="1"/>
  <c r="BI875" i="2"/>
  <c r="T875" i="2"/>
  <c r="T827" i="2"/>
  <c r="BF827" i="2"/>
  <c r="S1004" i="2"/>
  <c r="AX1004" i="2" s="1"/>
  <c r="S970" i="2"/>
  <c r="BG970" i="2" s="1"/>
  <c r="AZ907" i="2"/>
  <c r="BI617" i="2"/>
  <c r="BI616" i="2"/>
  <c r="BI620" i="2"/>
  <c r="AT580" i="2"/>
  <c r="AT581" i="2"/>
  <c r="T1953" i="2"/>
  <c r="S1930" i="2" a="1"/>
  <c r="S1930" i="2" s="1"/>
  <c r="S1926" i="2"/>
  <c r="S1931" i="2"/>
  <c r="BV1858" i="2"/>
  <c r="BV1857" i="2"/>
  <c r="BG1722" i="2"/>
  <c r="BV1718" i="2"/>
  <c r="BV1719" i="2"/>
  <c r="BO1682" i="2"/>
  <c r="BO1683" i="2"/>
  <c r="AZ1718" i="2"/>
  <c r="AZ1719" i="2"/>
  <c r="BO1718" i="2"/>
  <c r="BO1719" i="2"/>
  <c r="R1577" i="2"/>
  <c r="BS1646" i="2"/>
  <c r="BS1647" i="2"/>
  <c r="BD1610" i="2"/>
  <c r="BC1611" i="2"/>
  <c r="BC1610" i="2"/>
  <c r="BS1575" i="2"/>
  <c r="BS1576" i="2"/>
  <c r="AZ1610" i="2"/>
  <c r="AZ1611" i="2"/>
  <c r="BP1610" i="2"/>
  <c r="BP1611" i="2"/>
  <c r="BD1501" i="2"/>
  <c r="BD1502" i="2"/>
  <c r="AX1501" i="2"/>
  <c r="AX1502" i="2"/>
  <c r="BI1538" i="2"/>
  <c r="BI1537" i="2"/>
  <c r="BI1432" i="2"/>
  <c r="BI1431" i="2" s="1"/>
  <c r="BI1430" i="2" s="1"/>
  <c r="AX1462" i="2"/>
  <c r="AX1461" i="2"/>
  <c r="BM1430" i="2"/>
  <c r="BS1430" i="2"/>
  <c r="AZ1427" i="2"/>
  <c r="AZ1426" i="2"/>
  <c r="BF1317" i="2"/>
  <c r="BF1316" i="2"/>
  <c r="T808" i="2"/>
  <c r="T804" i="2"/>
  <c r="BP1211" i="2"/>
  <c r="BP1212" i="2"/>
  <c r="BS1317" i="2"/>
  <c r="BS1316" i="2"/>
  <c r="R1051" i="2"/>
  <c r="T738" i="2"/>
  <c r="BR1211" i="2"/>
  <c r="BR1212" i="2"/>
  <c r="T1029" i="2"/>
  <c r="AU1049" i="2"/>
  <c r="AU1050" i="2"/>
  <c r="S941" i="2"/>
  <c r="BG941" i="2" s="1"/>
  <c r="S1014" i="2"/>
  <c r="AX1014" i="2" s="1"/>
  <c r="S1001" i="2"/>
  <c r="BJ1001" i="2" s="1"/>
  <c r="S946" i="2"/>
  <c r="BG946" i="2" s="1"/>
  <c r="S994" i="2"/>
  <c r="BJ994" i="2" s="1"/>
  <c r="S1038" i="2"/>
  <c r="AX1038" i="2" s="1"/>
  <c r="S996" i="2"/>
  <c r="BJ996" i="2" s="1"/>
  <c r="S989" i="2"/>
  <c r="BJ989" i="2" s="1"/>
  <c r="S924" i="2"/>
  <c r="BD924" i="2" s="1"/>
  <c r="T854" i="2"/>
  <c r="BF854" i="2"/>
  <c r="S1005" i="2"/>
  <c r="AX1005" i="2" s="1"/>
  <c r="S956" i="2"/>
  <c r="BG956" i="2" s="1"/>
  <c r="S1006" i="2"/>
  <c r="AX1006" i="2" s="1"/>
  <c r="BS685" i="2"/>
  <c r="BS684" i="2"/>
  <c r="BS688" i="2"/>
  <c r="T766" i="2"/>
  <c r="AZ654" i="2"/>
  <c r="AZ651" i="2"/>
  <c r="AZ650" i="2"/>
  <c r="BS581" i="2"/>
  <c r="BS580" i="2"/>
  <c r="BF440" i="2"/>
  <c r="BF439" i="2" s="1"/>
  <c r="BF438" i="2" s="1"/>
  <c r="S1790" i="2"/>
  <c r="S1789" i="2" a="1"/>
  <c r="S1789" i="2" s="1"/>
  <c r="S1785" i="2"/>
  <c r="BV1786" i="2"/>
  <c r="BV1787" i="2"/>
  <c r="T1766" i="2"/>
  <c r="BR1610" i="2"/>
  <c r="BR1611" i="2"/>
  <c r="AX1931" i="2"/>
  <c r="BL1893" i="2"/>
  <c r="BL1894" i="2"/>
  <c r="BG1786" i="2"/>
  <c r="BG1787" i="2"/>
  <c r="BF1857" i="2"/>
  <c r="BF1858" i="2"/>
  <c r="BF1683" i="2"/>
  <c r="BF1682" i="2"/>
  <c r="BJ1897" i="2"/>
  <c r="AX1893" i="2"/>
  <c r="AX1894" i="2"/>
  <c r="BP1961" i="2"/>
  <c r="BO1962" i="2"/>
  <c r="BP1858" i="2"/>
  <c r="T1956" i="2"/>
  <c r="AT1893" i="2"/>
  <c r="AT1894" i="2"/>
  <c r="T1957" i="2"/>
  <c r="AU1857" i="2"/>
  <c r="BL1861" i="2"/>
  <c r="R1895" i="2"/>
  <c r="T1880" i="2"/>
  <c r="T1777" i="2"/>
  <c r="T1776" i="2"/>
  <c r="T1765" i="2"/>
  <c r="T1773" i="2"/>
  <c r="T1783" i="2"/>
  <c r="T1771" i="2"/>
  <c r="T1782" i="2"/>
  <c r="T1770" i="2"/>
  <c r="R1786" i="2"/>
  <c r="R1787" i="2"/>
  <c r="T1780" i="2"/>
  <c r="T1768" i="2"/>
  <c r="T1779" i="2"/>
  <c r="T1767" i="2"/>
  <c r="BF1893" i="2"/>
  <c r="BF1894" i="2"/>
  <c r="T1846" i="2"/>
  <c r="T1845" i="2"/>
  <c r="T1844" i="2"/>
  <c r="T1855" i="2"/>
  <c r="T1843" i="2"/>
  <c r="T1854" i="2"/>
  <c r="T1842" i="2"/>
  <c r="R1857" i="2"/>
  <c r="R1858" i="2"/>
  <c r="T1849" i="2"/>
  <c r="T1837" i="2"/>
  <c r="T1848" i="2"/>
  <c r="BV1861" i="2"/>
  <c r="BU1787" i="2"/>
  <c r="BU1786" i="2"/>
  <c r="T1736" i="2"/>
  <c r="AT1897" i="2"/>
  <c r="S1685" i="2" a="1"/>
  <c r="S1685" i="2" s="1"/>
  <c r="S1684" i="2" s="1"/>
  <c r="S1681" i="2"/>
  <c r="S1686" i="2"/>
  <c r="AZ1753" i="2"/>
  <c r="BI1719" i="2"/>
  <c r="BI1718" i="2"/>
  <c r="AX1790" i="2"/>
  <c r="R1718" i="2"/>
  <c r="T1713" i="2"/>
  <c r="R1719" i="2"/>
  <c r="T1712" i="2"/>
  <c r="T1709" i="2"/>
  <c r="T1707" i="2"/>
  <c r="T1706" i="2"/>
  <c r="T1716" i="2"/>
  <c r="T1704" i="2"/>
  <c r="T1715" i="2"/>
  <c r="T1703" i="2"/>
  <c r="T1701" i="2"/>
  <c r="T1697" i="2"/>
  <c r="T1700" i="2"/>
  <c r="BF1718" i="2"/>
  <c r="BF1719" i="2"/>
  <c r="BM1787" i="2"/>
  <c r="BJ1753" i="2"/>
  <c r="BS1718" i="2"/>
  <c r="BS1719" i="2"/>
  <c r="R1823" i="2"/>
  <c r="T1633" i="2"/>
  <c r="BA1646" i="2"/>
  <c r="BA1647" i="2"/>
  <c r="BU1650" i="2"/>
  <c r="T1669" i="2"/>
  <c r="BV1576" i="2"/>
  <c r="BV1575" i="2"/>
  <c r="BV1682" i="2"/>
  <c r="BA1575" i="2"/>
  <c r="BA1576" i="2"/>
  <c r="AU1610" i="2"/>
  <c r="AU1611" i="2"/>
  <c r="BO1610" i="2"/>
  <c r="BO1611" i="2"/>
  <c r="BP1683" i="2"/>
  <c r="BL1611" i="2"/>
  <c r="BL1610" i="2"/>
  <c r="T1454" i="2"/>
  <c r="R1461" i="2"/>
  <c r="R1462" i="2"/>
  <c r="T1446" i="2"/>
  <c r="T1444" i="2"/>
  <c r="T1455" i="2"/>
  <c r="T1443" i="2"/>
  <c r="T1452" i="2"/>
  <c r="T1442" i="2"/>
  <c r="T1449" i="2"/>
  <c r="T1440" i="2"/>
  <c r="T1448" i="2"/>
  <c r="T1458" i="2"/>
  <c r="T876" i="2"/>
  <c r="T872" i="2"/>
  <c r="T1362" i="2"/>
  <c r="T1366" i="2"/>
  <c r="BS1501" i="2"/>
  <c r="BS1502" i="2"/>
  <c r="BU1465" i="2"/>
  <c r="BO1502" i="2"/>
  <c r="BO1501" i="2"/>
  <c r="BI1541" i="2"/>
  <c r="BS1610" i="2"/>
  <c r="AU1427" i="2"/>
  <c r="AU1426" i="2"/>
  <c r="BA1426" i="2"/>
  <c r="BA1427" i="2"/>
  <c r="BO1462" i="2"/>
  <c r="R1316" i="2"/>
  <c r="T1100" i="2"/>
  <c r="T802" i="2"/>
  <c r="AZ1317" i="2"/>
  <c r="AZ1316" i="2"/>
  <c r="BP1320" i="2"/>
  <c r="S1028" i="2"/>
  <c r="AX1028" i="2" s="1"/>
  <c r="S1035" i="2"/>
  <c r="AX1035" i="2" s="1"/>
  <c r="BS1211" i="2"/>
  <c r="BS1212" i="2"/>
  <c r="S1150" i="2"/>
  <c r="BG1150" i="2" s="1"/>
  <c r="AZ1217" i="2"/>
  <c r="AZ1216" i="2" s="1"/>
  <c r="AZ1215" i="2" s="1"/>
  <c r="S1124" i="2"/>
  <c r="AX1124" i="2" s="1"/>
  <c r="S1041" i="2"/>
  <c r="AX1041" i="2" s="1"/>
  <c r="BO1211" i="2"/>
  <c r="BO1212" i="2"/>
  <c r="S1090" i="2"/>
  <c r="BG1090" i="2" s="1"/>
  <c r="S1042" i="2"/>
  <c r="AX1042" i="2" s="1"/>
  <c r="S984" i="2"/>
  <c r="BJ984" i="2" s="1"/>
  <c r="S947" i="2"/>
  <c r="BG947" i="2" s="1"/>
  <c r="S1024" i="2"/>
  <c r="AX1024" i="2" s="1"/>
  <c r="T863" i="2"/>
  <c r="BF863" i="2"/>
  <c r="BU904" i="2"/>
  <c r="BU903" i="2"/>
  <c r="S978" i="2"/>
  <c r="BJ978" i="2" s="1"/>
  <c r="BL1049" i="2"/>
  <c r="BL1050" i="2"/>
  <c r="BJ684" i="2"/>
  <c r="BJ685" i="2"/>
  <c r="BC580" i="2"/>
  <c r="BC581" i="2"/>
  <c r="BU215" i="2"/>
  <c r="BU211" i="2"/>
  <c r="BU212" i="2"/>
  <c r="T1774" i="2"/>
  <c r="BV1610" i="2"/>
  <c r="BO903" i="2"/>
  <c r="BO904" i="2"/>
  <c r="BR904" i="2"/>
  <c r="BR903" i="2"/>
  <c r="BD1786" i="2"/>
  <c r="BD1787" i="2"/>
  <c r="BR1752" i="2"/>
  <c r="AX1962" i="2"/>
  <c r="BO1961" i="2"/>
  <c r="BP1857" i="2"/>
  <c r="BM1962" i="2"/>
  <c r="BF1861" i="2"/>
  <c r="BL1857" i="2"/>
  <c r="BL1858" i="2"/>
  <c r="BV1893" i="2"/>
  <c r="BV1894" i="2"/>
  <c r="BF1786" i="2"/>
  <c r="BF1787" i="2"/>
  <c r="BL1927" i="2"/>
  <c r="BL1928" i="2"/>
  <c r="BD1857" i="2"/>
  <c r="BD1858" i="2"/>
  <c r="BC1787" i="2"/>
  <c r="BC1786" i="2"/>
  <c r="BL1821" i="2"/>
  <c r="BL1822" i="2"/>
  <c r="BM1752" i="2"/>
  <c r="BM1753" i="2"/>
  <c r="BU1753" i="2"/>
  <c r="T1805" i="2"/>
  <c r="S1645" i="2"/>
  <c r="S1648" i="2" s="1"/>
  <c r="AZ1752" i="2"/>
  <c r="T1743" i="2"/>
  <c r="R1720" i="2"/>
  <c r="BM1786" i="2"/>
  <c r="BD1718" i="2"/>
  <c r="BD1719" i="2"/>
  <c r="BJ1752" i="2"/>
  <c r="AW1682" i="2"/>
  <c r="AW1683" i="2"/>
  <c r="BA1722" i="2"/>
  <c r="BJ1682" i="2"/>
  <c r="BJ1683" i="2"/>
  <c r="T1784" i="2"/>
  <c r="BJ1579" i="2"/>
  <c r="AW1718" i="2"/>
  <c r="AW1719" i="2"/>
  <c r="BV1611" i="2"/>
  <c r="BC1650" i="2"/>
  <c r="AW1555" i="2"/>
  <c r="S1555" i="2"/>
  <c r="AX1555" i="2" s="1"/>
  <c r="T1555" i="2"/>
  <c r="BM1537" i="2"/>
  <c r="BM1538" i="2"/>
  <c r="T1670" i="2"/>
  <c r="BD1576" i="2"/>
  <c r="BD1575" i="2"/>
  <c r="BV1683" i="2"/>
  <c r="BU1683" i="2"/>
  <c r="BO1575" i="2"/>
  <c r="BO1576" i="2"/>
  <c r="AT1614" i="2"/>
  <c r="S1650" i="2"/>
  <c r="BP1682" i="2"/>
  <c r="T1678" i="2"/>
  <c r="T1457" i="2"/>
  <c r="BA1501" i="2"/>
  <c r="BA1502" i="2"/>
  <c r="T1453" i="2"/>
  <c r="AW1505" i="2"/>
  <c r="S1536" i="2"/>
  <c r="BF1541" i="2"/>
  <c r="BV1461" i="2"/>
  <c r="BV1462" i="2"/>
  <c r="T1494" i="2"/>
  <c r="AU1430" i="2"/>
  <c r="BO1320" i="2"/>
  <c r="BR1317" i="2"/>
  <c r="BR1316" i="2"/>
  <c r="BA1430" i="2"/>
  <c r="BO1461" i="2"/>
  <c r="R1318" i="2"/>
  <c r="T810" i="2"/>
  <c r="BV1316" i="2"/>
  <c r="BV1211" i="2"/>
  <c r="BV1212" i="2"/>
  <c r="T1040" i="2"/>
  <c r="S1109" i="2"/>
  <c r="BD1109" i="2" s="1"/>
  <c r="S1130" i="2"/>
  <c r="AU1130" i="2" s="1"/>
  <c r="S1144" i="2"/>
  <c r="BJ1144" i="2" s="1"/>
  <c r="S1108" i="2"/>
  <c r="AU1108" i="2" s="1"/>
  <c r="T1038" i="2"/>
  <c r="S960" i="2"/>
  <c r="BG960" i="2" s="1"/>
  <c r="T1372" i="2"/>
  <c r="BF1372" i="2"/>
  <c r="T1157" i="2"/>
  <c r="R1427" i="2"/>
  <c r="T859" i="2"/>
  <c r="BF859" i="2"/>
  <c r="S932" i="2"/>
  <c r="BG932" i="2" s="1"/>
  <c r="AT1050" i="2"/>
  <c r="AT1049" i="2"/>
  <c r="BF846" i="2"/>
  <c r="AW909" i="2"/>
  <c r="AW908" i="2" s="1"/>
  <c r="AW907" i="2" s="1"/>
  <c r="BO581" i="2"/>
  <c r="BO580" i="2"/>
  <c r="AZ550" i="2"/>
  <c r="AZ547" i="2"/>
  <c r="AZ546" i="2"/>
  <c r="BC507" i="2"/>
  <c r="BC506" i="2"/>
  <c r="BC510" i="2"/>
  <c r="BP1576" i="2"/>
  <c r="BP1575" i="2"/>
  <c r="BP1501" i="2"/>
  <c r="BP1502" i="2"/>
  <c r="T858" i="2"/>
  <c r="BF858" i="2"/>
  <c r="AU1893" i="2"/>
  <c r="AU1894" i="2"/>
  <c r="T1951" i="2"/>
  <c r="AZ1822" i="2"/>
  <c r="AX1961" i="2"/>
  <c r="AW1962" i="2"/>
  <c r="AX1858" i="2"/>
  <c r="BM1961" i="2"/>
  <c r="BD1821" i="2"/>
  <c r="BD1822" i="2"/>
  <c r="BL1961" i="2"/>
  <c r="T1879" i="2"/>
  <c r="T1944" i="2"/>
  <c r="BD1893" i="2"/>
  <c r="BD1894" i="2"/>
  <c r="AT1927" i="2"/>
  <c r="AT1928" i="2"/>
  <c r="T1925" i="2"/>
  <c r="T1913" i="2"/>
  <c r="T1924" i="2"/>
  <c r="T1912" i="2"/>
  <c r="T1923" i="2"/>
  <c r="T1911" i="2"/>
  <c r="R1927" i="2"/>
  <c r="T1922" i="2"/>
  <c r="T1910" i="2"/>
  <c r="R1928" i="2"/>
  <c r="T1921" i="2"/>
  <c r="T1909" i="2"/>
  <c r="T1920" i="2"/>
  <c r="T1908" i="2"/>
  <c r="T1926" i="2" s="1"/>
  <c r="T1916" i="2"/>
  <c r="T1914" i="2"/>
  <c r="T1915" i="2"/>
  <c r="BD1861" i="2"/>
  <c r="AU1752" i="2"/>
  <c r="AU1753" i="2"/>
  <c r="BU1752" i="2"/>
  <c r="BU1790" i="2"/>
  <c r="BJ1722" i="2"/>
  <c r="AT1683" i="2"/>
  <c r="AT1682" i="2"/>
  <c r="T1810" i="2"/>
  <c r="AU1787" i="2"/>
  <c r="T1711" i="2"/>
  <c r="BA1718" i="2"/>
  <c r="BA1719" i="2"/>
  <c r="BG1790" i="2"/>
  <c r="T1803" i="2"/>
  <c r="T1820" i="2" s="1"/>
  <c r="T1680" i="2"/>
  <c r="BR1647" i="2"/>
  <c r="BR1646" i="2"/>
  <c r="R1590" i="2"/>
  <c r="J486" i="2"/>
  <c r="L486" i="2" s="1"/>
  <c r="R486" i="2" s="1"/>
  <c r="BI1686" i="2"/>
  <c r="R1683" i="2"/>
  <c r="BU1682" i="2"/>
  <c r="AT1611" i="2"/>
  <c r="AT1610" i="2"/>
  <c r="T1626" i="2"/>
  <c r="BM1610" i="2"/>
  <c r="T1627" i="2"/>
  <c r="T1677" i="2"/>
  <c r="BL1575" i="2"/>
  <c r="BL1576" i="2"/>
  <c r="BC1538" i="2"/>
  <c r="BU1501" i="2"/>
  <c r="BU1502" i="2"/>
  <c r="BR1461" i="2"/>
  <c r="BR1462" i="2"/>
  <c r="BL1461" i="2"/>
  <c r="BL1462" i="2"/>
  <c r="AW1502" i="2"/>
  <c r="AW1501" i="2"/>
  <c r="T1532" i="2"/>
  <c r="S1540" i="2" a="1"/>
  <c r="S1540" i="2" s="1"/>
  <c r="S1539" i="2" s="1"/>
  <c r="BG1575" i="2"/>
  <c r="BF1537" i="2"/>
  <c r="BF1538" i="2"/>
  <c r="BD1461" i="2"/>
  <c r="BD1462" i="2"/>
  <c r="BG1501" i="2"/>
  <c r="BG1502" i="2"/>
  <c r="BS1320" i="2"/>
  <c r="BO1316" i="2"/>
  <c r="BO1317" i="2"/>
  <c r="BM1502" i="2"/>
  <c r="BG1320" i="2"/>
  <c r="BV1317" i="2"/>
  <c r="S1027" i="2"/>
  <c r="AX1027" i="2" s="1"/>
  <c r="S1025" i="2"/>
  <c r="AX1025" i="2" s="1"/>
  <c r="AW1210" i="2"/>
  <c r="T1042" i="2"/>
  <c r="S921" i="2"/>
  <c r="BD921" i="2" s="1"/>
  <c r="S945" i="2"/>
  <c r="BG945" i="2" s="1"/>
  <c r="S1016" i="2"/>
  <c r="AX1016" i="2" s="1"/>
  <c r="T855" i="2"/>
  <c r="BF855" i="2"/>
  <c r="S969" i="2"/>
  <c r="BG969" i="2" s="1"/>
  <c r="S1018" i="2"/>
  <c r="AX1018" i="2" s="1"/>
  <c r="S940" i="2"/>
  <c r="BG940" i="2" s="1"/>
  <c r="T806" i="2"/>
  <c r="BS904" i="2"/>
  <c r="BS903" i="2"/>
  <c r="BG580" i="2"/>
  <c r="BG581" i="2"/>
  <c r="AZ316" i="2"/>
  <c r="AZ317" i="2"/>
  <c r="BA1927" i="2"/>
  <c r="BA1928" i="2"/>
  <c r="BF1211" i="2"/>
  <c r="BF1212" i="2"/>
  <c r="BP1962" i="2"/>
  <c r="BS1822" i="2"/>
  <c r="BV1931" i="2"/>
  <c r="AW1961" i="2"/>
  <c r="AX1857" i="2"/>
  <c r="AU1962" i="2"/>
  <c r="AT1962" i="2"/>
  <c r="T1959" i="2"/>
  <c r="AT1857" i="2"/>
  <c r="AT1858" i="2"/>
  <c r="BJ1861" i="2"/>
  <c r="T1841" i="2"/>
  <c r="BF1962" i="2"/>
  <c r="T1847" i="2"/>
  <c r="BJ1927" i="2"/>
  <c r="BJ1928" i="2"/>
  <c r="T1836" i="2"/>
  <c r="R1929" i="2"/>
  <c r="T1907" i="2"/>
  <c r="T1809" i="2"/>
  <c r="T1740" i="2"/>
  <c r="BC1753" i="2"/>
  <c r="BC1790" i="2"/>
  <c r="S1722" i="2"/>
  <c r="S1721" i="2" a="1"/>
  <c r="S1721" i="2" s="1"/>
  <c r="S1717" i="2"/>
  <c r="AU1786" i="2"/>
  <c r="T1710" i="2"/>
  <c r="BC1857" i="2"/>
  <c r="BI1787" i="2"/>
  <c r="AT1686" i="2"/>
  <c r="T1734" i="2"/>
  <c r="BG1822" i="2"/>
  <c r="BM1686" i="2"/>
  <c r="AZ1647" i="2"/>
  <c r="AZ1646" i="2"/>
  <c r="T1662" i="2"/>
  <c r="T1681" i="2" s="1"/>
  <c r="R1682" i="2"/>
  <c r="T1666" i="2"/>
  <c r="AX1646" i="2"/>
  <c r="AX1647" i="2"/>
  <c r="BL1650" i="2"/>
  <c r="BR1576" i="2"/>
  <c r="BR1575" i="2"/>
  <c r="AU1579" i="2"/>
  <c r="T1642" i="2"/>
  <c r="R1646" i="2"/>
  <c r="T1641" i="2"/>
  <c r="T1629" i="2"/>
  <c r="R1647" i="2"/>
  <c r="T1640" i="2"/>
  <c r="T1628" i="2"/>
  <c r="T1635" i="2"/>
  <c r="T1636" i="2"/>
  <c r="T1625" i="2"/>
  <c r="T1630" i="2"/>
  <c r="BF1575" i="2"/>
  <c r="BF1576" i="2"/>
  <c r="BF1646" i="2"/>
  <c r="BF1647" i="2"/>
  <c r="AT1575" i="2"/>
  <c r="AT1576" i="2"/>
  <c r="BU1537" i="2"/>
  <c r="BU1538" i="2"/>
  <c r="BC1537" i="2"/>
  <c r="BU1505" i="2"/>
  <c r="BO1579" i="2"/>
  <c r="AT1461" i="2"/>
  <c r="AT1462" i="2"/>
  <c r="T1525" i="2"/>
  <c r="T1451" i="2"/>
  <c r="BG1576" i="2"/>
  <c r="BJ1501" i="2"/>
  <c r="BJ1502" i="2"/>
  <c r="BC1465" i="2"/>
  <c r="BS1505" i="2"/>
  <c r="AW1317" i="2"/>
  <c r="AW1316" i="2"/>
  <c r="BU1427" i="2"/>
  <c r="BU1426" i="2"/>
  <c r="BM1501" i="2"/>
  <c r="BO1426" i="2"/>
  <c r="BO1427" i="2"/>
  <c r="BM1215" i="2"/>
  <c r="BV1053" i="2"/>
  <c r="BS1053" i="2"/>
  <c r="S1105" i="2"/>
  <c r="BD1105" i="2" s="1"/>
  <c r="S1013" i="2"/>
  <c r="AX1013" i="2" s="1"/>
  <c r="S952" i="2"/>
  <c r="BG952" i="2" s="1"/>
  <c r="S1010" i="2"/>
  <c r="AX1010" i="2" s="1"/>
  <c r="AX1048" i="2" s="1"/>
  <c r="BI899" i="2"/>
  <c r="T899" i="2"/>
  <c r="T851" i="2"/>
  <c r="BF851" i="2"/>
  <c r="S1067" i="2"/>
  <c r="BJ1067" i="2" s="1"/>
  <c r="S990" i="2"/>
  <c r="BJ990" i="2" s="1"/>
  <c r="BG546" i="2"/>
  <c r="BG547" i="2"/>
  <c r="T277" i="2"/>
  <c r="T271" i="2"/>
  <c r="T265" i="2"/>
  <c r="R280" i="2"/>
  <c r="T259" i="2"/>
  <c r="R281" i="2"/>
  <c r="T275" i="2"/>
  <c r="T269" i="2"/>
  <c r="T263" i="2"/>
  <c r="T262" i="2"/>
  <c r="T264" i="2"/>
  <c r="T272" i="2"/>
  <c r="T273" i="2"/>
  <c r="T274" i="2"/>
  <c r="T260" i="2"/>
  <c r="T276" i="2"/>
  <c r="T270" i="2"/>
  <c r="T266" i="2"/>
  <c r="T261" i="2"/>
  <c r="T267" i="2"/>
  <c r="T268" i="2"/>
  <c r="T278" i="2"/>
  <c r="BP1893" i="2"/>
  <c r="BP1894" i="2"/>
  <c r="T823" i="2"/>
  <c r="BC823" i="2"/>
  <c r="AX474" i="2"/>
  <c r="AX470" i="2"/>
  <c r="AX471" i="2"/>
  <c r="T1881" i="2"/>
  <c r="BS1962" i="2"/>
  <c r="BS1961" i="2"/>
  <c r="BS1821" i="2"/>
  <c r="BV1927" i="2"/>
  <c r="BV1928" i="2"/>
  <c r="AU1961" i="2"/>
  <c r="AT1961" i="2"/>
  <c r="T1958" i="2"/>
  <c r="S1895" i="2"/>
  <c r="BJ1857" i="2"/>
  <c r="BJ1858" i="2"/>
  <c r="BG1857" i="2"/>
  <c r="BG1858" i="2"/>
  <c r="S1756" i="2"/>
  <c r="BG1928" i="2"/>
  <c r="BU1821" i="2"/>
  <c r="BU1822" i="2"/>
  <c r="BL1722" i="2"/>
  <c r="BU1857" i="2"/>
  <c r="AW1821" i="2"/>
  <c r="T1746" i="2"/>
  <c r="BU1719" i="2"/>
  <c r="T1781" i="2"/>
  <c r="BI1786" i="2"/>
  <c r="BO1646" i="2"/>
  <c r="BO1647" i="2"/>
  <c r="BF1753" i="2"/>
  <c r="BD1683" i="2"/>
  <c r="BD1682" i="2"/>
  <c r="BM1683" i="2"/>
  <c r="BM1682" i="2"/>
  <c r="BP1614" i="2"/>
  <c r="BG1683" i="2"/>
  <c r="AZ1575" i="2"/>
  <c r="AZ1576" i="2"/>
  <c r="BS1579" i="2"/>
  <c r="T1497" i="2"/>
  <c r="BS1538" i="2"/>
  <c r="BC1501" i="2"/>
  <c r="BC1502" i="2"/>
  <c r="BR1502" i="2"/>
  <c r="BR1501" i="2"/>
  <c r="BI1462" i="2"/>
  <c r="BI1461" i="2"/>
  <c r="AW1461" i="2"/>
  <c r="AW1462" i="2"/>
  <c r="BV1427" i="2"/>
  <c r="BV1426" i="2"/>
  <c r="BC1320" i="2"/>
  <c r="BU1317" i="2"/>
  <c r="BU1316" i="2"/>
  <c r="T1098" i="2"/>
  <c r="T918" i="2"/>
  <c r="BU1215" i="2"/>
  <c r="T1044" i="2"/>
  <c r="BS1050" i="2"/>
  <c r="BS1049" i="2"/>
  <c r="T1105" i="2"/>
  <c r="BI1049" i="2"/>
  <c r="BI1050" i="2"/>
  <c r="S1021" i="2"/>
  <c r="AX1021" i="2" s="1"/>
  <c r="S988" i="2"/>
  <c r="BJ988" i="2" s="1"/>
  <c r="BI894" i="2"/>
  <c r="T894" i="2"/>
  <c r="T847" i="2"/>
  <c r="BF847" i="2"/>
  <c r="T1039" i="2"/>
  <c r="S1092" i="2"/>
  <c r="AX1092" i="2" s="1"/>
  <c r="AW685" i="2"/>
  <c r="AW684" i="2"/>
  <c r="AW688" i="2"/>
  <c r="R684" i="2"/>
  <c r="T671" i="2"/>
  <c r="T670" i="2"/>
  <c r="T667" i="2"/>
  <c r="T666" i="2"/>
  <c r="T664" i="2"/>
  <c r="T683" i="2" s="1"/>
  <c r="R685" i="2"/>
  <c r="T682" i="2"/>
  <c r="T679" i="2"/>
  <c r="T678" i="2"/>
  <c r="T676" i="2"/>
  <c r="T674" i="2"/>
  <c r="T673" i="2"/>
  <c r="T680" i="2"/>
  <c r="T668" i="2"/>
  <c r="T665" i="2"/>
  <c r="T669" i="2"/>
  <c r="T675" i="2"/>
  <c r="T677" i="2"/>
  <c r="T681" i="2"/>
  <c r="T672" i="2"/>
  <c r="BA616" i="2"/>
  <c r="BA617" i="2"/>
  <c r="AZ904" i="2"/>
  <c r="AZ903" i="2"/>
  <c r="BM547" i="2"/>
  <c r="BM546" i="2"/>
  <c r="BI1927" i="2"/>
  <c r="BI1928" i="2"/>
  <c r="BJ1962" i="2"/>
  <c r="T1875" i="2"/>
  <c r="S1861" i="2"/>
  <c r="S1860" i="2" a="1"/>
  <c r="S1860" i="2" s="1"/>
  <c r="S1859" i="2" s="1"/>
  <c r="S1856" i="2"/>
  <c r="BO1822" i="2"/>
  <c r="BO1821" i="2"/>
  <c r="BP1752" i="2"/>
  <c r="BP1753" i="2"/>
  <c r="T1891" i="2"/>
  <c r="BM1822" i="2"/>
  <c r="BM1821" i="2"/>
  <c r="BO1753" i="2"/>
  <c r="BO1752" i="2"/>
  <c r="BC1821" i="2"/>
  <c r="BC1822" i="2"/>
  <c r="BU1858" i="2"/>
  <c r="BS1683" i="2"/>
  <c r="BS1682" i="2"/>
  <c r="BL1753" i="2"/>
  <c r="BJ1787" i="2"/>
  <c r="AW1646" i="2"/>
  <c r="AW1647" i="2"/>
  <c r="BJ1575" i="2"/>
  <c r="BJ1576" i="2"/>
  <c r="BG1611" i="2"/>
  <c r="BG1610" i="2"/>
  <c r="BM1611" i="2"/>
  <c r="BG1682" i="2"/>
  <c r="BF1686" i="2"/>
  <c r="BU1575" i="2"/>
  <c r="BU1576" i="2"/>
  <c r="AU1650" i="2"/>
  <c r="BJ1646" i="2"/>
  <c r="BJ1647" i="2"/>
  <c r="BG1537" i="2"/>
  <c r="BG1538" i="2"/>
  <c r="BO1538" i="2"/>
  <c r="BO1537" i="2"/>
  <c r="BJ1610" i="2"/>
  <c r="BJ1611" i="2"/>
  <c r="AZ1502" i="2"/>
  <c r="AZ1501" i="2"/>
  <c r="S1504" i="2" a="1"/>
  <c r="S1504" i="2" s="1"/>
  <c r="S1503" i="2" s="1"/>
  <c r="S1500" i="2"/>
  <c r="S1505" i="2"/>
  <c r="BD1650" i="2"/>
  <c r="BG1462" i="2"/>
  <c r="BF1320" i="2"/>
  <c r="AX1465" i="2"/>
  <c r="AW1426" i="2"/>
  <c r="AW1427" i="2"/>
  <c r="BU1211" i="2"/>
  <c r="BU1212" i="2"/>
  <c r="T1102" i="2"/>
  <c r="S1043" i="2"/>
  <c r="AX1043" i="2" s="1"/>
  <c r="S1040" i="2"/>
  <c r="AX1040" i="2" s="1"/>
  <c r="S985" i="2"/>
  <c r="BJ985" i="2" s="1"/>
  <c r="S950" i="2"/>
  <c r="BG950" i="2" s="1"/>
  <c r="T843" i="2"/>
  <c r="S843" i="2"/>
  <c r="BG843" i="2" s="1"/>
  <c r="BF843" i="2"/>
  <c r="AU1053" i="2"/>
  <c r="BI878" i="2"/>
  <c r="T878" i="2"/>
  <c r="T830" i="2"/>
  <c r="BF830" i="2"/>
  <c r="S972" i="2"/>
  <c r="BG972" i="2" s="1"/>
  <c r="S934" i="2"/>
  <c r="BG934" i="2" s="1"/>
  <c r="BM1049" i="2"/>
  <c r="BM1050" i="2"/>
  <c r="T730" i="2"/>
  <c r="BF580" i="2"/>
  <c r="BF581" i="2"/>
  <c r="S1961" i="2"/>
  <c r="S1962" i="2"/>
  <c r="BM1893" i="2"/>
  <c r="BM1894" i="2"/>
  <c r="BG1718" i="2"/>
  <c r="BG1719" i="2"/>
  <c r="T1315" i="2"/>
  <c r="T1317" i="2"/>
  <c r="T871" i="2"/>
  <c r="BF871" i="2"/>
  <c r="BA1962" i="2"/>
  <c r="BA1961" i="2"/>
  <c r="BD1927" i="2"/>
  <c r="BD1928" i="2"/>
  <c r="BU1927" i="2"/>
  <c r="BU1928" i="2"/>
  <c r="BP1822" i="2"/>
  <c r="BP1821" i="2"/>
  <c r="BR1927" i="2"/>
  <c r="BR1928" i="2"/>
  <c r="BJ1961" i="2"/>
  <c r="BU1893" i="2"/>
  <c r="BU1894" i="2"/>
  <c r="AX1752" i="2"/>
  <c r="AX1753" i="2"/>
  <c r="T1887" i="2"/>
  <c r="AW1753" i="2"/>
  <c r="AW1752" i="2"/>
  <c r="BM1718" i="2"/>
  <c r="BM1719" i="2"/>
  <c r="T1806" i="2"/>
  <c r="BR1787" i="2"/>
  <c r="BS1686" i="2"/>
  <c r="BO1787" i="2"/>
  <c r="BL1752" i="2"/>
  <c r="BC1719" i="2"/>
  <c r="BJ1786" i="2"/>
  <c r="BI1610" i="2"/>
  <c r="BI1611" i="2"/>
  <c r="AU1683" i="2"/>
  <c r="AU1682" i="2"/>
  <c r="R1593" i="2"/>
  <c r="J489" i="2"/>
  <c r="L489" i="2" s="1"/>
  <c r="R489" i="2" s="1"/>
  <c r="BO1650" i="2"/>
  <c r="BP1646" i="2"/>
  <c r="BP1647" i="2"/>
  <c r="BC1575" i="2"/>
  <c r="BC1576" i="2"/>
  <c r="BL1646" i="2"/>
  <c r="BL1647" i="2"/>
  <c r="BP1579" i="2"/>
  <c r="BG1646" i="2"/>
  <c r="BG1647" i="2"/>
  <c r="AW1537" i="2"/>
  <c r="AW1538" i="2"/>
  <c r="AZ1538" i="2"/>
  <c r="AZ1537" i="2"/>
  <c r="BP1462" i="2"/>
  <c r="BP1461" i="2"/>
  <c r="BL1538" i="2"/>
  <c r="BL1537" i="2"/>
  <c r="T1480" i="2"/>
  <c r="BU1461" i="2"/>
  <c r="BU1462" i="2"/>
  <c r="AU1465" i="2"/>
  <c r="BG1461" i="2"/>
  <c r="BM1316" i="2"/>
  <c r="BM1317" i="2"/>
  <c r="BS1462" i="2"/>
  <c r="BP1426" i="2"/>
  <c r="BP1427" i="2"/>
  <c r="AW1430" i="2"/>
  <c r="BI1212" i="2"/>
  <c r="BI1211" i="2"/>
  <c r="BA1050" i="2"/>
  <c r="BA1049" i="2"/>
  <c r="T1069" i="2"/>
  <c r="BO1050" i="2"/>
  <c r="BO1049" i="2"/>
  <c r="AT1217" i="2"/>
  <c r="AT1216" i="2" s="1"/>
  <c r="AT1215" i="2" s="1"/>
  <c r="AT1210" i="2"/>
  <c r="BC1049" i="2"/>
  <c r="BC1050" i="2"/>
  <c r="S974" i="2"/>
  <c r="BJ974" i="2" s="1"/>
  <c r="T1096" i="2"/>
  <c r="S980" i="2"/>
  <c r="BJ980" i="2" s="1"/>
  <c r="BG616" i="2"/>
  <c r="BG617" i="2"/>
  <c r="AU470" i="2"/>
  <c r="AU471" i="2"/>
  <c r="AU474" i="2"/>
  <c r="BD507" i="2"/>
  <c r="BD506" i="2"/>
  <c r="BS1426" i="2"/>
  <c r="BS1427" i="2"/>
  <c r="BF1822" i="2"/>
  <c r="BF1821" i="2"/>
  <c r="T1940" i="2"/>
  <c r="T1949" i="2"/>
  <c r="T1948" i="2"/>
  <c r="T1947" i="2"/>
  <c r="R1961" i="2"/>
  <c r="R1962" i="2"/>
  <c r="T1955" i="2"/>
  <c r="T1943" i="2"/>
  <c r="T1954" i="2"/>
  <c r="T1942" i="2"/>
  <c r="T1952" i="2"/>
  <c r="BF1927" i="2"/>
  <c r="BL1897" i="2"/>
  <c r="BR1821" i="2"/>
  <c r="BC1927" i="2"/>
  <c r="BC1928" i="2"/>
  <c r="BP1825" i="2"/>
  <c r="BA1931" i="2"/>
  <c r="T1739" i="2"/>
  <c r="T1750" i="2"/>
  <c r="T1738" i="2"/>
  <c r="R1752" i="2"/>
  <c r="T1747" i="2"/>
  <c r="T1735" i="2"/>
  <c r="R1753" i="2"/>
  <c r="T1745" i="2"/>
  <c r="T1733" i="2"/>
  <c r="T1744" i="2"/>
  <c r="T1732" i="2"/>
  <c r="T1742" i="2"/>
  <c r="T1731" i="2"/>
  <c r="T1741" i="2"/>
  <c r="AZ1927" i="2"/>
  <c r="AZ1928" i="2"/>
  <c r="BP1927" i="2"/>
  <c r="BP1928" i="2"/>
  <c r="T1941" i="2"/>
  <c r="T1819" i="2"/>
  <c r="BV1821" i="2"/>
  <c r="BV1822" i="2"/>
  <c r="BC1893" i="2"/>
  <c r="BC1894" i="2"/>
  <c r="BF1825" i="2"/>
  <c r="BS1894" i="2"/>
  <c r="T1813" i="2"/>
  <c r="BR1893" i="2"/>
  <c r="BR1894" i="2"/>
  <c r="BS1786" i="2"/>
  <c r="BS1787" i="2"/>
  <c r="T1804" i="2"/>
  <c r="AU1722" i="2"/>
  <c r="T1772" i="2"/>
  <c r="BR1786" i="2"/>
  <c r="BA1683" i="2"/>
  <c r="BA1682" i="2"/>
  <c r="BO1786" i="2"/>
  <c r="AT1753" i="2"/>
  <c r="AT1821" i="2"/>
  <c r="BC1718" i="2"/>
  <c r="T1749" i="2"/>
  <c r="BP1718" i="2"/>
  <c r="BP1719" i="2"/>
  <c r="BV1752" i="2"/>
  <c r="BU1646" i="2"/>
  <c r="BU1647" i="2"/>
  <c r="AW1558" i="2"/>
  <c r="S1558" i="2"/>
  <c r="AX1558" i="2" s="1"/>
  <c r="T1558" i="2"/>
  <c r="BF1610" i="2"/>
  <c r="BF1611" i="2"/>
  <c r="AW1650" i="2"/>
  <c r="BM1647" i="2"/>
  <c r="BM1646" i="2"/>
  <c r="R1537" i="2"/>
  <c r="R1538" i="2"/>
  <c r="T1535" i="2"/>
  <c r="T1527" i="2"/>
  <c r="T1521" i="2"/>
  <c r="T1533" i="2"/>
  <c r="T1526" i="2"/>
  <c r="T1520" i="2"/>
  <c r="T1531" i="2"/>
  <c r="T1530" i="2"/>
  <c r="T1524" i="2"/>
  <c r="T1518" i="2"/>
  <c r="T1536" i="2" s="1"/>
  <c r="T1528" i="2"/>
  <c r="T1522" i="2"/>
  <c r="AT1646" i="2"/>
  <c r="AT1647" i="2"/>
  <c r="T1671" i="2"/>
  <c r="BD1538" i="2"/>
  <c r="BD1537" i="2"/>
  <c r="T1674" i="2"/>
  <c r="BM1575" i="2"/>
  <c r="BM1576" i="2"/>
  <c r="BV1646" i="2"/>
  <c r="BV1647" i="2"/>
  <c r="BL1541" i="2"/>
  <c r="BF1501" i="2"/>
  <c r="BF1502" i="2"/>
  <c r="BM1461" i="2"/>
  <c r="BM1462" i="2"/>
  <c r="T1529" i="2"/>
  <c r="BJ1461" i="2"/>
  <c r="BJ1462" i="2"/>
  <c r="AT1538" i="2"/>
  <c r="AT1537" i="2"/>
  <c r="BI1465" i="2"/>
  <c r="BL1502" i="2"/>
  <c r="BL1501" i="2"/>
  <c r="T1498" i="2"/>
  <c r="T1492" i="2"/>
  <c r="T1486" i="2"/>
  <c r="R1501" i="2"/>
  <c r="R1502" i="2"/>
  <c r="T1496" i="2"/>
  <c r="T1493" i="2"/>
  <c r="T1490" i="2"/>
  <c r="T1488" i="2"/>
  <c r="T1487" i="2"/>
  <c r="T1484" i="2"/>
  <c r="T1481" i="2"/>
  <c r="T1499" i="2"/>
  <c r="T1406" i="2"/>
  <c r="BC1461" i="2"/>
  <c r="BC1462" i="2"/>
  <c r="BL1430" i="2"/>
  <c r="AU1317" i="2"/>
  <c r="AU1316" i="2"/>
  <c r="BS1461" i="2"/>
  <c r="AZ1465" i="2"/>
  <c r="S1032" i="2"/>
  <c r="AX1032" i="2" s="1"/>
  <c r="T1104" i="2"/>
  <c r="BL1212" i="2"/>
  <c r="BL1211" i="2"/>
  <c r="R1213" i="2"/>
  <c r="T774" i="2"/>
  <c r="S982" i="2"/>
  <c r="BJ982" i="2" s="1"/>
  <c r="S965" i="2"/>
  <c r="BG965" i="2" s="1"/>
  <c r="BC1053" i="2"/>
  <c r="S966" i="2"/>
  <c r="BG966" i="2" s="1"/>
  <c r="S1030" i="2"/>
  <c r="AX1030" i="2" s="1"/>
  <c r="S1098" i="2"/>
  <c r="BD1098" i="2" s="1"/>
  <c r="AZ1050" i="2"/>
  <c r="AZ1049" i="2"/>
  <c r="S977" i="2"/>
  <c r="BJ977" i="2" s="1"/>
  <c r="BI883" i="2"/>
  <c r="T883" i="2"/>
  <c r="T835" i="2"/>
  <c r="BF835" i="2"/>
  <c r="S928" i="2"/>
  <c r="BG928" i="2" s="1"/>
  <c r="T1033" i="2"/>
  <c r="T870" i="2"/>
  <c r="S870" i="2"/>
  <c r="BG870" i="2" s="1"/>
  <c r="BF870" i="2"/>
  <c r="T822" i="2"/>
  <c r="S822" i="2"/>
  <c r="BD822" i="2" s="1"/>
  <c r="BC822" i="2"/>
  <c r="S933" i="2"/>
  <c r="BG933" i="2" s="1"/>
  <c r="AZ684" i="2"/>
  <c r="AZ685" i="2"/>
  <c r="AZ688" i="2"/>
  <c r="S615" i="2"/>
  <c r="BA688" i="2"/>
  <c r="BA684" i="2"/>
  <c r="BA685" i="2"/>
  <c r="R902" i="2"/>
  <c r="BS550" i="2"/>
  <c r="BS547" i="2"/>
  <c r="BS546" i="2"/>
  <c r="BS474" i="2"/>
  <c r="BS470" i="2"/>
  <c r="S888" i="2"/>
  <c r="BJ888" i="2" s="1"/>
  <c r="BI888" i="2"/>
  <c r="T888" i="2"/>
  <c r="T839" i="2"/>
  <c r="S839" i="2"/>
  <c r="BG839" i="2" s="1"/>
  <c r="BF839" i="2"/>
  <c r="BI882" i="2"/>
  <c r="T882" i="2"/>
  <c r="T834" i="2"/>
  <c r="BF834" i="2"/>
  <c r="BL1053" i="2"/>
  <c r="BV907" i="2"/>
  <c r="BJ616" i="2"/>
  <c r="BJ617" i="2"/>
  <c r="BM907" i="2"/>
  <c r="BU650" i="2"/>
  <c r="BU651" i="2"/>
  <c r="AX584" i="2"/>
  <c r="BU547" i="2"/>
  <c r="BU546" i="2"/>
  <c r="BL584" i="2"/>
  <c r="AU620" i="2"/>
  <c r="BI580" i="2"/>
  <c r="BI581" i="2"/>
  <c r="T612" i="2"/>
  <c r="BJ550" i="2"/>
  <c r="BU654" i="2"/>
  <c r="AZ474" i="2"/>
  <c r="BD617" i="2"/>
  <c r="BV510" i="2"/>
  <c r="BA546" i="2"/>
  <c r="S426" i="2"/>
  <c r="BG426" i="2" s="1"/>
  <c r="T343" i="2"/>
  <c r="S388" i="2"/>
  <c r="BG388" i="2" s="1"/>
  <c r="AZ507" i="2"/>
  <c r="S360" i="2"/>
  <c r="BD360" i="2" s="1"/>
  <c r="S310" i="2"/>
  <c r="AX310" i="2" s="1"/>
  <c r="BP471" i="2"/>
  <c r="T341" i="2"/>
  <c r="AW470" i="2"/>
  <c r="AW471" i="2"/>
  <c r="T349" i="2"/>
  <c r="BR584" i="2"/>
  <c r="AT471" i="2"/>
  <c r="AT470" i="2"/>
  <c r="S339" i="2"/>
  <c r="AX339" i="2" s="1"/>
  <c r="S375" i="2"/>
  <c r="BG375" i="2" s="1"/>
  <c r="BI470" i="2"/>
  <c r="BF550" i="2"/>
  <c r="BG471" i="2"/>
  <c r="BU246" i="2"/>
  <c r="BU247" i="2"/>
  <c r="T300" i="2"/>
  <c r="S337" i="2"/>
  <c r="AX337" i="2" s="1"/>
  <c r="AU246" i="2"/>
  <c r="BM179" i="2"/>
  <c r="AT179" i="2"/>
  <c r="S367" i="2"/>
  <c r="BG367" i="2" s="1"/>
  <c r="T301" i="2"/>
  <c r="BI140" i="2"/>
  <c r="BI139" i="2"/>
  <c r="T303" i="2"/>
  <c r="BF322" i="2"/>
  <c r="BF321" i="2" s="1"/>
  <c r="BF320" i="2" s="1"/>
  <c r="AW215" i="2"/>
  <c r="S387" i="2"/>
  <c r="BG387" i="2" s="1"/>
  <c r="BA143" i="2"/>
  <c r="T49" i="2"/>
  <c r="S297" i="2"/>
  <c r="BG297" i="2" s="1"/>
  <c r="S356" i="2"/>
  <c r="BJ356" i="2" s="1"/>
  <c r="BS320" i="2"/>
  <c r="BA247" i="2"/>
  <c r="BA246" i="2"/>
  <c r="T123" i="2"/>
  <c r="T168" i="2"/>
  <c r="S365" i="2"/>
  <c r="BG365" i="2" s="1"/>
  <c r="BO316" i="2"/>
  <c r="BO317" i="2"/>
  <c r="T195" i="2"/>
  <c r="BV55" i="2"/>
  <c r="T62" i="2"/>
  <c r="BG140" i="2"/>
  <c r="BO140" i="2"/>
  <c r="AZ139" i="2"/>
  <c r="BV903" i="2"/>
  <c r="BV904" i="2"/>
  <c r="BU907" i="2"/>
  <c r="BM904" i="2"/>
  <c r="BM903" i="2"/>
  <c r="BC650" i="2"/>
  <c r="BC651" i="2"/>
  <c r="AT909" i="2"/>
  <c r="AT908" i="2" s="1"/>
  <c r="AT902" i="2"/>
  <c r="BP616" i="2"/>
  <c r="BP617" i="2"/>
  <c r="BC547" i="2"/>
  <c r="BC546" i="2"/>
  <c r="BL580" i="2"/>
  <c r="BL581" i="2"/>
  <c r="T644" i="2"/>
  <c r="AU617" i="2"/>
  <c r="AU616" i="2"/>
  <c r="BG685" i="2"/>
  <c r="BO546" i="2"/>
  <c r="BO547" i="2"/>
  <c r="T609" i="2"/>
  <c r="T578" i="2"/>
  <c r="R580" i="2"/>
  <c r="T575" i="2"/>
  <c r="R581" i="2"/>
  <c r="T574" i="2"/>
  <c r="T571" i="2"/>
  <c r="T570" i="2"/>
  <c r="T566" i="2"/>
  <c r="T564" i="2"/>
  <c r="T569" i="2"/>
  <c r="T563" i="2"/>
  <c r="T559" i="2"/>
  <c r="T562" i="2"/>
  <c r="T577" i="2"/>
  <c r="BS506" i="2"/>
  <c r="BS507" i="2"/>
  <c r="BC654" i="2"/>
  <c r="BD616" i="2"/>
  <c r="BV507" i="2"/>
  <c r="BV506" i="2"/>
  <c r="BA547" i="2"/>
  <c r="S419" i="2"/>
  <c r="BJ419" i="2" s="1"/>
  <c r="BS510" i="2"/>
  <c r="BR470" i="2"/>
  <c r="BR471" i="2"/>
  <c r="BP470" i="2"/>
  <c r="T335" i="2"/>
  <c r="S413" i="2"/>
  <c r="BJ413" i="2" s="1"/>
  <c r="AZ584" i="2"/>
  <c r="T339" i="2"/>
  <c r="S250" i="2"/>
  <c r="T239" i="2"/>
  <c r="T233" i="2"/>
  <c r="T227" i="2"/>
  <c r="T243" i="2"/>
  <c r="T237" i="2"/>
  <c r="T231" i="2"/>
  <c r="R246" i="2"/>
  <c r="T225" i="2"/>
  <c r="T245" i="2" s="1"/>
  <c r="R247" i="2"/>
  <c r="T242" i="2"/>
  <c r="T236" i="2"/>
  <c r="T230" i="2"/>
  <c r="S346" i="2"/>
  <c r="AX346" i="2" s="1"/>
  <c r="BF246" i="2"/>
  <c r="BF247" i="2"/>
  <c r="BF547" i="2"/>
  <c r="BF546" i="2"/>
  <c r="BG470" i="2"/>
  <c r="BF470" i="2"/>
  <c r="BF471" i="2"/>
  <c r="BC246" i="2"/>
  <c r="BC247" i="2"/>
  <c r="BL247" i="2"/>
  <c r="BM176" i="2"/>
  <c r="BM175" i="2"/>
  <c r="T119" i="2"/>
  <c r="BI322" i="2"/>
  <c r="BI321" i="2" s="1"/>
  <c r="BI320" i="2" s="1"/>
  <c r="T208" i="2"/>
  <c r="AT317" i="2"/>
  <c r="BG246" i="2"/>
  <c r="BG247" i="2"/>
  <c r="S138" i="2"/>
  <c r="AW211" i="2"/>
  <c r="AW212" i="2"/>
  <c r="S414" i="2"/>
  <c r="BJ414" i="2" s="1"/>
  <c r="T297" i="2"/>
  <c r="BP140" i="2"/>
  <c r="BP139" i="2"/>
  <c r="S334" i="2"/>
  <c r="AX334" i="2" s="1"/>
  <c r="BM212" i="2"/>
  <c r="BS139" i="2"/>
  <c r="BS140" i="2"/>
  <c r="BU106" i="2"/>
  <c r="BU107" i="2"/>
  <c r="S348" i="2"/>
  <c r="AX348" i="2" s="1"/>
  <c r="AT322" i="2"/>
  <c r="AT321" i="2" s="1"/>
  <c r="AT320" i="2" s="1"/>
  <c r="T54" i="2"/>
  <c r="S54" i="2"/>
  <c r="BV57" i="2"/>
  <c r="AT140" i="2"/>
  <c r="BS107" i="2"/>
  <c r="T68" i="2"/>
  <c r="BM106" i="2"/>
  <c r="AZ140" i="2"/>
  <c r="T1356" i="2"/>
  <c r="BF1356" i="2"/>
  <c r="BF1432" i="2" s="1"/>
  <c r="BF1431" i="2" s="1"/>
  <c r="BI879" i="2"/>
  <c r="T879" i="2"/>
  <c r="S879" i="2"/>
  <c r="BJ879" i="2" s="1"/>
  <c r="T831" i="2"/>
  <c r="S831" i="2"/>
  <c r="BG831" i="2" s="1"/>
  <c r="BF831" i="2"/>
  <c r="BI874" i="2"/>
  <c r="BI902" i="2" s="1"/>
  <c r="T874" i="2"/>
  <c r="S874" i="2"/>
  <c r="BJ874" i="2" s="1"/>
  <c r="T826" i="2"/>
  <c r="S826" i="2"/>
  <c r="BG826" i="2" s="1"/>
  <c r="BF826" i="2"/>
  <c r="R1430" i="2"/>
  <c r="T1336" i="2" s="1"/>
  <c r="BS907" i="2"/>
  <c r="BC584" i="2"/>
  <c r="R618" i="2"/>
  <c r="BJ547" i="2"/>
  <c r="BJ546" i="2"/>
  <c r="AX616" i="2"/>
  <c r="AX617" i="2"/>
  <c r="BM580" i="2"/>
  <c r="BM581" i="2"/>
  <c r="AT584" i="2"/>
  <c r="T642" i="2"/>
  <c r="BG684" i="2"/>
  <c r="AW546" i="2"/>
  <c r="AW547" i="2"/>
  <c r="BG584" i="2"/>
  <c r="BF584" i="2"/>
  <c r="BS650" i="2"/>
  <c r="BM470" i="2"/>
  <c r="BM471" i="2"/>
  <c r="BS584" i="2"/>
  <c r="BD510" i="2"/>
  <c r="S376" i="2"/>
  <c r="BG376" i="2" s="1"/>
  <c r="BR546" i="2"/>
  <c r="BA510" i="2"/>
  <c r="T331" i="2"/>
  <c r="AZ470" i="2"/>
  <c r="AZ471" i="2"/>
  <c r="S358" i="2"/>
  <c r="BD358" i="2" s="1"/>
  <c r="S302" i="2"/>
  <c r="AX302" i="2" s="1"/>
  <c r="S429" i="2"/>
  <c r="BG429" i="2" s="1"/>
  <c r="S415" i="2"/>
  <c r="BJ415" i="2" s="1"/>
  <c r="S374" i="2"/>
  <c r="BG374" i="2" s="1"/>
  <c r="T333" i="2"/>
  <c r="S400" i="2"/>
  <c r="BG400" i="2" s="1"/>
  <c r="BP317" i="2"/>
  <c r="BP316" i="2"/>
  <c r="BM317" i="2"/>
  <c r="T103" i="2"/>
  <c r="T337" i="2"/>
  <c r="BL246" i="2"/>
  <c r="AU179" i="2"/>
  <c r="S338" i="2"/>
  <c r="AX338" i="2" s="1"/>
  <c r="T207" i="2"/>
  <c r="BV106" i="2"/>
  <c r="BV107" i="2"/>
  <c r="S303" i="2"/>
  <c r="AU303" i="2" s="1"/>
  <c r="R248" i="2"/>
  <c r="BM284" i="2"/>
  <c r="BV175" i="2"/>
  <c r="BV176" i="2"/>
  <c r="BV317" i="2"/>
  <c r="T125" i="2"/>
  <c r="T129" i="2"/>
  <c r="R140" i="2"/>
  <c r="T118" i="2"/>
  <c r="R139" i="2"/>
  <c r="T136" i="2"/>
  <c r="T126" i="2"/>
  <c r="T135" i="2"/>
  <c r="T122" i="2"/>
  <c r="T132" i="2"/>
  <c r="T334" i="2"/>
  <c r="BA140" i="2"/>
  <c r="BA139" i="2"/>
  <c r="T244" i="2"/>
  <c r="T167" i="2"/>
  <c r="T173" i="2"/>
  <c r="T50" i="2"/>
  <c r="S50" i="2"/>
  <c r="BD54" i="2"/>
  <c r="AX50" i="2"/>
  <c r="AT139" i="2"/>
  <c r="BS106" i="2"/>
  <c r="BO106" i="2"/>
  <c r="BM107" i="2"/>
  <c r="AU106" i="2"/>
  <c r="T432" i="2"/>
  <c r="R436" i="2"/>
  <c r="S397" i="2"/>
  <c r="BG397" i="2" s="1"/>
  <c r="S423" i="2"/>
  <c r="BG423" i="2" s="1"/>
  <c r="S430" i="2"/>
  <c r="BG430" i="2" s="1"/>
  <c r="T346" i="2"/>
  <c r="S425" i="2"/>
  <c r="BG425" i="2" s="1"/>
  <c r="BI211" i="2"/>
  <c r="BI212" i="2"/>
  <c r="AU176" i="2"/>
  <c r="AU175" i="2"/>
  <c r="AT106" i="2"/>
  <c r="AT107" i="2"/>
  <c r="T338" i="2"/>
  <c r="BD106" i="2"/>
  <c r="BD107" i="2"/>
  <c r="BL106" i="2"/>
  <c r="BL107" i="2"/>
  <c r="BM281" i="2"/>
  <c r="BM280" i="2"/>
  <c r="BD175" i="2"/>
  <c r="BD176" i="2"/>
  <c r="S369" i="2"/>
  <c r="BG369" i="2" s="1"/>
  <c r="BC316" i="2"/>
  <c r="BC317" i="2"/>
  <c r="BR175" i="2"/>
  <c r="BR176" i="2"/>
  <c r="BV280" i="2"/>
  <c r="BV281" i="2"/>
  <c r="AX56" i="2"/>
  <c r="AX67" i="2"/>
  <c r="AX61" i="2"/>
  <c r="AX55" i="2"/>
  <c r="R75" i="2"/>
  <c r="AX54" i="2"/>
  <c r="AX66" i="2"/>
  <c r="AX60" i="2"/>
  <c r="AW70" i="2"/>
  <c r="AX62" i="2"/>
  <c r="AW71" i="2"/>
  <c r="AX64" i="2"/>
  <c r="AX58" i="2"/>
  <c r="AX52" i="2"/>
  <c r="AX51" i="2"/>
  <c r="AX63" i="2"/>
  <c r="AX57" i="2"/>
  <c r="AX68" i="2"/>
  <c r="AX65" i="2"/>
  <c r="BA107" i="2"/>
  <c r="S49" i="2"/>
  <c r="BO107" i="2"/>
  <c r="AU107" i="2"/>
  <c r="BO685" i="2"/>
  <c r="BO684" i="2"/>
  <c r="S683" i="2"/>
  <c r="S688" i="2"/>
  <c r="S687" i="2" a="1"/>
  <c r="S687" i="2" s="1"/>
  <c r="S686" i="2" s="1"/>
  <c r="BR907" i="2"/>
  <c r="BP904" i="2"/>
  <c r="BP903" i="2"/>
  <c r="BF685" i="2"/>
  <c r="BF684" i="2"/>
  <c r="BD684" i="2"/>
  <c r="BD685" i="2"/>
  <c r="R616" i="2"/>
  <c r="T595" i="2"/>
  <c r="R617" i="2"/>
  <c r="T600" i="2"/>
  <c r="T611" i="2"/>
  <c r="T605" i="2"/>
  <c r="T599" i="2"/>
  <c r="T610" i="2"/>
  <c r="T604" i="2"/>
  <c r="T598" i="2"/>
  <c r="T614" i="2"/>
  <c r="T608" i="2"/>
  <c r="T602" i="2"/>
  <c r="T596" i="2"/>
  <c r="BR616" i="2"/>
  <c r="AU580" i="2"/>
  <c r="AU581" i="2"/>
  <c r="BM550" i="2"/>
  <c r="T638" i="2"/>
  <c r="S421" i="2"/>
  <c r="BJ421" i="2" s="1"/>
  <c r="T647" i="2"/>
  <c r="T597" i="2"/>
  <c r="S579" i="2"/>
  <c r="BG620" i="2"/>
  <c r="BF617" i="2"/>
  <c r="BC550" i="2"/>
  <c r="BV471" i="2"/>
  <c r="S428" i="2"/>
  <c r="BG428" i="2" s="1"/>
  <c r="S351" i="2"/>
  <c r="AX351" i="2" s="1"/>
  <c r="R282" i="2"/>
  <c r="S174" i="2"/>
  <c r="S412" i="2"/>
  <c r="BJ412" i="2" s="1"/>
  <c r="R434" i="2"/>
  <c r="T350" i="2" s="1"/>
  <c r="R435" i="2"/>
  <c r="T351" i="2" s="1"/>
  <c r="S378" i="2"/>
  <c r="BG378" i="2" s="1"/>
  <c r="S410" i="2"/>
  <c r="BJ410" i="2" s="1"/>
  <c r="S377" i="2"/>
  <c r="BG377" i="2" s="1"/>
  <c r="S366" i="2"/>
  <c r="BG366" i="2" s="1"/>
  <c r="S352" i="2"/>
  <c r="BJ352" i="2" s="1"/>
  <c r="T342" i="2"/>
  <c r="S402" i="2"/>
  <c r="BG402" i="2" s="1"/>
  <c r="S396" i="2"/>
  <c r="BD396" i="2" s="1"/>
  <c r="S335" i="2"/>
  <c r="AX335" i="2" s="1"/>
  <c r="S331" i="2"/>
  <c r="S371" i="2"/>
  <c r="BG371" i="2" s="1"/>
  <c r="S349" i="2"/>
  <c r="AX349" i="2" s="1"/>
  <c r="T348" i="2"/>
  <c r="T340" i="2"/>
  <c r="S406" i="2"/>
  <c r="BG406" i="2" s="1"/>
  <c r="S391" i="2"/>
  <c r="BD391" i="2" s="1"/>
  <c r="BD215" i="2"/>
  <c r="BU316" i="2"/>
  <c r="BU317" i="2"/>
  <c r="S333" i="2"/>
  <c r="AX333" i="2" s="1"/>
  <c r="AW440" i="2"/>
  <c r="AW439" i="2" s="1"/>
  <c r="AW438" i="2" s="1"/>
  <c r="BL211" i="2"/>
  <c r="BL212" i="2"/>
  <c r="S399" i="2"/>
  <c r="BG399" i="2" s="1"/>
  <c r="T307" i="2"/>
  <c r="S210" i="2"/>
  <c r="S295" i="2"/>
  <c r="R105" i="2"/>
  <c r="T99" i="2"/>
  <c r="T91" i="2"/>
  <c r="T90" i="2"/>
  <c r="T89" i="2"/>
  <c r="T96" i="2"/>
  <c r="T87" i="2"/>
  <c r="R106" i="2"/>
  <c r="T95" i="2"/>
  <c r="T86" i="2"/>
  <c r="T296" i="2"/>
  <c r="BG175" i="2"/>
  <c r="BG176" i="2"/>
  <c r="S363" i="2"/>
  <c r="BG363" i="2" s="1"/>
  <c r="BJ280" i="2"/>
  <c r="BJ281" i="2"/>
  <c r="BI281" i="2"/>
  <c r="AU211" i="2"/>
  <c r="T97" i="2"/>
  <c r="BF280" i="2"/>
  <c r="BR179" i="2"/>
  <c r="T345" i="2"/>
  <c r="BD280" i="2"/>
  <c r="BD281" i="2"/>
  <c r="AX106" i="2"/>
  <c r="AX107" i="2"/>
  <c r="BC70" i="2"/>
  <c r="BC71" i="2"/>
  <c r="BD65" i="2"/>
  <c r="BD59" i="2"/>
  <c r="BD53" i="2"/>
  <c r="BD49" i="2"/>
  <c r="BD64" i="2"/>
  <c r="BD58" i="2"/>
  <c r="BD68" i="2"/>
  <c r="BD62" i="2"/>
  <c r="BD56" i="2"/>
  <c r="BD51" i="2"/>
  <c r="BD67" i="2"/>
  <c r="BD61" i="2"/>
  <c r="BD55" i="2"/>
  <c r="BD66" i="2"/>
  <c r="BD60" i="2"/>
  <c r="T56" i="2"/>
  <c r="BF107" i="2"/>
  <c r="AU60" i="2"/>
  <c r="BA106" i="2"/>
  <c r="AZ107" i="2"/>
  <c r="BM75" i="2" a="1"/>
  <c r="BM75" i="2" s="1"/>
  <c r="BM76" i="2"/>
  <c r="BM69" i="2" a="1"/>
  <c r="BM69" i="2" s="1"/>
  <c r="T133" i="2"/>
  <c r="BL110" i="2"/>
  <c r="BU1049" i="2"/>
  <c r="BU1050" i="2"/>
  <c r="T867" i="2"/>
  <c r="S867" i="2"/>
  <c r="BG867" i="2" s="1"/>
  <c r="BF867" i="2"/>
  <c r="T819" i="2"/>
  <c r="S819" i="2"/>
  <c r="BD819" i="2" s="1"/>
  <c r="BC819" i="2"/>
  <c r="BP1049" i="2"/>
  <c r="BP1050" i="2"/>
  <c r="T862" i="2"/>
  <c r="S862" i="2"/>
  <c r="BG862" i="2" s="1"/>
  <c r="BF862" i="2"/>
  <c r="BM1053" i="2"/>
  <c r="R1429" i="2"/>
  <c r="S1308" i="2" s="1"/>
  <c r="BJ1308" i="2" s="1"/>
  <c r="BL903" i="2"/>
  <c r="BL904" i="2"/>
  <c r="AT685" i="2"/>
  <c r="AT684" i="2"/>
  <c r="R652" i="2"/>
  <c r="BF651" i="2"/>
  <c r="BF650" i="2"/>
  <c r="T613" i="2"/>
  <c r="AW651" i="2"/>
  <c r="AZ617" i="2"/>
  <c r="AU584" i="2"/>
  <c r="T635" i="2"/>
  <c r="BJ581" i="2"/>
  <c r="BG650" i="2"/>
  <c r="BG651" i="2"/>
  <c r="S583" i="2" a="1"/>
  <c r="S583" i="2" s="1"/>
  <c r="S582" i="2" s="1"/>
  <c r="BF616" i="2"/>
  <c r="BA581" i="2"/>
  <c r="BA580" i="2"/>
  <c r="BV470" i="2"/>
  <c r="BU617" i="2"/>
  <c r="BU471" i="2"/>
  <c r="S355" i="2"/>
  <c r="BJ355" i="2" s="1"/>
  <c r="BA471" i="2"/>
  <c r="AX546" i="2"/>
  <c r="AX547" i="2"/>
  <c r="S411" i="2"/>
  <c r="BJ411" i="2" s="1"/>
  <c r="S279" i="2"/>
  <c r="S404" i="2"/>
  <c r="BG404" i="2" s="1"/>
  <c r="S424" i="2"/>
  <c r="BG424" i="2" s="1"/>
  <c r="BR316" i="2"/>
  <c r="BR317" i="2"/>
  <c r="AT211" i="2"/>
  <c r="AT212" i="2"/>
  <c r="S394" i="2"/>
  <c r="BD394" i="2" s="1"/>
  <c r="S407" i="2"/>
  <c r="BG407" i="2" s="1"/>
  <c r="BO175" i="2"/>
  <c r="BO176" i="2"/>
  <c r="T199" i="2"/>
  <c r="BS280" i="2"/>
  <c r="T202" i="2"/>
  <c r="T101" i="2"/>
  <c r="T314" i="2"/>
  <c r="AU281" i="2"/>
  <c r="AU280" i="2"/>
  <c r="S178" i="2" a="1"/>
  <c r="S178" i="2" s="1"/>
  <c r="S177" i="2" s="1"/>
  <c r="T84" i="2"/>
  <c r="T238" i="2"/>
  <c r="BU139" i="2"/>
  <c r="BU140" i="2"/>
  <c r="BP75" i="2" a="1"/>
  <c r="BP75" i="2" s="1"/>
  <c r="BP76" i="2"/>
  <c r="BP69" i="2" a="1"/>
  <c r="BP69" i="2" s="1"/>
  <c r="S311" i="2"/>
  <c r="BD311" i="2" s="1"/>
  <c r="BI280" i="2"/>
  <c r="BU179" i="2"/>
  <c r="R107" i="2"/>
  <c r="BI215" i="2"/>
  <c r="BP246" i="2"/>
  <c r="BP247" i="2"/>
  <c r="AZ175" i="2"/>
  <c r="AZ176" i="2"/>
  <c r="AU139" i="2"/>
  <c r="BJ52" i="2"/>
  <c r="BF106" i="2"/>
  <c r="AX53" i="2"/>
  <c r="BA58" i="2"/>
  <c r="AZ106" i="2"/>
  <c r="BD139" i="2"/>
  <c r="AT110" i="2"/>
  <c r="BR685" i="2"/>
  <c r="BR684" i="2"/>
  <c r="BL651" i="2"/>
  <c r="BL650" i="2"/>
  <c r="BL685" i="2"/>
  <c r="BL684" i="2"/>
  <c r="S619" i="2" a="1"/>
  <c r="S619" i="2" s="1"/>
  <c r="S618" i="2" s="1"/>
  <c r="BS616" i="2"/>
  <c r="BS617" i="2"/>
  <c r="BJ580" i="2"/>
  <c r="AT547" i="2"/>
  <c r="AT546" i="2"/>
  <c r="BV685" i="2"/>
  <c r="BU580" i="2"/>
  <c r="BU581" i="2"/>
  <c r="BP546" i="2"/>
  <c r="BP547" i="2"/>
  <c r="BU616" i="2"/>
  <c r="BU470" i="2"/>
  <c r="BA470" i="2"/>
  <c r="BP620" i="2"/>
  <c r="S390" i="2"/>
  <c r="BD390" i="2" s="1"/>
  <c r="S422" i="2"/>
  <c r="BG422" i="2" s="1"/>
  <c r="S382" i="2"/>
  <c r="BG382" i="2" s="1"/>
  <c r="S549" i="2" a="1"/>
  <c r="S549" i="2" s="1"/>
  <c r="S545" i="2"/>
  <c r="S550" i="2"/>
  <c r="S416" i="2"/>
  <c r="BJ416" i="2" s="1"/>
  <c r="S386" i="2"/>
  <c r="BG386" i="2" s="1"/>
  <c r="AW175" i="2"/>
  <c r="AW176" i="2"/>
  <c r="BV211" i="2"/>
  <c r="BV212" i="2"/>
  <c r="BA281" i="2"/>
  <c r="T201" i="2"/>
  <c r="BA211" i="2"/>
  <c r="BA212" i="2"/>
  <c r="T85" i="2"/>
  <c r="BM507" i="2"/>
  <c r="T172" i="2"/>
  <c r="R175" i="2"/>
  <c r="T154" i="2"/>
  <c r="R176" i="2"/>
  <c r="T169" i="2"/>
  <c r="T160" i="2"/>
  <c r="T158" i="2"/>
  <c r="T157" i="2"/>
  <c r="T170" i="2"/>
  <c r="T166" i="2"/>
  <c r="T164" i="2"/>
  <c r="T163" i="2"/>
  <c r="T232" i="2"/>
  <c r="T310" i="2"/>
  <c r="BV247" i="2"/>
  <c r="BV246" i="2"/>
  <c r="BC139" i="2"/>
  <c r="BC140" i="2"/>
  <c r="AX49" i="2"/>
  <c r="S283" i="2" a="1"/>
  <c r="S283" i="2" s="1"/>
  <c r="BU176" i="2"/>
  <c r="BU175" i="2"/>
  <c r="BV60" i="2"/>
  <c r="BU71" i="2"/>
  <c r="BV65" i="2"/>
  <c r="BV59" i="2"/>
  <c r="BV53" i="2"/>
  <c r="BV49" i="2"/>
  <c r="BU74" i="2"/>
  <c r="BV68" i="2"/>
  <c r="BV62" i="2"/>
  <c r="BV56" i="2"/>
  <c r="BV51" i="2"/>
  <c r="BV66" i="2"/>
  <c r="S215" i="2"/>
  <c r="AX246" i="2"/>
  <c r="AX247" i="2"/>
  <c r="S336" i="2"/>
  <c r="AX336" i="2" s="1"/>
  <c r="T165" i="2"/>
  <c r="BJ107" i="2"/>
  <c r="BJ106" i="2"/>
  <c r="AU140" i="2"/>
  <c r="AU49" i="2"/>
  <c r="T93" i="2"/>
  <c r="BJ54" i="2"/>
  <c r="BV139" i="2"/>
  <c r="T65" i="2"/>
  <c r="BD140" i="2"/>
  <c r="BU70" i="2"/>
  <c r="BS316" i="2"/>
  <c r="BS317" i="2"/>
  <c r="S393" i="2"/>
  <c r="BD393" i="2" s="1"/>
  <c r="BO280" i="2"/>
  <c r="BO281" i="2"/>
  <c r="BD211" i="2"/>
  <c r="BD212" i="2"/>
  <c r="AW322" i="2"/>
  <c r="AW321" i="2" s="1"/>
  <c r="AW315" i="2"/>
  <c r="S368" i="2"/>
  <c r="BG368" i="2" s="1"/>
  <c r="BD247" i="2"/>
  <c r="BD246" i="2"/>
  <c r="S364" i="2"/>
  <c r="BG364" i="2" s="1"/>
  <c r="BL546" i="2"/>
  <c r="T336" i="2"/>
  <c r="T162" i="2"/>
  <c r="AU57" i="2"/>
  <c r="AU68" i="2"/>
  <c r="AU62" i="2"/>
  <c r="AU56" i="2"/>
  <c r="AU51" i="2"/>
  <c r="AU67" i="2"/>
  <c r="AU61" i="2"/>
  <c r="AU55" i="2"/>
  <c r="AU54" i="2"/>
  <c r="AU50" i="2"/>
  <c r="AT70" i="2"/>
  <c r="AT71" i="2"/>
  <c r="AU65" i="2"/>
  <c r="AU59" i="2"/>
  <c r="AU53" i="2"/>
  <c r="AU63" i="2"/>
  <c r="AU64" i="2"/>
  <c r="AU58" i="2"/>
  <c r="BL176" i="2"/>
  <c r="BJ58" i="2"/>
  <c r="BJ63" i="2"/>
  <c r="BJ57" i="2"/>
  <c r="BJ68" i="2"/>
  <c r="BJ62" i="2"/>
  <c r="BJ56" i="2"/>
  <c r="BJ51" i="2"/>
  <c r="BJ50" i="2"/>
  <c r="BJ66" i="2"/>
  <c r="BJ60" i="2"/>
  <c r="BI70" i="2"/>
  <c r="BI71" i="2"/>
  <c r="BJ65" i="2"/>
  <c r="BJ59" i="2"/>
  <c r="BJ53" i="2"/>
  <c r="BJ49" i="2"/>
  <c r="BJ64" i="2"/>
  <c r="BV140" i="2"/>
  <c r="BD63" i="2"/>
  <c r="BJ61" i="2"/>
  <c r="BR1050" i="2"/>
  <c r="BR1049" i="2"/>
  <c r="AT1053" i="2"/>
  <c r="T850" i="2"/>
  <c r="S850" i="2"/>
  <c r="BG850" i="2" s="1"/>
  <c r="BF850" i="2"/>
  <c r="BA650" i="2"/>
  <c r="BA651" i="2"/>
  <c r="AX685" i="2"/>
  <c r="AX684" i="2"/>
  <c r="BM651" i="2"/>
  <c r="BM650" i="2"/>
  <c r="R686" i="2"/>
  <c r="BO650" i="2"/>
  <c r="BD650" i="2"/>
  <c r="BD651" i="2"/>
  <c r="BM685" i="2"/>
  <c r="BO584" i="2"/>
  <c r="T576" i="2"/>
  <c r="AU547" i="2"/>
  <c r="AU546" i="2"/>
  <c r="BD688" i="2"/>
  <c r="BD580" i="2"/>
  <c r="AU506" i="2"/>
  <c r="AU507" i="2"/>
  <c r="BG550" i="2"/>
  <c r="S418" i="2"/>
  <c r="BJ418" i="2" s="1"/>
  <c r="BC616" i="2"/>
  <c r="BC470" i="2"/>
  <c r="S401" i="2"/>
  <c r="BG401" i="2" s="1"/>
  <c r="S379" i="2"/>
  <c r="BG379" i="2" s="1"/>
  <c r="S341" i="2"/>
  <c r="AX341" i="2" s="1"/>
  <c r="AW550" i="2"/>
  <c r="S389" i="2"/>
  <c r="BD389" i="2" s="1"/>
  <c r="AU550" i="2"/>
  <c r="S403" i="2"/>
  <c r="BG403" i="2" s="1"/>
  <c r="BL506" i="2"/>
  <c r="BL507" i="2"/>
  <c r="R546" i="2"/>
  <c r="T538" i="2"/>
  <c r="T536" i="2"/>
  <c r="R547" i="2"/>
  <c r="T528" i="2"/>
  <c r="T527" i="2"/>
  <c r="T544" i="2"/>
  <c r="T542" i="2"/>
  <c r="T526" i="2"/>
  <c r="T545" i="2" s="1"/>
  <c r="T534" i="2"/>
  <c r="T533" i="2"/>
  <c r="T532" i="2"/>
  <c r="T540" i="2"/>
  <c r="T539" i="2"/>
  <c r="BD546" i="2"/>
  <c r="BD547" i="2"/>
  <c r="AW280" i="2"/>
  <c r="AW281" i="2"/>
  <c r="T312" i="2"/>
  <c r="BU281" i="2"/>
  <c r="BJ139" i="2"/>
  <c r="BJ140" i="2"/>
  <c r="S314" i="2"/>
  <c r="AX314" i="2" s="1"/>
  <c r="R316" i="2"/>
  <c r="R317" i="2"/>
  <c r="T159" i="2"/>
  <c r="T313" i="2"/>
  <c r="S340" i="2"/>
  <c r="AX340" i="2" s="1"/>
  <c r="BI179" i="2"/>
  <c r="BP211" i="2"/>
  <c r="BP212" i="2"/>
  <c r="T234" i="2"/>
  <c r="T309" i="2"/>
  <c r="T240" i="2"/>
  <c r="BC176" i="2"/>
  <c r="BC175" i="2"/>
  <c r="BL139" i="2"/>
  <c r="BL140" i="2"/>
  <c r="BL547" i="2"/>
  <c r="T306" i="2"/>
  <c r="BO246" i="2"/>
  <c r="T161" i="2"/>
  <c r="BV67" i="2"/>
  <c r="BD250" i="2"/>
  <c r="AX140" i="2"/>
  <c r="T100" i="2"/>
  <c r="R74" i="2"/>
  <c r="BU110" i="2"/>
  <c r="BL175" i="2"/>
  <c r="BV54" i="2"/>
  <c r="T94" i="2"/>
  <c r="BD50" i="2"/>
  <c r="BA50" i="2"/>
  <c r="BR651" i="2"/>
  <c r="BR650" i="2"/>
  <c r="BU684" i="2"/>
  <c r="BU685" i="2"/>
  <c r="S654" i="2"/>
  <c r="S653" i="2" a="1"/>
  <c r="S653" i="2" s="1"/>
  <c r="S649" i="2"/>
  <c r="BP580" i="2"/>
  <c r="BP581" i="2"/>
  <c r="AU684" i="2"/>
  <c r="AW581" i="2"/>
  <c r="AW580" i="2"/>
  <c r="BI507" i="2"/>
  <c r="BI506" i="2"/>
  <c r="BF506" i="2"/>
  <c r="BF507" i="2"/>
  <c r="BV650" i="2"/>
  <c r="BV651" i="2"/>
  <c r="S427" i="2"/>
  <c r="BG427" i="2" s="1"/>
  <c r="S353" i="2"/>
  <c r="BJ353" i="2" s="1"/>
  <c r="S362" i="2"/>
  <c r="BG362" i="2" s="1"/>
  <c r="S359" i="2"/>
  <c r="BD359" i="2" s="1"/>
  <c r="S357" i="2"/>
  <c r="BJ357" i="2" s="1"/>
  <c r="S398" i="2"/>
  <c r="BG398" i="2" s="1"/>
  <c r="AT510" i="2"/>
  <c r="S381" i="2"/>
  <c r="BG381" i="2" s="1"/>
  <c r="S246" i="2"/>
  <c r="S247" i="2"/>
  <c r="S405" i="2"/>
  <c r="BG405" i="2" s="1"/>
  <c r="S384" i="2"/>
  <c r="BG384" i="2" s="1"/>
  <c r="BV546" i="2"/>
  <c r="BV547" i="2"/>
  <c r="S385" i="2"/>
  <c r="BG385" i="2" s="1"/>
  <c r="BU280" i="2"/>
  <c r="T156" i="2"/>
  <c r="T302" i="2"/>
  <c r="S308" i="2"/>
  <c r="BJ308" i="2" s="1"/>
  <c r="BO284" i="2"/>
  <c r="BI175" i="2"/>
  <c r="BI176" i="2"/>
  <c r="S332" i="2"/>
  <c r="AX332" i="2" s="1"/>
  <c r="AX211" i="2"/>
  <c r="AX212" i="2"/>
  <c r="T137" i="2"/>
  <c r="BC250" i="2"/>
  <c r="T299" i="2"/>
  <c r="BS250" i="2"/>
  <c r="BR320" i="2"/>
  <c r="BG215" i="2"/>
  <c r="BP143" i="2"/>
  <c r="AW247" i="2"/>
  <c r="AW140" i="2"/>
  <c r="AX139" i="2"/>
  <c r="BG76" i="2"/>
  <c r="BG69" i="2" a="1"/>
  <c r="BG69" i="2" s="1"/>
  <c r="BG75" i="2" a="1"/>
  <c r="BG75" i="2" s="1"/>
  <c r="T92" i="2"/>
  <c r="AT74" i="2"/>
  <c r="BF211" i="2"/>
  <c r="BC106" i="2"/>
  <c r="T128" i="2"/>
  <c r="BJ67" i="2"/>
  <c r="T53" i="2"/>
  <c r="BA54" i="2"/>
  <c r="S892" i="2"/>
  <c r="BJ892" i="2" s="1"/>
  <c r="BI892" i="2"/>
  <c r="T892" i="2"/>
  <c r="S842" i="2"/>
  <c r="BG842" i="2" s="1"/>
  <c r="BF842" i="2"/>
  <c r="BO907" i="2"/>
  <c r="BC1425" i="2"/>
  <c r="BC1432" i="2"/>
  <c r="BC1431" i="2" s="1"/>
  <c r="AU651" i="2"/>
  <c r="AU650" i="2"/>
  <c r="BI684" i="2"/>
  <c r="BI685" i="2"/>
  <c r="BA620" i="2"/>
  <c r="R650" i="2"/>
  <c r="T643" i="2"/>
  <c r="T637" i="2"/>
  <c r="T631" i="2"/>
  <c r="R651" i="2"/>
  <c r="T636" i="2"/>
  <c r="T630" i="2"/>
  <c r="T646" i="2"/>
  <c r="T640" i="2"/>
  <c r="T634" i="2"/>
  <c r="T629" i="2"/>
  <c r="T649" i="2" s="1"/>
  <c r="BC684" i="2"/>
  <c r="BC685" i="2"/>
  <c r="T639" i="2"/>
  <c r="BP584" i="2"/>
  <c r="AU685" i="2"/>
  <c r="AW584" i="2"/>
  <c r="BL688" i="2"/>
  <c r="BO616" i="2"/>
  <c r="S469" i="2"/>
  <c r="S474" i="2"/>
  <c r="S473" i="2" a="1"/>
  <c r="S473" i="2" s="1"/>
  <c r="BM620" i="2"/>
  <c r="BO506" i="2"/>
  <c r="BO507" i="2"/>
  <c r="T565" i="2"/>
  <c r="BF688" i="2"/>
  <c r="T561" i="2"/>
  <c r="BA507" i="2"/>
  <c r="BA506" i="2"/>
  <c r="BD654" i="2"/>
  <c r="T543" i="2"/>
  <c r="BV617" i="2"/>
  <c r="BP506" i="2"/>
  <c r="BP507" i="2"/>
  <c r="S395" i="2"/>
  <c r="BD395" i="2" s="1"/>
  <c r="BR507" i="2"/>
  <c r="BP510" i="2"/>
  <c r="S350" i="2"/>
  <c r="AX350" i="2" s="1"/>
  <c r="AU510" i="2"/>
  <c r="BR580" i="2"/>
  <c r="BR581" i="2"/>
  <c r="BL471" i="2"/>
  <c r="BL470" i="2"/>
  <c r="S347" i="2"/>
  <c r="AX347" i="2" s="1"/>
  <c r="S392" i="2"/>
  <c r="BD392" i="2" s="1"/>
  <c r="BR280" i="2"/>
  <c r="BR281" i="2"/>
  <c r="T541" i="2"/>
  <c r="T344" i="2"/>
  <c r="BD550" i="2"/>
  <c r="S344" i="2"/>
  <c r="AX344" i="2" s="1"/>
  <c r="S307" i="2"/>
  <c r="AX307" i="2" s="1"/>
  <c r="BC281" i="2"/>
  <c r="S372" i="2"/>
  <c r="BG372" i="2" s="1"/>
  <c r="BC211" i="2"/>
  <c r="T295" i="2"/>
  <c r="T155" i="2"/>
  <c r="BI247" i="2"/>
  <c r="BJ175" i="2"/>
  <c r="BJ176" i="2"/>
  <c r="T308" i="2"/>
  <c r="AW284" i="2"/>
  <c r="T332" i="2"/>
  <c r="BO215" i="2"/>
  <c r="BF143" i="2"/>
  <c r="AW474" i="2"/>
  <c r="R71" i="2"/>
  <c r="T64" i="2"/>
  <c r="T58" i="2"/>
  <c r="T52" i="2"/>
  <c r="T63" i="2"/>
  <c r="T57" i="2"/>
  <c r="T61" i="2"/>
  <c r="T67" i="2"/>
  <c r="T55" i="2"/>
  <c r="T66" i="2"/>
  <c r="T60" i="2"/>
  <c r="R70" i="2"/>
  <c r="T298" i="2"/>
  <c r="BL215" i="2"/>
  <c r="S104" i="2"/>
  <c r="S109" i="2"/>
  <c r="S108" i="2" a="1"/>
  <c r="S108" i="2" s="1"/>
  <c r="S107" i="2" s="1"/>
  <c r="R72" i="2"/>
  <c r="BS247" i="2"/>
  <c r="BS246" i="2"/>
  <c r="BP320" i="2"/>
  <c r="BG212" i="2"/>
  <c r="BG211" i="2"/>
  <c r="S383" i="2"/>
  <c r="BG383" i="2" s="1"/>
  <c r="S305" i="2"/>
  <c r="BA305" i="2" s="1"/>
  <c r="AW246" i="2"/>
  <c r="T131" i="2"/>
  <c r="BV61" i="2"/>
  <c r="AW139" i="2"/>
  <c r="BI106" i="2"/>
  <c r="BG106" i="2"/>
  <c r="BM139" i="2"/>
  <c r="BS76" i="2"/>
  <c r="BS69" i="2" a="1"/>
  <c r="BS69" i="2" s="1"/>
  <c r="BS75" i="2" a="1"/>
  <c r="BS75" i="2" s="1"/>
  <c r="T124" i="2"/>
  <c r="T130" i="2"/>
  <c r="AU52" i="2"/>
  <c r="BD57" i="2"/>
  <c r="T51" i="2"/>
  <c r="BI887" i="2"/>
  <c r="T887" i="2"/>
  <c r="S887" i="2"/>
  <c r="BJ887" i="2" s="1"/>
  <c r="S838" i="2"/>
  <c r="BG838" i="2" s="1"/>
  <c r="BF838" i="2"/>
  <c r="AX650" i="2"/>
  <c r="AX651" i="2"/>
  <c r="AT651" i="2"/>
  <c r="AT650" i="2"/>
  <c r="BI650" i="2"/>
  <c r="BI651" i="2"/>
  <c r="AW620" i="2"/>
  <c r="AW617" i="2"/>
  <c r="AX580" i="2"/>
  <c r="AX581" i="2"/>
  <c r="BM654" i="2"/>
  <c r="AW616" i="2"/>
  <c r="S417" i="2"/>
  <c r="BJ417" i="2" s="1"/>
  <c r="BM617" i="2"/>
  <c r="BM616" i="2"/>
  <c r="AT506" i="2"/>
  <c r="AT507" i="2"/>
  <c r="BG507" i="2"/>
  <c r="BG506" i="2"/>
  <c r="S408" i="2"/>
  <c r="BG408" i="2" s="1"/>
  <c r="S343" i="2"/>
  <c r="AX343" i="2" s="1"/>
  <c r="AZ506" i="2"/>
  <c r="S361" i="2"/>
  <c r="BG361" i="2" s="1"/>
  <c r="BO470" i="2"/>
  <c r="BO471" i="2"/>
  <c r="S380" i="2"/>
  <c r="BG380" i="2" s="1"/>
  <c r="AZ580" i="2"/>
  <c r="AZ581" i="2"/>
  <c r="T347" i="2"/>
  <c r="BI471" i="2"/>
  <c r="AZ280" i="2"/>
  <c r="AZ281" i="2"/>
  <c r="T535" i="2"/>
  <c r="S300" i="2"/>
  <c r="BJ300" i="2" s="1"/>
  <c r="BF140" i="2"/>
  <c r="BF139" i="2"/>
  <c r="AU247" i="2"/>
  <c r="AT175" i="2"/>
  <c r="AT176" i="2"/>
  <c r="S373" i="2"/>
  <c r="BG373" i="2" s="1"/>
  <c r="S301" i="2"/>
  <c r="BD301" i="2" s="1"/>
  <c r="T229" i="2"/>
  <c r="BO211" i="2"/>
  <c r="BO212" i="2"/>
  <c r="BF175" i="2"/>
  <c r="BF176" i="2"/>
  <c r="S299" i="2"/>
  <c r="BA299" i="2" s="1"/>
  <c r="R212" i="2"/>
  <c r="T206" i="2"/>
  <c r="T200" i="2"/>
  <c r="T194" i="2"/>
  <c r="T209" i="2"/>
  <c r="T203" i="2"/>
  <c r="T197" i="2"/>
  <c r="T191" i="2"/>
  <c r="T204" i="2"/>
  <c r="R211" i="2"/>
  <c r="T190" i="2"/>
  <c r="T192" i="2"/>
  <c r="T198" i="2"/>
  <c r="A151" i="2"/>
  <c r="AP115" i="2"/>
  <c r="T305" i="2"/>
  <c r="T196" i="2"/>
  <c r="T88" i="2"/>
  <c r="BI107" i="2"/>
  <c r="BG107" i="2"/>
  <c r="T127" i="2"/>
  <c r="BA66" i="2"/>
  <c r="BA60" i="2"/>
  <c r="AZ70" i="2"/>
  <c r="AZ71" i="2"/>
  <c r="BA65" i="2"/>
  <c r="BA59" i="2"/>
  <c r="BA53" i="2"/>
  <c r="BA49" i="2"/>
  <c r="BA52" i="2"/>
  <c r="BA61" i="2"/>
  <c r="BA63" i="2"/>
  <c r="BA57" i="2"/>
  <c r="BA68" i="2"/>
  <c r="BA62" i="2"/>
  <c r="BA56" i="2"/>
  <c r="BA67" i="2"/>
  <c r="BA55" i="2"/>
  <c r="AZ74" i="2"/>
  <c r="AX1049" i="2" l="1"/>
  <c r="AX1050" i="2"/>
  <c r="T1540" i="2" a="1"/>
  <c r="T1540" i="2" s="1"/>
  <c r="T1539" i="2" s="1"/>
  <c r="T1930" i="2" a="1"/>
  <c r="T1930" i="2" s="1"/>
  <c r="T1929" i="2" s="1"/>
  <c r="T684" i="2"/>
  <c r="T687" i="2" a="1"/>
  <c r="T687" i="2" s="1"/>
  <c r="T686" i="2" s="1"/>
  <c r="T1683" i="2"/>
  <c r="T1685" i="2" a="1"/>
  <c r="T1685" i="2" s="1"/>
  <c r="T1684" i="2" s="1"/>
  <c r="T549" i="2" a="1"/>
  <c r="T549" i="2" s="1"/>
  <c r="T548" i="2" s="1"/>
  <c r="T546" i="2"/>
  <c r="T1824" i="2" a="1"/>
  <c r="T1824" i="2" s="1"/>
  <c r="T1823" i="2" s="1"/>
  <c r="T315" i="2"/>
  <c r="S470" i="2"/>
  <c r="S471" i="2"/>
  <c r="BM70" i="2"/>
  <c r="BM71" i="2"/>
  <c r="S885" i="2"/>
  <c r="BJ885" i="2" s="1"/>
  <c r="R903" i="2"/>
  <c r="T699" i="2" s="1"/>
  <c r="S895" i="2"/>
  <c r="BJ895" i="2" s="1"/>
  <c r="S890" i="2"/>
  <c r="BJ890" i="2" s="1"/>
  <c r="S880" i="2"/>
  <c r="BJ880" i="2" s="1"/>
  <c r="S876" i="2"/>
  <c r="BJ876" i="2" s="1"/>
  <c r="S872" i="2"/>
  <c r="BG872" i="2" s="1"/>
  <c r="S868" i="2"/>
  <c r="BG868" i="2" s="1"/>
  <c r="S864" i="2"/>
  <c r="BG864" i="2" s="1"/>
  <c r="S860" i="2"/>
  <c r="BG860" i="2" s="1"/>
  <c r="S856" i="2"/>
  <c r="BG856" i="2" s="1"/>
  <c r="S852" i="2"/>
  <c r="BG852" i="2" s="1"/>
  <c r="S848" i="2"/>
  <c r="BG848" i="2" s="1"/>
  <c r="S844" i="2"/>
  <c r="BG844" i="2" s="1"/>
  <c r="S840" i="2"/>
  <c r="BG840" i="2" s="1"/>
  <c r="S836" i="2"/>
  <c r="BG836" i="2" s="1"/>
  <c r="S832" i="2"/>
  <c r="BG832" i="2" s="1"/>
  <c r="S828" i="2"/>
  <c r="BG828" i="2" s="1"/>
  <c r="S824" i="2"/>
  <c r="BD824" i="2" s="1"/>
  <c r="S820" i="2"/>
  <c r="BD820" i="2" s="1"/>
  <c r="S812" i="2"/>
  <c r="AX812" i="2" s="1"/>
  <c r="S808" i="2"/>
  <c r="BD808" i="2" s="1"/>
  <c r="S804" i="2"/>
  <c r="BD804" i="2" s="1"/>
  <c r="S800" i="2"/>
  <c r="BG800" i="2" s="1"/>
  <c r="S796" i="2"/>
  <c r="AU796" i="2" s="1"/>
  <c r="S792" i="2"/>
  <c r="BA792" i="2" s="1"/>
  <c r="S788" i="2"/>
  <c r="BJ788" i="2" s="1"/>
  <c r="S784" i="2"/>
  <c r="AX784" i="2" s="1"/>
  <c r="S780" i="2"/>
  <c r="AX780" i="2" s="1"/>
  <c r="S776" i="2"/>
  <c r="BA776" i="2" s="1"/>
  <c r="S772" i="2"/>
  <c r="BG772" i="2" s="1"/>
  <c r="S768" i="2"/>
  <c r="AX768" i="2" s="1"/>
  <c r="S764" i="2"/>
  <c r="BD764" i="2" s="1"/>
  <c r="S898" i="2"/>
  <c r="BJ898" i="2" s="1"/>
  <c r="S897" i="2"/>
  <c r="BJ897" i="2" s="1"/>
  <c r="S891" i="2"/>
  <c r="BJ891" i="2" s="1"/>
  <c r="S886" i="2"/>
  <c r="BJ886" i="2" s="1"/>
  <c r="S881" i="2"/>
  <c r="BJ881" i="2" s="1"/>
  <c r="S877" i="2"/>
  <c r="BJ877" i="2" s="1"/>
  <c r="S873" i="2"/>
  <c r="BG873" i="2" s="1"/>
  <c r="S869" i="2"/>
  <c r="BG869" i="2" s="1"/>
  <c r="S865" i="2"/>
  <c r="BG865" i="2" s="1"/>
  <c r="S861" i="2"/>
  <c r="BG861" i="2" s="1"/>
  <c r="S857" i="2"/>
  <c r="BG857" i="2" s="1"/>
  <c r="S853" i="2"/>
  <c r="BG853" i="2" s="1"/>
  <c r="S849" i="2"/>
  <c r="BG849" i="2" s="1"/>
  <c r="S845" i="2"/>
  <c r="BG845" i="2" s="1"/>
  <c r="S841" i="2"/>
  <c r="BG841" i="2" s="1"/>
  <c r="S837" i="2"/>
  <c r="BG837" i="2" s="1"/>
  <c r="S833" i="2"/>
  <c r="BG833" i="2" s="1"/>
  <c r="S829" i="2"/>
  <c r="BG829" i="2" s="1"/>
  <c r="S825" i="2"/>
  <c r="BG825" i="2" s="1"/>
  <c r="S821" i="2"/>
  <c r="BD821" i="2" s="1"/>
  <c r="S817" i="2"/>
  <c r="AX817" i="2" s="1"/>
  <c r="S813" i="2"/>
  <c r="AX813" i="2" s="1"/>
  <c r="S809" i="2"/>
  <c r="BA809" i="2" s="1"/>
  <c r="S805" i="2"/>
  <c r="BG805" i="2" s="1"/>
  <c r="S801" i="2"/>
  <c r="AX801" i="2" s="1"/>
  <c r="S797" i="2"/>
  <c r="BD797" i="2" s="1"/>
  <c r="S793" i="2"/>
  <c r="BD793" i="2" s="1"/>
  <c r="S789" i="2"/>
  <c r="BG789" i="2" s="1"/>
  <c r="S785" i="2"/>
  <c r="AU785" i="2" s="1"/>
  <c r="S781" i="2"/>
  <c r="BA781" i="2" s="1"/>
  <c r="S705" i="2"/>
  <c r="BD705" i="2" s="1"/>
  <c r="S714" i="2"/>
  <c r="AX714" i="2" s="1"/>
  <c r="S726" i="2"/>
  <c r="BA726" i="2" s="1"/>
  <c r="S703" i="2"/>
  <c r="AX703" i="2" s="1"/>
  <c r="S773" i="2"/>
  <c r="AX773" i="2" s="1"/>
  <c r="S769" i="2"/>
  <c r="AX769" i="2" s="1"/>
  <c r="S742" i="2"/>
  <c r="BD742" i="2" s="1"/>
  <c r="S722" i="2"/>
  <c r="BJ722" i="2" s="1"/>
  <c r="S755" i="2"/>
  <c r="BJ755" i="2" s="1"/>
  <c r="S761" i="2"/>
  <c r="BG761" i="2" s="1"/>
  <c r="S697" i="2"/>
  <c r="S717" i="2"/>
  <c r="BG717" i="2" s="1"/>
  <c r="S721" i="2"/>
  <c r="BA721" i="2" s="1"/>
  <c r="S709" i="2"/>
  <c r="BD709" i="2" s="1"/>
  <c r="S767" i="2"/>
  <c r="BG767" i="2" s="1"/>
  <c r="S725" i="2"/>
  <c r="AX725" i="2" s="1"/>
  <c r="S771" i="2"/>
  <c r="BD771" i="2" s="1"/>
  <c r="S708" i="2"/>
  <c r="AU708" i="2" s="1"/>
  <c r="S736" i="2"/>
  <c r="AX736" i="2" s="1"/>
  <c r="S698" i="2"/>
  <c r="BD698" i="2" s="1"/>
  <c r="S704" i="2"/>
  <c r="BA704" i="2" s="1"/>
  <c r="S706" i="2"/>
  <c r="BG706" i="2" s="1"/>
  <c r="S814" i="2"/>
  <c r="BA814" i="2" s="1"/>
  <c r="S733" i="2"/>
  <c r="BJ733" i="2" s="1"/>
  <c r="S774" i="2"/>
  <c r="AU774" i="2" s="1"/>
  <c r="S723" i="2"/>
  <c r="BG723" i="2" s="1"/>
  <c r="S713" i="2"/>
  <c r="AX713" i="2" s="1"/>
  <c r="S794" i="2"/>
  <c r="BG794" i="2" s="1"/>
  <c r="S747" i="2"/>
  <c r="AX747" i="2" s="1"/>
  <c r="S770" i="2"/>
  <c r="BA770" i="2" s="1"/>
  <c r="S778" i="2"/>
  <c r="BG778" i="2" s="1"/>
  <c r="S743" i="2"/>
  <c r="BA743" i="2" s="1"/>
  <c r="S718" i="2"/>
  <c r="AX718" i="2" s="1"/>
  <c r="S791" i="2"/>
  <c r="AX791" i="2" s="1"/>
  <c r="S775" i="2"/>
  <c r="BD775" i="2" s="1"/>
  <c r="S738" i="2"/>
  <c r="BD738" i="2" s="1"/>
  <c r="S732" i="2"/>
  <c r="BA732" i="2" s="1"/>
  <c r="S727" i="2"/>
  <c r="BD727" i="2" s="1"/>
  <c r="S746" i="2"/>
  <c r="AX746" i="2" s="1"/>
  <c r="S745" i="2"/>
  <c r="BG745" i="2" s="1"/>
  <c r="S795" i="2"/>
  <c r="AX795" i="2" s="1"/>
  <c r="S816" i="2"/>
  <c r="BG816" i="2" s="1"/>
  <c r="S724" i="2"/>
  <c r="AX724" i="2" s="1"/>
  <c r="S810" i="2"/>
  <c r="BJ810" i="2" s="1"/>
  <c r="S751" i="2"/>
  <c r="AX751" i="2" s="1"/>
  <c r="S719" i="2"/>
  <c r="AU719" i="2" s="1"/>
  <c r="S734" i="2"/>
  <c r="BG734" i="2" s="1"/>
  <c r="S783" i="2"/>
  <c r="BG783" i="2" s="1"/>
  <c r="S750" i="2"/>
  <c r="BG750" i="2" s="1"/>
  <c r="S790" i="2"/>
  <c r="AX790" i="2" s="1"/>
  <c r="S728" i="2"/>
  <c r="BG728" i="2" s="1"/>
  <c r="S777" i="2"/>
  <c r="BJ777" i="2" s="1"/>
  <c r="S731" i="2"/>
  <c r="BD731" i="2" s="1"/>
  <c r="S707" i="2"/>
  <c r="AX707" i="2" s="1"/>
  <c r="S700" i="2"/>
  <c r="BJ700" i="2" s="1"/>
  <c r="S753" i="2"/>
  <c r="BD753" i="2" s="1"/>
  <c r="S752" i="2"/>
  <c r="AU752" i="2" s="1"/>
  <c r="S749" i="2"/>
  <c r="BD749" i="2" s="1"/>
  <c r="S806" i="2"/>
  <c r="AX806" i="2" s="1"/>
  <c r="S787" i="2"/>
  <c r="BA787" i="2" s="1"/>
  <c r="S765" i="2"/>
  <c r="BA765" i="2" s="1"/>
  <c r="S735" i="2"/>
  <c r="AX735" i="2" s="1"/>
  <c r="S757" i="2"/>
  <c r="AX757" i="2" s="1"/>
  <c r="S803" i="2"/>
  <c r="BA803" i="2" s="1"/>
  <c r="S807" i="2"/>
  <c r="AU807" i="2" s="1"/>
  <c r="S802" i="2"/>
  <c r="AX802" i="2" s="1"/>
  <c r="S763" i="2"/>
  <c r="AU763" i="2" s="1"/>
  <c r="S815" i="2"/>
  <c r="BD815" i="2" s="1"/>
  <c r="S740" i="2"/>
  <c r="AX740" i="2" s="1"/>
  <c r="S699" i="2"/>
  <c r="BA699" i="2" s="1"/>
  <c r="T697" i="2"/>
  <c r="S720" i="2"/>
  <c r="BD720" i="2" s="1"/>
  <c r="S782" i="2"/>
  <c r="BD782" i="2" s="1"/>
  <c r="S701" i="2"/>
  <c r="BG701" i="2" s="1"/>
  <c r="S811" i="2"/>
  <c r="BG811" i="2" s="1"/>
  <c r="S766" i="2"/>
  <c r="BJ766" i="2" s="1"/>
  <c r="S786" i="2"/>
  <c r="BD786" i="2" s="1"/>
  <c r="S758" i="2"/>
  <c r="AX758" i="2" s="1"/>
  <c r="S900" i="2"/>
  <c r="BJ900" i="2" s="1"/>
  <c r="S896" i="2"/>
  <c r="BJ896" i="2" s="1"/>
  <c r="S744" i="2"/>
  <c r="BJ744" i="2" s="1"/>
  <c r="S884" i="2"/>
  <c r="BJ884" i="2" s="1"/>
  <c r="S739" i="2"/>
  <c r="BG739" i="2" s="1"/>
  <c r="S737" i="2"/>
  <c r="BA737" i="2" s="1"/>
  <c r="S889" i="2"/>
  <c r="BJ889" i="2" s="1"/>
  <c r="S730" i="2"/>
  <c r="AU730" i="2" s="1"/>
  <c r="S893" i="2"/>
  <c r="BJ893" i="2" s="1"/>
  <c r="S762" i="2"/>
  <c r="AX762" i="2" s="1"/>
  <c r="S711" i="2"/>
  <c r="BJ711" i="2" s="1"/>
  <c r="S741" i="2"/>
  <c r="AU741" i="2" s="1"/>
  <c r="S702" i="2"/>
  <c r="AX702" i="2" s="1"/>
  <c r="S798" i="2"/>
  <c r="BA798" i="2" s="1"/>
  <c r="S799" i="2"/>
  <c r="BJ799" i="2" s="1"/>
  <c r="T698" i="2"/>
  <c r="S779" i="2"/>
  <c r="AX779" i="2" s="1"/>
  <c r="S729" i="2"/>
  <c r="AX729" i="2" s="1"/>
  <c r="S901" i="2"/>
  <c r="BJ901" i="2" s="1"/>
  <c r="T1960" i="2"/>
  <c r="S847" i="2"/>
  <c r="BG847" i="2" s="1"/>
  <c r="S823" i="2"/>
  <c r="BD823" i="2" s="1"/>
  <c r="T1645" i="2"/>
  <c r="S859" i="2"/>
  <c r="BG859" i="2" s="1"/>
  <c r="S1683" i="2"/>
  <c r="S1682" i="2"/>
  <c r="R905" i="2"/>
  <c r="T701" i="2" s="1"/>
  <c r="T702" i="2"/>
  <c r="S1396" i="2"/>
  <c r="BJ1396" i="2" s="1"/>
  <c r="S1339" i="2"/>
  <c r="BG1339" i="2" s="1"/>
  <c r="S1333" i="2"/>
  <c r="BD1333" i="2" s="1"/>
  <c r="S1358" i="2"/>
  <c r="BG1358" i="2" s="1"/>
  <c r="S1291" i="2"/>
  <c r="BJ1291" i="2" s="1"/>
  <c r="S1395" i="2"/>
  <c r="BJ1395" i="2" s="1"/>
  <c r="S1359" i="2"/>
  <c r="BG1359" i="2" s="1"/>
  <c r="S1289" i="2"/>
  <c r="BJ1289" i="2" s="1"/>
  <c r="S1285" i="2"/>
  <c r="S1236" i="2"/>
  <c r="S1330" i="2"/>
  <c r="S1367" i="2"/>
  <c r="BG1367" i="2" s="1"/>
  <c r="S1256" i="2"/>
  <c r="BC1430" i="2"/>
  <c r="BJ75" i="2" a="1"/>
  <c r="BJ75" i="2" s="1"/>
  <c r="BJ74" i="2" s="1"/>
  <c r="BJ76" i="2"/>
  <c r="BJ69" i="2" a="1"/>
  <c r="BJ69" i="2" s="1"/>
  <c r="BJ440" i="2"/>
  <c r="BJ439" i="2" s="1"/>
  <c r="BJ438" i="2" s="1"/>
  <c r="S685" i="2"/>
  <c r="S684" i="2"/>
  <c r="BF902" i="2"/>
  <c r="T1500" i="2"/>
  <c r="S858" i="2"/>
  <c r="BG858" i="2" s="1"/>
  <c r="S863" i="2"/>
  <c r="BG863" i="2" s="1"/>
  <c r="T1028" i="2"/>
  <c r="T733" i="2"/>
  <c r="T737" i="2"/>
  <c r="BF1425" i="2"/>
  <c r="S1927" i="2"/>
  <c r="S1928" i="2"/>
  <c r="S1214" i="2" a="1"/>
  <c r="S1214" i="2" s="1"/>
  <c r="S1213" i="2" s="1"/>
  <c r="S1210" i="2"/>
  <c r="S1215" i="2"/>
  <c r="AU1064" i="2"/>
  <c r="BC909" i="2"/>
  <c r="BC908" i="2" s="1"/>
  <c r="BC907" i="2" s="1"/>
  <c r="BC902" i="2"/>
  <c r="AW904" i="2"/>
  <c r="S1332" i="2"/>
  <c r="BD1332" i="2" s="1"/>
  <c r="S1382" i="2"/>
  <c r="BG1382" i="2" s="1"/>
  <c r="S1392" i="2"/>
  <c r="BJ1392" i="2" s="1"/>
  <c r="S1272" i="2"/>
  <c r="S1274" i="2"/>
  <c r="S1363" i="2"/>
  <c r="BG1363" i="2" s="1"/>
  <c r="S1343" i="2"/>
  <c r="BG1343" i="2" s="1"/>
  <c r="S1266" i="2"/>
  <c r="S1279" i="2"/>
  <c r="S1385" i="2"/>
  <c r="BG1385" i="2" s="1"/>
  <c r="S1406" i="2"/>
  <c r="BJ1406" i="2" s="1"/>
  <c r="S1351" i="2"/>
  <c r="BG1351" i="2" s="1"/>
  <c r="S1233" i="2"/>
  <c r="S1268" i="2"/>
  <c r="BS70" i="2"/>
  <c r="BS71" i="2"/>
  <c r="AP151" i="2"/>
  <c r="A187" i="2"/>
  <c r="BS74" i="2"/>
  <c r="BC1427" i="2"/>
  <c r="BC1426" i="2"/>
  <c r="BV75" i="2" a="1"/>
  <c r="BV75" i="2" s="1"/>
  <c r="BV74" i="2" s="1"/>
  <c r="BV76" i="2"/>
  <c r="BV69" i="2" a="1"/>
  <c r="BV69" i="2" s="1"/>
  <c r="BP70" i="2"/>
  <c r="BP71" i="2"/>
  <c r="BM74" i="2"/>
  <c r="T615" i="2"/>
  <c r="AU315" i="2"/>
  <c r="AU322" i="2"/>
  <c r="AU321" i="2" s="1"/>
  <c r="AU320" i="2" s="1"/>
  <c r="S1356" i="2"/>
  <c r="BG1356" i="2" s="1"/>
  <c r="S140" i="2"/>
  <c r="S139" i="2"/>
  <c r="S830" i="2"/>
  <c r="BG830" i="2" s="1"/>
  <c r="S1501" i="2"/>
  <c r="S1502" i="2"/>
  <c r="S894" i="2"/>
  <c r="BJ894" i="2" s="1"/>
  <c r="T1050" i="2"/>
  <c r="T1856" i="2"/>
  <c r="T1368" i="2"/>
  <c r="T1364" i="2"/>
  <c r="S1929" i="2"/>
  <c r="S827" i="2"/>
  <c r="BG827" i="2" s="1"/>
  <c r="S818" i="2"/>
  <c r="BD818" i="2" s="1"/>
  <c r="AW903" i="2"/>
  <c r="S1338" i="2"/>
  <c r="BG1338" i="2" s="1"/>
  <c r="S1362" i="2"/>
  <c r="BG1362" i="2" s="1"/>
  <c r="S1387" i="2"/>
  <c r="BJ1387" i="2" s="1"/>
  <c r="S1353" i="2"/>
  <c r="BG1353" i="2" s="1"/>
  <c r="S1247" i="2"/>
  <c r="T1331" i="2"/>
  <c r="S1342" i="2"/>
  <c r="BG1342" i="2" s="1"/>
  <c r="S1290" i="2"/>
  <c r="BJ1290" i="2" s="1"/>
  <c r="S1357" i="2"/>
  <c r="BG1357" i="2" s="1"/>
  <c r="S1341" i="2"/>
  <c r="BG1341" i="2" s="1"/>
  <c r="S1375" i="2"/>
  <c r="BG1375" i="2" s="1"/>
  <c r="S1374" i="2"/>
  <c r="BG1374" i="2" s="1"/>
  <c r="S1245" i="2"/>
  <c r="S1280" i="2"/>
  <c r="T1208" i="2"/>
  <c r="T1333" i="2"/>
  <c r="AW1581" i="2"/>
  <c r="AW1580" i="2" s="1"/>
  <c r="AW1579" i="2" s="1"/>
  <c r="AW1574" i="2"/>
  <c r="T877" i="2"/>
  <c r="T1363" i="2"/>
  <c r="T1367" i="2"/>
  <c r="T873" i="2"/>
  <c r="S1786" i="2"/>
  <c r="S1787" i="2"/>
  <c r="S1415" i="2"/>
  <c r="AX1415" i="2" s="1"/>
  <c r="S1350" i="2"/>
  <c r="BG1350" i="2" s="1"/>
  <c r="S1251" i="2"/>
  <c r="S1259" i="2"/>
  <c r="S1284" i="2"/>
  <c r="S1410" i="2"/>
  <c r="BJ1410" i="2" s="1"/>
  <c r="S1275" i="2"/>
  <c r="S1248" i="2"/>
  <c r="S1402" i="2"/>
  <c r="BJ1402" i="2" s="1"/>
  <c r="S1384" i="2"/>
  <c r="BG1384" i="2" s="1"/>
  <c r="S1366" i="2"/>
  <c r="BG1366" i="2" s="1"/>
  <c r="S1346" i="2"/>
  <c r="BG1346" i="2" s="1"/>
  <c r="S1300" i="2"/>
  <c r="S1293" i="2"/>
  <c r="BJ1293" i="2" s="1"/>
  <c r="T174" i="2"/>
  <c r="S280" i="2"/>
  <c r="S281" i="2"/>
  <c r="BJ1055" i="2"/>
  <c r="BJ1054" i="2" s="1"/>
  <c r="BJ1053" i="2" s="1"/>
  <c r="BJ1048" i="2"/>
  <c r="BA315" i="2"/>
  <c r="BA322" i="2"/>
  <c r="BA321" i="2" s="1"/>
  <c r="BG440" i="2"/>
  <c r="BG439" i="2" s="1"/>
  <c r="BG438" i="2" s="1"/>
  <c r="BP74" i="2"/>
  <c r="S211" i="2"/>
  <c r="S212" i="2"/>
  <c r="S617" i="2"/>
  <c r="S616" i="2"/>
  <c r="S878" i="2"/>
  <c r="BJ878" i="2" s="1"/>
  <c r="BI909" i="2"/>
  <c r="BI908" i="2" s="1"/>
  <c r="BI907" i="2" s="1"/>
  <c r="AW1211" i="2"/>
  <c r="AW1212" i="2"/>
  <c r="S1788" i="2"/>
  <c r="S875" i="2"/>
  <c r="BJ875" i="2" s="1"/>
  <c r="AX1210" i="2"/>
  <c r="AX1217" i="2"/>
  <c r="AX1216" i="2" s="1"/>
  <c r="S1578" i="2" a="1"/>
  <c r="S1578" i="2" s="1"/>
  <c r="S1577" i="2" s="1"/>
  <c r="S1574" i="2"/>
  <c r="AX1554" i="2"/>
  <c r="S1579" i="2"/>
  <c r="S1299" i="2"/>
  <c r="S1287" i="2"/>
  <c r="S1263" i="2"/>
  <c r="S1414" i="2"/>
  <c r="AX1414" i="2" s="1"/>
  <c r="S1267" i="2"/>
  <c r="S1309" i="2"/>
  <c r="BJ1309" i="2" s="1"/>
  <c r="S1303" i="2"/>
  <c r="BJ1303" i="2" s="1"/>
  <c r="S1255" i="2"/>
  <c r="S1405" i="2"/>
  <c r="BJ1405" i="2" s="1"/>
  <c r="S1364" i="2"/>
  <c r="BG1364" i="2" s="1"/>
  <c r="S1411" i="2"/>
  <c r="BJ1411" i="2" s="1"/>
  <c r="T1330" i="2"/>
  <c r="S1334" i="2"/>
  <c r="BD1334" i="2" s="1"/>
  <c r="S1240" i="2"/>
  <c r="S1297" i="2"/>
  <c r="BJ322" i="2"/>
  <c r="BJ321" i="2" s="1"/>
  <c r="BJ315" i="2"/>
  <c r="S580" i="2"/>
  <c r="S581" i="2"/>
  <c r="T138" i="2"/>
  <c r="BI317" i="2"/>
  <c r="S213" i="2"/>
  <c r="S1719" i="2"/>
  <c r="S1718" i="2"/>
  <c r="T1026" i="2"/>
  <c r="T1048" i="2" s="1"/>
  <c r="T735" i="2"/>
  <c r="T731" i="2"/>
  <c r="S866" i="2"/>
  <c r="BG866" i="2" s="1"/>
  <c r="BG1217" i="2"/>
  <c r="BG1216" i="2" s="1"/>
  <c r="BG1215" i="2" s="1"/>
  <c r="BG1210" i="2"/>
  <c r="S1292" i="2"/>
  <c r="BJ1292" i="2" s="1"/>
  <c r="S1226" i="2"/>
  <c r="S1283" i="2"/>
  <c r="S1271" i="2"/>
  <c r="S1229" i="2"/>
  <c r="S1269" i="2"/>
  <c r="S1235" i="2"/>
  <c r="S1227" i="2"/>
  <c r="BD1227" i="2" s="1"/>
  <c r="S1403" i="2"/>
  <c r="BJ1403" i="2" s="1"/>
  <c r="S1391" i="2"/>
  <c r="BJ1391" i="2" s="1"/>
  <c r="S1408" i="2"/>
  <c r="BJ1408" i="2" s="1"/>
  <c r="S1373" i="2"/>
  <c r="BG1373" i="2" s="1"/>
  <c r="S1252" i="2"/>
  <c r="S1307" i="2"/>
  <c r="BJ1307" i="2" s="1"/>
  <c r="T249" i="2" a="1"/>
  <c r="T249" i="2" s="1"/>
  <c r="T248" i="2" s="1"/>
  <c r="T210" i="2"/>
  <c r="BG74" i="2"/>
  <c r="S73" i="2" a="1"/>
  <c r="S73" i="2" s="1"/>
  <c r="S72" i="2" s="1"/>
  <c r="S69" i="2"/>
  <c r="AT316" i="2"/>
  <c r="T579" i="2"/>
  <c r="S834" i="2"/>
  <c r="BG834" i="2" s="1"/>
  <c r="BI316" i="2"/>
  <c r="S835" i="2"/>
  <c r="BG835" i="2" s="1"/>
  <c r="T1404" i="2"/>
  <c r="T1408" i="2"/>
  <c r="T1751" i="2"/>
  <c r="AT1212" i="2"/>
  <c r="AT1211" i="2"/>
  <c r="BJ1217" i="2"/>
  <c r="BJ1216" i="2" s="1"/>
  <c r="BJ1215" i="2" s="1"/>
  <c r="BJ1210" i="2"/>
  <c r="S1720" i="2"/>
  <c r="AW486" i="2"/>
  <c r="R509" i="2"/>
  <c r="R510" i="2"/>
  <c r="R505" i="2"/>
  <c r="S846" i="2"/>
  <c r="BG846" i="2" s="1"/>
  <c r="S1372" i="2"/>
  <c r="BG1372" i="2" s="1"/>
  <c r="S1538" i="2"/>
  <c r="S1537" i="2"/>
  <c r="BF909" i="2"/>
  <c r="BF908" i="2" s="1"/>
  <c r="BF907" i="2" s="1"/>
  <c r="T1460" i="2"/>
  <c r="T1717" i="2"/>
  <c r="BD1210" i="2"/>
  <c r="BD1217" i="2"/>
  <c r="BD1216" i="2" s="1"/>
  <c r="BD1215" i="2" s="1"/>
  <c r="T1892" i="2"/>
  <c r="S1281" i="2"/>
  <c r="S1260" i="2"/>
  <c r="S1294" i="2"/>
  <c r="S1246" i="2"/>
  <c r="S1238" i="2"/>
  <c r="S1296" i="2"/>
  <c r="S1273" i="2"/>
  <c r="S1295" i="2"/>
  <c r="S1348" i="2"/>
  <c r="BG1348" i="2" s="1"/>
  <c r="S1355" i="2"/>
  <c r="BG1355" i="2" s="1"/>
  <c r="S1393" i="2"/>
  <c r="BJ1393" i="2" s="1"/>
  <c r="S1345" i="2"/>
  <c r="BG1345" i="2" s="1"/>
  <c r="S1386" i="2"/>
  <c r="BJ1386" i="2" s="1"/>
  <c r="S1264" i="2"/>
  <c r="S319" i="2" a="1"/>
  <c r="S319" i="2" s="1"/>
  <c r="S315" i="2"/>
  <c r="AX295" i="2"/>
  <c r="S320" i="2"/>
  <c r="BG71" i="2"/>
  <c r="BG70" i="2"/>
  <c r="AW316" i="2"/>
  <c r="AW317" i="2"/>
  <c r="S547" i="2"/>
  <c r="S546" i="2"/>
  <c r="R1428" i="2"/>
  <c r="T845" i="2"/>
  <c r="T1335" i="2"/>
  <c r="BD75" i="2" a="1"/>
  <c r="BD75" i="2" s="1"/>
  <c r="BD69" i="2" a="1"/>
  <c r="BD69" i="2" s="1"/>
  <c r="BD76" i="2"/>
  <c r="AT903" i="2"/>
  <c r="AT904" i="2"/>
  <c r="BG315" i="2"/>
  <c r="BG322" i="2"/>
  <c r="BG321" i="2" s="1"/>
  <c r="T1403" i="2"/>
  <c r="T1407" i="2"/>
  <c r="AW1590" i="2"/>
  <c r="R1614" i="2"/>
  <c r="R1613" i="2"/>
  <c r="R1609" i="2"/>
  <c r="S141" i="2"/>
  <c r="T846" i="2"/>
  <c r="T805" i="2"/>
  <c r="T1103" i="2"/>
  <c r="T809" i="2"/>
  <c r="T1099" i="2"/>
  <c r="S1822" i="2"/>
  <c r="S1821" i="2"/>
  <c r="S1286" i="2"/>
  <c r="S1301" i="2"/>
  <c r="S1261" i="2"/>
  <c r="S1265" i="2"/>
  <c r="S1254" i="2"/>
  <c r="S1305" i="2"/>
  <c r="BJ1305" i="2" s="1"/>
  <c r="S1258" i="2"/>
  <c r="S1270" i="2"/>
  <c r="S1379" i="2"/>
  <c r="BG1379" i="2" s="1"/>
  <c r="T841" i="2"/>
  <c r="S1337" i="2"/>
  <c r="BG1337" i="2" s="1"/>
  <c r="S1352" i="2"/>
  <c r="BG1352" i="2" s="1"/>
  <c r="S1335" i="2"/>
  <c r="BD1335" i="2" s="1"/>
  <c r="S1276" i="2"/>
  <c r="S1239" i="2"/>
  <c r="S651" i="2"/>
  <c r="S650" i="2"/>
  <c r="S652" i="2"/>
  <c r="AW320" i="2"/>
  <c r="S548" i="2"/>
  <c r="T104" i="2"/>
  <c r="S433" i="2" a="1"/>
  <c r="S433" i="2" s="1"/>
  <c r="S437" i="2" a="1"/>
  <c r="S437" i="2" s="1"/>
  <c r="S436" i="2" s="1"/>
  <c r="S438" i="2"/>
  <c r="AX331" i="2"/>
  <c r="AX440" i="2" s="1"/>
  <c r="AX439" i="2" s="1"/>
  <c r="AX438" i="2" s="1"/>
  <c r="BD440" i="2"/>
  <c r="BD439" i="2" s="1"/>
  <c r="BD438" i="2" s="1"/>
  <c r="AT907" i="2"/>
  <c r="T69" i="2"/>
  <c r="S882" i="2"/>
  <c r="BJ882" i="2" s="1"/>
  <c r="S883" i="2"/>
  <c r="BJ883" i="2" s="1"/>
  <c r="S871" i="2"/>
  <c r="BG871" i="2" s="1"/>
  <c r="S1857" i="2"/>
  <c r="S1858" i="2"/>
  <c r="S851" i="2"/>
  <c r="BG851" i="2" s="1"/>
  <c r="T1785" i="2"/>
  <c r="S854" i="2"/>
  <c r="BG854" i="2" s="1"/>
  <c r="T469" i="2"/>
  <c r="T772" i="2"/>
  <c r="T768" i="2"/>
  <c r="T1066" i="2"/>
  <c r="T1574" i="2"/>
  <c r="AW1215" i="2"/>
  <c r="S1234" i="2"/>
  <c r="S1413" i="2"/>
  <c r="BJ1413" i="2" s="1"/>
  <c r="S1304" i="2"/>
  <c r="BJ1304" i="2" s="1"/>
  <c r="S1306" i="2"/>
  <c r="BJ1306" i="2" s="1"/>
  <c r="S1282" i="2"/>
  <c r="S1298" i="2"/>
  <c r="S1242" i="2"/>
  <c r="S1336" i="2"/>
  <c r="BD1336" i="2" s="1"/>
  <c r="S1249" i="2"/>
  <c r="S1399" i="2"/>
  <c r="BJ1399" i="2" s="1"/>
  <c r="S1407" i="2"/>
  <c r="BJ1407" i="2" s="1"/>
  <c r="S1340" i="2"/>
  <c r="BG1340" i="2" s="1"/>
  <c r="S1370" i="2"/>
  <c r="BG1370" i="2" s="1"/>
  <c r="S1288" i="2"/>
  <c r="R1426" i="2"/>
  <c r="S175" i="2"/>
  <c r="S176" i="2"/>
  <c r="T773" i="2"/>
  <c r="T1067" i="2"/>
  <c r="T769" i="2"/>
  <c r="AW489" i="2"/>
  <c r="T489" i="2"/>
  <c r="S489" i="2" s="1"/>
  <c r="AX489" i="2" s="1"/>
  <c r="T279" i="2"/>
  <c r="BF317" i="2"/>
  <c r="S1380" i="2"/>
  <c r="BG1380" i="2" s="1"/>
  <c r="T771" i="2"/>
  <c r="T767" i="2"/>
  <c r="T1065" i="2"/>
  <c r="AZ1212" i="2"/>
  <c r="S1237" i="2"/>
  <c r="S1369" i="2"/>
  <c r="BG1369" i="2" s="1"/>
  <c r="S1401" i="2"/>
  <c r="BJ1401" i="2" s="1"/>
  <c r="S1365" i="2"/>
  <c r="BG1365" i="2" s="1"/>
  <c r="S1409" i="2"/>
  <c r="BJ1409" i="2" s="1"/>
  <c r="S1397" i="2"/>
  <c r="BJ1397" i="2" s="1"/>
  <c r="S1389" i="2"/>
  <c r="BJ1389" i="2" s="1"/>
  <c r="S1390" i="2"/>
  <c r="BJ1390" i="2" s="1"/>
  <c r="S1278" i="2"/>
  <c r="S1400" i="2"/>
  <c r="BJ1400" i="2" s="1"/>
  <c r="S1376" i="2"/>
  <c r="BG1376" i="2" s="1"/>
  <c r="S1371" i="2"/>
  <c r="BG1371" i="2" s="1"/>
  <c r="S1241" i="2"/>
  <c r="S1228" i="2"/>
  <c r="BD1228" i="2" s="1"/>
  <c r="BI1427" i="2"/>
  <c r="T653" i="2" a="1"/>
  <c r="T653" i="2" s="1"/>
  <c r="T652" i="2" s="1"/>
  <c r="BD315" i="2"/>
  <c r="BD322" i="2"/>
  <c r="BD321" i="2" s="1"/>
  <c r="S105" i="2"/>
  <c r="S106" i="2"/>
  <c r="S472" i="2"/>
  <c r="S282" i="2"/>
  <c r="AW1593" i="2"/>
  <c r="S899" i="2"/>
  <c r="BJ899" i="2" s="1"/>
  <c r="S855" i="2"/>
  <c r="BG855" i="2" s="1"/>
  <c r="S1646" i="2"/>
  <c r="S1647" i="2"/>
  <c r="BF316" i="2"/>
  <c r="S1052" i="2" a="1"/>
  <c r="S1052" i="2" s="1"/>
  <c r="S1051" i="2" s="1"/>
  <c r="S1048" i="2"/>
  <c r="BD918" i="2"/>
  <c r="S1050" i="2"/>
  <c r="S1053" i="2"/>
  <c r="T1405" i="2"/>
  <c r="T1409" i="2"/>
  <c r="AZ1211" i="2"/>
  <c r="S1231" i="2"/>
  <c r="S1412" i="2"/>
  <c r="BJ1412" i="2" s="1"/>
  <c r="S1398" i="2"/>
  <c r="BJ1398" i="2" s="1"/>
  <c r="S1394" i="2"/>
  <c r="BJ1394" i="2" s="1"/>
  <c r="S1349" i="2"/>
  <c r="BG1349" i="2" s="1"/>
  <c r="S1377" i="2"/>
  <c r="BG1377" i="2" s="1"/>
  <c r="S1361" i="2"/>
  <c r="BG1361" i="2" s="1"/>
  <c r="S1354" i="2"/>
  <c r="BG1354" i="2" s="1"/>
  <c r="S1243" i="2"/>
  <c r="S1302" i="2"/>
  <c r="S1360" i="2"/>
  <c r="BG1360" i="2" s="1"/>
  <c r="S1404" i="2"/>
  <c r="BJ1404" i="2" s="1"/>
  <c r="S1253" i="2"/>
  <c r="S1232" i="2"/>
  <c r="BI1426" i="2"/>
  <c r="BA76" i="2"/>
  <c r="BA75" i="2" a="1"/>
  <c r="BA75" i="2" s="1"/>
  <c r="BA74" i="2" s="1"/>
  <c r="BA69" i="2" a="1"/>
  <c r="BA69" i="2" s="1"/>
  <c r="AU76" i="2"/>
  <c r="S74" i="2" s="1"/>
  <c r="AU69" i="2" a="1"/>
  <c r="AU69" i="2" s="1"/>
  <c r="AU75" i="2" a="1"/>
  <c r="AU75" i="2" s="1"/>
  <c r="AX76" i="2"/>
  <c r="AX75" i="2" a="1"/>
  <c r="AX75" i="2" s="1"/>
  <c r="AX69" i="2" a="1"/>
  <c r="AX69" i="2" s="1"/>
  <c r="T433" i="2" a="1"/>
  <c r="T433" i="2" s="1"/>
  <c r="T1319" i="2" a="1"/>
  <c r="T1319" i="2" s="1"/>
  <c r="T1318" i="2" s="1"/>
  <c r="T1097" i="2"/>
  <c r="T803" i="2"/>
  <c r="T807" i="2"/>
  <c r="T1101" i="2"/>
  <c r="BG1048" i="2"/>
  <c r="BG1055" i="2"/>
  <c r="BG1054" i="2" s="1"/>
  <c r="BA1210" i="2"/>
  <c r="BA1217" i="2"/>
  <c r="BA1216" i="2" s="1"/>
  <c r="BA1215" i="2" s="1"/>
  <c r="S1262" i="2"/>
  <c r="S1344" i="2"/>
  <c r="BG1344" i="2" s="1"/>
  <c r="S1381" i="2"/>
  <c r="BG1381" i="2" s="1"/>
  <c r="S1378" i="2"/>
  <c r="BG1378" i="2" s="1"/>
  <c r="S1331" i="2"/>
  <c r="BD1331" i="2" s="1"/>
  <c r="S1388" i="2"/>
  <c r="BJ1388" i="2" s="1"/>
  <c r="S1368" i="2"/>
  <c r="BG1368" i="2" s="1"/>
  <c r="S1250" i="2"/>
  <c r="S1257" i="2"/>
  <c r="S1230" i="2"/>
  <c r="S1347" i="2"/>
  <c r="BG1347" i="2" s="1"/>
  <c r="S1383" i="2"/>
  <c r="BG1383" i="2" s="1"/>
  <c r="S1277" i="2"/>
  <c r="S1244" i="2"/>
  <c r="T1052" i="2" l="1" a="1"/>
  <c r="T1052" i="2" s="1"/>
  <c r="T1051" i="2" s="1"/>
  <c r="T1721" i="2" a="1"/>
  <c r="T1721" i="2" s="1"/>
  <c r="T1720" i="2" s="1"/>
  <c r="T583" i="2" a="1"/>
  <c r="T583" i="2" s="1"/>
  <c r="T582" i="2" s="1"/>
  <c r="BJ316" i="2"/>
  <c r="BJ317" i="2"/>
  <c r="BA316" i="2"/>
  <c r="BA317" i="2"/>
  <c r="A222" i="2"/>
  <c r="AP187" i="2"/>
  <c r="T1316" i="2"/>
  <c r="T650" i="2"/>
  <c r="T283" i="2" a="1"/>
  <c r="T283" i="2" s="1"/>
  <c r="T282" i="2" s="1"/>
  <c r="T1464" i="2" a="1"/>
  <c r="T1464" i="2" s="1"/>
  <c r="T1463" i="2" s="1"/>
  <c r="BJ320" i="2"/>
  <c r="AX1425" i="2"/>
  <c r="AX1432" i="2"/>
  <c r="AX1431" i="2" s="1"/>
  <c r="BJ1049" i="2"/>
  <c r="BJ1050" i="2"/>
  <c r="AU316" i="2"/>
  <c r="AU317" i="2"/>
  <c r="T1821" i="2"/>
  <c r="BI904" i="2"/>
  <c r="AW505" i="2"/>
  <c r="AW512" i="2"/>
  <c r="AW511" i="2" s="1"/>
  <c r="T1649" i="2" a="1"/>
  <c r="T1649" i="2" s="1"/>
  <c r="T1648" i="2" s="1"/>
  <c r="T317" i="2"/>
  <c r="T319" i="2" a="1"/>
  <c r="T319" i="2" s="1"/>
  <c r="T318" i="2" s="1"/>
  <c r="T437" i="2" a="1"/>
  <c r="T437" i="2" s="1"/>
  <c r="T436" i="2" s="1"/>
  <c r="T651" i="2"/>
  <c r="T1575" i="2"/>
  <c r="T1576" i="2"/>
  <c r="T1578" i="2" a="1"/>
  <c r="T1578" i="2" s="1"/>
  <c r="T1577" i="2" s="1"/>
  <c r="BJ1211" i="2"/>
  <c r="BJ1212" i="2"/>
  <c r="S70" i="2"/>
  <c r="S71" i="2"/>
  <c r="AW1575" i="2"/>
  <c r="AW1576" i="2"/>
  <c r="T1860" i="2" a="1"/>
  <c r="T1860" i="2" s="1"/>
  <c r="T1859" i="2" s="1"/>
  <c r="T616" i="2"/>
  <c r="T617" i="2"/>
  <c r="T619" i="2" a="1"/>
  <c r="T619" i="2" s="1"/>
  <c r="T618" i="2" s="1"/>
  <c r="BJ70" i="2"/>
  <c r="BJ71" i="2"/>
  <c r="T1822" i="2"/>
  <c r="BI903" i="2"/>
  <c r="S75" i="2"/>
  <c r="AX70" i="2"/>
  <c r="AX71" i="2"/>
  <c r="T73" i="2" a="1"/>
  <c r="T73" i="2" s="1"/>
  <c r="T72" i="2" s="1"/>
  <c r="T71" i="2"/>
  <c r="R1611" i="2"/>
  <c r="T1607" i="2"/>
  <c r="R1610" i="2"/>
  <c r="S1603" i="2"/>
  <c r="AX1603" i="2" s="1"/>
  <c r="S1605" i="2"/>
  <c r="AX1605" i="2" s="1"/>
  <c r="S1596" i="2"/>
  <c r="AX1596" i="2" s="1"/>
  <c r="T1608" i="2"/>
  <c r="S1594" i="2"/>
  <c r="AX1594" i="2" s="1"/>
  <c r="T1604" i="2"/>
  <c r="T1601" i="2"/>
  <c r="T1597" i="2"/>
  <c r="S1604" i="2"/>
  <c r="AX1604" i="2" s="1"/>
  <c r="S1600" i="2"/>
  <c r="AX1600" i="2" s="1"/>
  <c r="T1602" i="2"/>
  <c r="S1601" i="2"/>
  <c r="AX1601" i="2" s="1"/>
  <c r="T1591" i="2"/>
  <c r="T1589" i="2"/>
  <c r="S1591" i="2"/>
  <c r="AX1591" i="2" s="1"/>
  <c r="S1589" i="2"/>
  <c r="T1600" i="2"/>
  <c r="T1605" i="2"/>
  <c r="T1595" i="2"/>
  <c r="T1599" i="2"/>
  <c r="S1595" i="2"/>
  <c r="AX1595" i="2" s="1"/>
  <c r="S1599" i="2"/>
  <c r="AX1599" i="2" s="1"/>
  <c r="T1598" i="2"/>
  <c r="T1596" i="2"/>
  <c r="T1606" i="2"/>
  <c r="T1603" i="2"/>
  <c r="S1602" i="2"/>
  <c r="AX1602" i="2" s="1"/>
  <c r="S1592" i="2"/>
  <c r="AX1592" i="2" s="1"/>
  <c r="S1598" i="2"/>
  <c r="AX1598" i="2" s="1"/>
  <c r="T1594" i="2"/>
  <c r="S1597" i="2"/>
  <c r="AX1597" i="2" s="1"/>
  <c r="S1606" i="2"/>
  <c r="AX1606" i="2" s="1"/>
  <c r="T1592" i="2"/>
  <c r="BF1427" i="2"/>
  <c r="BF1426" i="2"/>
  <c r="T1964" i="2" a="1"/>
  <c r="T1964" i="2" s="1"/>
  <c r="T1963" i="2" s="1"/>
  <c r="T1961" i="2"/>
  <c r="T1962" i="2"/>
  <c r="BG902" i="2"/>
  <c r="BG909" i="2"/>
  <c r="BG908" i="2" s="1"/>
  <c r="AX74" i="2"/>
  <c r="S1593" i="2"/>
  <c r="AX1593" i="2" s="1"/>
  <c r="R1612" i="2"/>
  <c r="BD71" i="2"/>
  <c r="BD70" i="2"/>
  <c r="AX322" i="2"/>
  <c r="AX321" i="2" s="1"/>
  <c r="AX315" i="2"/>
  <c r="T1928" i="2"/>
  <c r="BA1211" i="2"/>
  <c r="BA1212" i="2"/>
  <c r="T1593" i="2"/>
  <c r="BD74" i="2"/>
  <c r="S316" i="2"/>
  <c r="S317" i="2"/>
  <c r="T214" i="2" a="1"/>
  <c r="T214" i="2" s="1"/>
  <c r="T213" i="2" s="1"/>
  <c r="T211" i="2"/>
  <c r="T178" i="2" a="1"/>
  <c r="T178" i="2" s="1"/>
  <c r="T177" i="2" s="1"/>
  <c r="T175" i="2"/>
  <c r="T1927" i="2"/>
  <c r="BG1053" i="2"/>
  <c r="AU74" i="2"/>
  <c r="T470" i="2"/>
  <c r="T473" i="2" a="1"/>
  <c r="T473" i="2" s="1"/>
  <c r="T472" i="2" s="1"/>
  <c r="S1590" i="2"/>
  <c r="AX1590" i="2" s="1"/>
  <c r="S318" i="2"/>
  <c r="T1755" i="2" a="1"/>
  <c r="T1755" i="2" s="1"/>
  <c r="T1754" i="2" s="1"/>
  <c r="T1753" i="2"/>
  <c r="T247" i="2"/>
  <c r="AX1581" i="2"/>
  <c r="AX1580" i="2" s="1"/>
  <c r="AX1579" i="2" s="1"/>
  <c r="AX1574" i="2"/>
  <c r="BV71" i="2"/>
  <c r="BV70" i="2"/>
  <c r="S906" i="2" a="1"/>
  <c r="S906" i="2" s="1"/>
  <c r="S905" i="2" s="1"/>
  <c r="S902" i="2" a="1"/>
  <c r="S902" i="2" s="1"/>
  <c r="S904" i="2"/>
  <c r="S907" i="2"/>
  <c r="AU697" i="2"/>
  <c r="T547" i="2"/>
  <c r="T1538" i="2"/>
  <c r="BG1050" i="2"/>
  <c r="BG1049" i="2"/>
  <c r="AU70" i="2"/>
  <c r="AU71" i="2"/>
  <c r="T1590" i="2"/>
  <c r="R507" i="2"/>
  <c r="T503" i="2"/>
  <c r="T493" i="2"/>
  <c r="R506" i="2"/>
  <c r="T491" i="2"/>
  <c r="T497" i="2"/>
  <c r="T500" i="2"/>
  <c r="S500" i="2" s="1"/>
  <c r="AX500" i="2" s="1"/>
  <c r="T504" i="2"/>
  <c r="T488" i="2"/>
  <c r="S488" i="2" s="1"/>
  <c r="AX488" i="2" s="1"/>
  <c r="T487" i="2"/>
  <c r="S487" i="2" s="1"/>
  <c r="AX487" i="2" s="1"/>
  <c r="T485" i="2"/>
  <c r="T498" i="2"/>
  <c r="S498" i="2" s="1"/>
  <c r="AX498" i="2" s="1"/>
  <c r="T502" i="2"/>
  <c r="S502" i="2" s="1"/>
  <c r="AX502" i="2" s="1"/>
  <c r="T499" i="2"/>
  <c r="T495" i="2"/>
  <c r="S495" i="2" s="1"/>
  <c r="AX495" i="2" s="1"/>
  <c r="T492" i="2"/>
  <c r="S492" i="2" s="1"/>
  <c r="AX492" i="2" s="1"/>
  <c r="T494" i="2"/>
  <c r="S494" i="2" s="1"/>
  <c r="AX494" i="2" s="1"/>
  <c r="T496" i="2"/>
  <c r="S496" i="2" s="1"/>
  <c r="AX496" i="2" s="1"/>
  <c r="T490" i="2"/>
  <c r="S490" i="2" s="1"/>
  <c r="AX490" i="2" s="1"/>
  <c r="T501" i="2"/>
  <c r="S501" i="2" s="1"/>
  <c r="AX501" i="2" s="1"/>
  <c r="T246" i="2"/>
  <c r="S1575" i="2"/>
  <c r="S1576" i="2"/>
  <c r="BC904" i="2"/>
  <c r="BC903" i="2"/>
  <c r="BA909" i="2"/>
  <c r="BA908" i="2" s="1"/>
  <c r="BA902" i="2"/>
  <c r="T1537" i="2"/>
  <c r="BD1048" i="2"/>
  <c r="BD1055" i="2"/>
  <c r="BD1054" i="2" s="1"/>
  <c r="T1789" i="2" a="1"/>
  <c r="T1789" i="2" s="1"/>
  <c r="T1788" i="2" s="1"/>
  <c r="T1787" i="2"/>
  <c r="BG1425" i="2"/>
  <c r="BG1432" i="2"/>
  <c r="BG1431" i="2" s="1"/>
  <c r="BG1430" i="2" s="1"/>
  <c r="AW1609" i="2"/>
  <c r="AW1616" i="2"/>
  <c r="AW1615" i="2" s="1"/>
  <c r="AW1614" i="2" s="1"/>
  <c r="T844" i="2"/>
  <c r="T840" i="2"/>
  <c r="T902" i="2" s="1"/>
  <c r="T1334" i="2"/>
  <c r="T1209" i="2"/>
  <c r="BJ1425" i="2"/>
  <c r="BJ1432" i="2"/>
  <c r="BJ1431" i="2" s="1"/>
  <c r="S1425" i="2"/>
  <c r="S1430" i="2"/>
  <c r="S1427" i="2"/>
  <c r="S1429" i="2" a="1"/>
  <c r="S1429" i="2" s="1"/>
  <c r="S1428" i="2" s="1"/>
  <c r="BD1330" i="2"/>
  <c r="BG316" i="2"/>
  <c r="BG317" i="2"/>
  <c r="BA70" i="2"/>
  <c r="BA71" i="2"/>
  <c r="S1049" i="2"/>
  <c r="S434" i="2"/>
  <c r="S435" i="2"/>
  <c r="T1894" i="2"/>
  <c r="T1896" i="2" a="1"/>
  <c r="T1896" i="2" s="1"/>
  <c r="T1895" i="2" s="1"/>
  <c r="R508" i="2"/>
  <c r="S1317" i="2"/>
  <c r="BD1226" i="2"/>
  <c r="S1315" i="2"/>
  <c r="S1320" i="2"/>
  <c r="S1319" i="2" a="1"/>
  <c r="S1319" i="2" s="1"/>
  <c r="S1318" i="2" s="1"/>
  <c r="T142" i="2" a="1"/>
  <c r="T142" i="2" s="1"/>
  <c r="T141" i="2" s="1"/>
  <c r="AX1215" i="2"/>
  <c r="AU1210" i="2"/>
  <c r="AU1217" i="2"/>
  <c r="AU1216" i="2" s="1"/>
  <c r="T1504" i="2" a="1"/>
  <c r="T1504" i="2" s="1"/>
  <c r="T1503" i="2" s="1"/>
  <c r="BD902" i="2"/>
  <c r="BD909" i="2"/>
  <c r="BD908" i="2" s="1"/>
  <c r="T1682" i="2"/>
  <c r="T1332" i="2"/>
  <c r="T1425" i="2" s="1"/>
  <c r="T1207" i="2"/>
  <c r="T1210" i="2" s="1"/>
  <c r="T842" i="2"/>
  <c r="T838" i="2"/>
  <c r="T105" i="2"/>
  <c r="T108" i="2" a="1"/>
  <c r="T108" i="2" s="1"/>
  <c r="T107" i="2" s="1"/>
  <c r="AX1211" i="2"/>
  <c r="AX1212" i="2"/>
  <c r="BF904" i="2"/>
  <c r="BF903" i="2"/>
  <c r="AX902" i="2"/>
  <c r="AX909" i="2"/>
  <c r="AX908" i="2" s="1"/>
  <c r="BJ902" i="2"/>
  <c r="BJ909" i="2"/>
  <c r="BJ908" i="2" s="1"/>
  <c r="BD316" i="2"/>
  <c r="BD317" i="2"/>
  <c r="BD320" i="2"/>
  <c r="BG320" i="2"/>
  <c r="BD1211" i="2"/>
  <c r="BD1212" i="2"/>
  <c r="T486" i="2"/>
  <c r="S486" i="2" s="1"/>
  <c r="BG1211" i="2"/>
  <c r="BG1212" i="2"/>
  <c r="BA320" i="2"/>
  <c r="S1212" i="2"/>
  <c r="S1211" i="2"/>
  <c r="BJ1322" i="2"/>
  <c r="BJ1321" i="2" s="1"/>
  <c r="BJ1315" i="2"/>
  <c r="T685" i="2"/>
  <c r="BF1430" i="2"/>
  <c r="T906" i="2" l="1" a="1"/>
  <c r="T906" i="2" s="1"/>
  <c r="T905" i="2" s="1"/>
  <c r="T1214" i="2" a="1"/>
  <c r="T1214" i="2" s="1"/>
  <c r="T1213" i="2" s="1"/>
  <c r="T1429" i="2" a="1"/>
  <c r="T1429" i="2" s="1"/>
  <c r="T1428" i="2" s="1"/>
  <c r="AX1426" i="2"/>
  <c r="AX1427" i="2"/>
  <c r="BD907" i="2"/>
  <c r="T1752" i="2"/>
  <c r="T1647" i="2"/>
  <c r="AX904" i="2"/>
  <c r="AX903" i="2"/>
  <c r="AX486" i="2"/>
  <c r="S510" i="2"/>
  <c r="S505" i="2"/>
  <c r="BD903" i="2"/>
  <c r="BD904" i="2"/>
  <c r="S1316" i="2"/>
  <c r="BA904" i="2"/>
  <c r="BA903" i="2"/>
  <c r="T1427" i="2"/>
  <c r="AX317" i="2"/>
  <c r="AX316" i="2"/>
  <c r="T1646" i="2"/>
  <c r="T1462" i="2"/>
  <c r="T1502" i="2"/>
  <c r="BD1322" i="2"/>
  <c r="BD1321" i="2" s="1"/>
  <c r="BD1320" i="2" s="1"/>
  <c r="BD1315" i="2"/>
  <c r="BA907" i="2"/>
  <c r="S903" i="2"/>
  <c r="AX320" i="2"/>
  <c r="AW510" i="2"/>
  <c r="T1461" i="2"/>
  <c r="BD1050" i="2"/>
  <c r="BD1049" i="2"/>
  <c r="T1501" i="2"/>
  <c r="BD1432" i="2"/>
  <c r="BD1431" i="2" s="1"/>
  <c r="BD1425" i="2"/>
  <c r="AW1610" i="2"/>
  <c r="AW1611" i="2"/>
  <c r="AW506" i="2"/>
  <c r="AW507" i="2"/>
  <c r="T106" i="2"/>
  <c r="T904" i="2"/>
  <c r="T70" i="2"/>
  <c r="T1858" i="2"/>
  <c r="T281" i="2"/>
  <c r="T581" i="2"/>
  <c r="AU902" i="2"/>
  <c r="AU909" i="2"/>
  <c r="AU908" i="2" s="1"/>
  <c r="AU907" i="2" s="1"/>
  <c r="AU1215" i="2"/>
  <c r="BG1427" i="2"/>
  <c r="BG1426" i="2"/>
  <c r="T505" i="2"/>
  <c r="T471" i="2"/>
  <c r="T212" i="2"/>
  <c r="T1857" i="2"/>
  <c r="T435" i="2"/>
  <c r="T280" i="2"/>
  <c r="T580" i="2"/>
  <c r="BJ1316" i="2"/>
  <c r="BJ1317" i="2"/>
  <c r="AU1211" i="2"/>
  <c r="AU1212" i="2"/>
  <c r="BJ1320" i="2"/>
  <c r="T1893" i="2"/>
  <c r="S1426" i="2"/>
  <c r="T1786" i="2"/>
  <c r="T434" i="2"/>
  <c r="T1719" i="2"/>
  <c r="BJ907" i="2"/>
  <c r="T140" i="2"/>
  <c r="BJ1430" i="2"/>
  <c r="AX1576" i="2"/>
  <c r="AX1575" i="2"/>
  <c r="BG907" i="2"/>
  <c r="S1614" i="2"/>
  <c r="S1613" i="2" a="1"/>
  <c r="S1613" i="2" s="1"/>
  <c r="S1609" i="2"/>
  <c r="AX1589" i="2"/>
  <c r="T1718" i="2"/>
  <c r="BJ903" i="2"/>
  <c r="BJ904" i="2"/>
  <c r="BJ1426" i="2"/>
  <c r="BJ1427" i="2"/>
  <c r="BG904" i="2"/>
  <c r="BG903" i="2"/>
  <c r="AX907" i="2"/>
  <c r="T139" i="2"/>
  <c r="BD1053" i="2"/>
  <c r="T176" i="2"/>
  <c r="T1609" i="2"/>
  <c r="T316" i="2"/>
  <c r="AX1430" i="2"/>
  <c r="A256" i="2"/>
  <c r="AP222" i="2"/>
  <c r="T1049" i="2"/>
  <c r="A292" i="2" l="1"/>
  <c r="AP256" i="2"/>
  <c r="BD1430" i="2"/>
  <c r="T1211" i="2"/>
  <c r="T1613" i="2" a="1"/>
  <c r="T1613" i="2" s="1"/>
  <c r="T1612" i="2" s="1"/>
  <c r="AX1609" i="2"/>
  <c r="AX1616" i="2"/>
  <c r="AX1615" i="2" s="1"/>
  <c r="AX1614" i="2" s="1"/>
  <c r="S1610" i="2"/>
  <c r="S1611" i="2"/>
  <c r="S1612" i="2"/>
  <c r="T509" i="2" a="1"/>
  <c r="T509" i="2" s="1"/>
  <c r="T508" i="2" s="1"/>
  <c r="BD1317" i="2"/>
  <c r="BD1316" i="2"/>
  <c r="T1426" i="2"/>
  <c r="S509" i="2" a="1"/>
  <c r="S509" i="2" s="1"/>
  <c r="S508" i="2" s="1"/>
  <c r="S507" i="2"/>
  <c r="T1212" i="2"/>
  <c r="BD1427" i="2"/>
  <c r="BD1426" i="2"/>
  <c r="AU904" i="2"/>
  <c r="AU903" i="2"/>
  <c r="AX512" i="2"/>
  <c r="AX511" i="2" s="1"/>
  <c r="AX510" i="2" s="1"/>
  <c r="AX505" i="2"/>
  <c r="T903" i="2"/>
  <c r="AX1610" i="2" l="1"/>
  <c r="AX1611" i="2"/>
  <c r="S506" i="2"/>
  <c r="T1611" i="2"/>
  <c r="T1610" i="2"/>
  <c r="AX506" i="2"/>
  <c r="AX507" i="2"/>
  <c r="T507" i="2"/>
  <c r="T506" i="2"/>
  <c r="AP292" i="2"/>
  <c r="A328" i="2"/>
  <c r="A446" i="2" l="1"/>
  <c r="AP328" i="2"/>
  <c r="A482" i="2" l="1"/>
  <c r="AP446" i="2"/>
  <c r="A522" i="2" l="1"/>
  <c r="AP482" i="2"/>
  <c r="AP522" i="2" l="1"/>
  <c r="A556" i="2"/>
  <c r="AP556" i="2" l="1"/>
  <c r="A592" i="2"/>
  <c r="A626" i="2" l="1"/>
  <c r="AP592" i="2"/>
  <c r="AP626" i="2" l="1"/>
  <c r="A660" i="2"/>
  <c r="AP660" i="2" l="1"/>
  <c r="A694" i="2"/>
  <c r="A915" i="2" l="1"/>
  <c r="AP694" i="2"/>
  <c r="A1061" i="2" l="1"/>
  <c r="AP915" i="2"/>
  <c r="A1223" i="2" l="1"/>
  <c r="AP1061" i="2"/>
  <c r="AP1223" i="2" l="1"/>
  <c r="A1327" i="2"/>
  <c r="A1437" i="2" l="1"/>
  <c r="AP1327" i="2"/>
  <c r="AP1437" i="2" l="1"/>
  <c r="A1477" i="2"/>
  <c r="AP1477" i="2" l="1"/>
  <c r="A1513" i="2"/>
  <c r="A1551" i="2" l="1"/>
  <c r="AP1513" i="2"/>
  <c r="A1586" i="2" l="1"/>
  <c r="AP1551" i="2"/>
  <c r="AP1586" i="2" l="1"/>
  <c r="A1622" i="2"/>
  <c r="AP1622" i="2" l="1"/>
  <c r="A1658" i="2"/>
  <c r="A1694" i="2" l="1"/>
  <c r="AP1658" i="2"/>
  <c r="A1728" i="2" l="1"/>
  <c r="AP1694" i="2"/>
  <c r="AP1728" i="2" l="1"/>
  <c r="A1762" i="2"/>
  <c r="A1797" i="2" l="1"/>
  <c r="AP1762" i="2"/>
  <c r="A1833" i="2" l="1"/>
  <c r="AP1797" i="2"/>
  <c r="AP1833" i="2" l="1"/>
  <c r="A1869" i="2"/>
  <c r="A1903" i="2" l="1"/>
  <c r="AP1869" i="2"/>
  <c r="AP1903" i="2" l="1"/>
  <c r="A1937" i="2"/>
  <c r="AP1937" i="2" s="1"/>
  <c r="E2007" i="2" l="1"/>
  <c r="E2008" i="2" s="1"/>
  <c r="D2007" i="2"/>
  <c r="D2008" i="2" s="1"/>
  <c r="C2007" i="2"/>
  <c r="C2008" i="2" s="1"/>
  <c r="F2008" i="2" s="1" a="1"/>
  <c r="F2008" i="2" s="1"/>
  <c r="G2005" i="2" s="1"/>
  <c r="H2005" i="2" s="1"/>
  <c r="C2043" i="2" l="1"/>
  <c r="D2043" i="2" s="1"/>
  <c r="C2060" i="2"/>
  <c r="D2060" i="2" s="1"/>
  <c r="C2068" i="2"/>
  <c r="D2068" i="2" s="1"/>
  <c r="C2069" i="2"/>
  <c r="D2069" i="2" s="1"/>
  <c r="C2062" i="2"/>
  <c r="D2062" i="2" s="1"/>
  <c r="C2044" i="2"/>
  <c r="D2044" i="2" s="1"/>
  <c r="C2070" i="2"/>
  <c r="D2070" i="2" s="1"/>
  <c r="C2052" i="2"/>
  <c r="D2052" i="2" s="1"/>
  <c r="C2046" i="2"/>
  <c r="D2046" i="2" s="1"/>
  <c r="C2048" i="2"/>
  <c r="D2048" i="2" s="1"/>
  <c r="C2061" i="2"/>
  <c r="D2061" i="2" s="1"/>
  <c r="C2032" i="2"/>
  <c r="D2032" i="2" s="1"/>
  <c r="C2055" i="2"/>
  <c r="D2055" i="2" s="1"/>
  <c r="C2053" i="2"/>
  <c r="D2053" i="2" s="1"/>
  <c r="C2037" i="2"/>
  <c r="D2037" i="2" s="1"/>
  <c r="C2036" i="2"/>
  <c r="D2036" i="2" s="1"/>
  <c r="C2059" i="2"/>
  <c r="D2059" i="2" s="1"/>
  <c r="C2034" i="2"/>
  <c r="D2034" i="2" s="1"/>
  <c r="C2031" i="2"/>
  <c r="D2031" i="2" s="1"/>
  <c r="C2071" i="2"/>
  <c r="D2071" i="2" s="1"/>
  <c r="C2041" i="2"/>
  <c r="D2041" i="2" s="1"/>
  <c r="C2030" i="2"/>
  <c r="D2030" i="2" s="1"/>
  <c r="C2066" i="2" l="1"/>
  <c r="D2066" i="2" s="1"/>
  <c r="C2051" i="2"/>
  <c r="D2051" i="2" s="1"/>
  <c r="C2073" i="2"/>
  <c r="D2073" i="2" s="1"/>
  <c r="C2038" i="2"/>
  <c r="D2038" i="2" s="1"/>
  <c r="C2058" i="2"/>
  <c r="D2058" i="2" s="1"/>
  <c r="C2033" i="2"/>
  <c r="D2033" i="2" s="1"/>
  <c r="C2040" i="2"/>
  <c r="D2040" i="2" s="1"/>
  <c r="C2042" i="2"/>
  <c r="D2042" i="2" s="1"/>
  <c r="C2050" i="2"/>
  <c r="D2050" i="2" s="1"/>
  <c r="C2067" i="2"/>
  <c r="D2067" i="2" s="1"/>
  <c r="C2072" i="2"/>
  <c r="D2072" i="2" s="1"/>
  <c r="C2074" i="2"/>
  <c r="D2074" i="2" s="1"/>
  <c r="C2054" i="2"/>
  <c r="D2054" i="2" s="1"/>
  <c r="C2029" i="2"/>
  <c r="D2029" i="2" s="1"/>
  <c r="C2039" i="2"/>
  <c r="D2039" i="2" s="1"/>
  <c r="C2049" i="2"/>
  <c r="D2049" i="2" s="1"/>
  <c r="C2065" i="2"/>
  <c r="D2065" i="2" s="1"/>
  <c r="E1998" i="2"/>
  <c r="E1999" i="2" s="1"/>
  <c r="D1998" i="2"/>
  <c r="D1999" i="2" s="1"/>
  <c r="C2019" i="2"/>
  <c r="C2023" i="2" s="1"/>
  <c r="C2024" i="2" s="1"/>
  <c r="C1998" i="2"/>
  <c r="C1999" i="2" s="1"/>
  <c r="F1999" i="2" s="1" a="1"/>
  <c r="F1999" i="2" s="1"/>
  <c r="G1996" i="2" s="1"/>
  <c r="H1996" i="2" s="1"/>
  <c r="C2064" i="2"/>
  <c r="D2064" i="2" s="1"/>
  <c r="C2063" i="2"/>
  <c r="D2063" i="2" s="1"/>
  <c r="C2035" i="2"/>
  <c r="D2035" i="2" s="1"/>
  <c r="C2045" i="2"/>
  <c r="D2045" i="2" s="1"/>
  <c r="C2057" i="2"/>
  <c r="D2057" i="2" s="1"/>
  <c r="C2047" i="2"/>
  <c r="D2047" i="2" s="1"/>
  <c r="C2056" i="2"/>
  <c r="D205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author>
    <author>Furness</author>
    <author>Chad Drawdown</author>
    <author>Chad Frischmann</author>
  </authors>
  <commentList>
    <comment ref="D48" authorId="0" shapeId="0" xr:uid="{0EEFC575-E158-4E6F-98C3-4CFB70DC132C}">
      <text>
        <r>
          <rPr>
            <b/>
            <sz val="11"/>
            <color indexed="81"/>
            <rFont val="Times New Roman"/>
            <family val="1"/>
          </rPr>
          <t>NOTE:</t>
        </r>
        <r>
          <rPr>
            <sz val="11"/>
            <color indexed="81"/>
            <rFont val="Times New Roman"/>
            <family val="1"/>
          </rPr>
          <t xml:space="preserve">
Link to source</t>
        </r>
      </text>
    </comment>
    <comment ref="E48" authorId="0" shapeId="0" xr:uid="{11DC262B-54A2-4301-940D-97B087A2F86E}">
      <text>
        <r>
          <rPr>
            <b/>
            <sz val="11"/>
            <color indexed="81"/>
            <rFont val="Times New Roman"/>
            <family val="1"/>
          </rPr>
          <t>NOTE:</t>
        </r>
        <r>
          <rPr>
            <sz val="11"/>
            <color indexed="81"/>
            <rFont val="Times New Roman"/>
            <family val="1"/>
          </rPr>
          <t xml:space="preserve"> Is data based on global, regional, or country-specific studies? Please select the correct Drawdown region, and not an abbreviation. Use the largest applicable region (except for "World").
</t>
        </r>
      </text>
    </comment>
    <comment ref="F48" authorId="1" shapeId="0" xr:uid="{06798728-1C4D-4069-9211-FD78A06E3910}">
      <text>
        <r>
          <rPr>
            <b/>
            <sz val="9"/>
            <color indexed="81"/>
            <rFont val="Tahoma"/>
            <family val="2"/>
          </rPr>
          <t>NOTE:</t>
        </r>
        <r>
          <rPr>
            <sz val="9"/>
            <color indexed="81"/>
            <rFont val="Tahoma"/>
            <family val="2"/>
          </rPr>
          <t xml:space="preserve">
Please enter the specific geographic location within the Drawdown Regions, if accessible.
E.g. if the study refers to a data point from Brazil, please specify here. However if it applies to any combination of subregions, or you do not know, please leave blank.</t>
        </r>
      </text>
    </comment>
    <comment ref="G48" authorId="0" shapeId="0" xr:uid="{59712DB9-BF5D-43A9-BF79-FC1DA9CAB4CE}">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48" authorId="1" shapeId="0" xr:uid="{EBF5257B-C5CB-4E93-AD0E-BF7DAFC797AC}">
      <text>
        <r>
          <rPr>
            <b/>
            <sz val="11"/>
            <color indexed="81"/>
            <rFont val="Tahoma"/>
            <family val="2"/>
          </rPr>
          <t>NOTE:</t>
        </r>
        <r>
          <rPr>
            <sz val="11"/>
            <color indexed="81"/>
            <rFont val="Tahoma"/>
            <family val="2"/>
          </rPr>
          <t xml:space="preserve"> enter a weight if useful, for World values only not any other region. Explain the construction of the weight in the Description below or the Assumptions column.</t>
        </r>
      </text>
    </comment>
    <comment ref="O48" authorId="1" shapeId="0" xr:uid="{5C4BA659-D46D-4B32-A838-F7C76F776EC6}">
      <text>
        <r>
          <rPr>
            <b/>
            <sz val="11"/>
            <color indexed="81"/>
            <rFont val="Tahoma"/>
            <family val="2"/>
          </rPr>
          <t>NOTE:</t>
        </r>
        <r>
          <rPr>
            <sz val="11"/>
            <color indexed="81"/>
            <rFont val="Tahoma"/>
            <family val="2"/>
          </rPr>
          <t xml:space="preserve">
Put any relevant description of the table entry in this column.</t>
        </r>
      </text>
    </comment>
    <comment ref="AU48" authorId="1" shapeId="0" xr:uid="{3835023D-D9F3-4F87-B5ED-D3D64E26FF20}">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AX48" authorId="1" shapeId="0" xr:uid="{0C204265-8AEC-486F-A019-56716985718A}">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BA48" authorId="1" shapeId="0" xr:uid="{2104A3DD-90B9-4010-9DAD-094BE7A17EDA}">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BD48" authorId="1" shapeId="0" xr:uid="{EBE90779-8EB6-4CDE-8F0B-DBFF48AA373C}">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BG48" authorId="1" shapeId="0" xr:uid="{09351CA3-1256-4967-9517-054CB5802117}">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BJ48" authorId="1" shapeId="0" xr:uid="{5D30C249-C640-49C6-9EFD-089BD164FAB5}">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BM48" authorId="1" shapeId="0" xr:uid="{6EBF36A4-3171-42F3-A54F-D6FA39AB973D}">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BP48" authorId="1" shapeId="0" xr:uid="{FFC2C09E-62DB-4FAD-BC26-0D6682ACD75A}">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BS48" authorId="1" shapeId="0" xr:uid="{21DFBDB9-0F8E-43B6-8FAC-687BB62425E7}">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BV48" authorId="1" shapeId="0" xr:uid="{4957C425-4C2F-48D6-8947-0F2DC6349770}">
      <text>
        <r>
          <rPr>
            <b/>
            <sz val="11"/>
            <color indexed="81"/>
            <rFont val="Tahoma"/>
            <family val="2"/>
          </rPr>
          <t>NOTE:</t>
        </r>
        <r>
          <rPr>
            <sz val="11"/>
            <color indexed="81"/>
            <rFont val="Tahoma"/>
            <family val="2"/>
          </rPr>
          <t xml:space="preserve">
The "Processed Data" Column does several things:
1. For "World" data, it extracts the value from the source table
2. For regional data that applies to the entire region, it also extracts the value 
3. For regional data that applies to only a portion of that region, as in only a country in the region, it counts how many entries in the table refer to that exact sub-region and averages all those values. In the processed column we place the average of those values, but we divide that average by the number of entries so that when they are summed, it returns the correct average.
4. The Last cell either:
4.a. averages the "World" values or
4.b. sums the subregions then averages that subregional total with all the entries for the entire region.</t>
        </r>
      </text>
    </comment>
    <comment ref="X71" authorId="2" shapeId="0" xr:uid="{85DB4836-79B5-4396-AF8A-C15EFE8DA22B}">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72" authorId="1" shapeId="0" xr:uid="{C8DB4450-A10E-4061-8A82-7B7D5583681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3" authorId="0" shapeId="0" xr:uid="{80722B33-5A48-4F26-825B-1AB8FDF9297B}">
      <text>
        <r>
          <rPr>
            <b/>
            <sz val="11"/>
            <color indexed="81"/>
            <rFont val="Times New Roman"/>
            <family val="1"/>
          </rPr>
          <t>NOTE:</t>
        </r>
        <r>
          <rPr>
            <sz val="11"/>
            <color indexed="81"/>
            <rFont val="Times New Roman"/>
            <family val="1"/>
          </rPr>
          <t xml:space="preserve">
Link to source</t>
        </r>
      </text>
    </comment>
    <comment ref="E83" authorId="0" shapeId="0" xr:uid="{C8E62E14-4C38-4D5C-90D7-7FDC6EA1F769}">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3" authorId="3" shapeId="0" xr:uid="{531FD47C-0E68-4B02-9E68-5F97898E424D}">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83" authorId="0" shapeId="0" xr:uid="{4D156DAE-D866-4581-94AA-76D6632984D4}">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83" authorId="3" shapeId="0" xr:uid="{445172C9-280D-47F3-B907-73007B73C365}">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83" authorId="3" shapeId="0" xr:uid="{74F789DC-A485-4542-BFF5-B24307EAC2C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83" authorId="3" shapeId="0" xr:uid="{09AB899F-4D12-40CC-B246-404F46AB39AD}">
      <text>
        <r>
          <rPr>
            <b/>
            <sz val="11"/>
            <color indexed="81"/>
            <rFont val="Times New Roman"/>
            <family val="1"/>
          </rPr>
          <t xml:space="preserve">NOTE: Enter any weights used. All weights should be constructed on an additional sheet and linked here.
</t>
        </r>
      </text>
    </comment>
    <comment ref="O83" authorId="3" shapeId="0" xr:uid="{7D78A3C1-93B5-4532-B91C-87E44DAA2FBD}">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106" authorId="2" shapeId="0" xr:uid="{75A88166-2D3D-47B0-B6F4-FA8966431E16}">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07" authorId="1" shapeId="0" xr:uid="{DC880B02-EFA3-4107-8DAC-758410D3B8CC}">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7" authorId="0" shapeId="0" xr:uid="{BCBBC446-91BE-4455-B635-6DF5A785022C}">
      <text>
        <r>
          <rPr>
            <b/>
            <sz val="11"/>
            <color indexed="81"/>
            <rFont val="Times New Roman"/>
            <family val="1"/>
          </rPr>
          <t>NOTE:</t>
        </r>
        <r>
          <rPr>
            <sz val="11"/>
            <color indexed="81"/>
            <rFont val="Times New Roman"/>
            <family val="1"/>
          </rPr>
          <t xml:space="preserve">
Link to source</t>
        </r>
      </text>
    </comment>
    <comment ref="E117" authorId="0" shapeId="0" xr:uid="{6B5AA48A-696B-4DA6-87F3-9BE44C43C168}">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7" authorId="3" shapeId="0" xr:uid="{AFCB31E0-D7E3-4DCF-9491-743715984E12}">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17" authorId="0" shapeId="0" xr:uid="{E34C8E0E-1AC1-4B6F-8883-45C03E94696D}">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117" authorId="3" shapeId="0" xr:uid="{CB054F84-E60D-414B-BABD-955AE31D13CA}">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117" authorId="3" shapeId="0" xr:uid="{3B452C30-E076-4719-80FB-EABA3D268D32}">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117" authorId="3" shapeId="0" xr:uid="{E03AE77A-990C-4C22-9462-F90D8914A1F1}">
      <text>
        <r>
          <rPr>
            <b/>
            <sz val="11"/>
            <color indexed="81"/>
            <rFont val="Times New Roman"/>
            <family val="1"/>
          </rPr>
          <t xml:space="preserve">NOTE: Enter any weights used. All weights should be constructed on an additional sheet and linked here.
</t>
        </r>
      </text>
    </comment>
    <comment ref="O117" authorId="3" shapeId="0" xr:uid="{6D4480AD-CF72-4287-9126-57E53FB5CF41}">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140" authorId="2" shapeId="0" xr:uid="{F8F3717D-4E58-4041-BE62-8CFBC810A624}">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41" authorId="1" shapeId="0" xr:uid="{3AD4FBDF-518A-450B-AFAF-FEA48EA83A87}">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53" authorId="0" shapeId="0" xr:uid="{362D1A08-6F02-43D4-8CD6-E03DAC212966}">
      <text>
        <r>
          <rPr>
            <b/>
            <sz val="11"/>
            <color indexed="81"/>
            <rFont val="Times New Roman"/>
            <family val="1"/>
          </rPr>
          <t>NOTE:</t>
        </r>
        <r>
          <rPr>
            <sz val="11"/>
            <color indexed="81"/>
            <rFont val="Times New Roman"/>
            <family val="1"/>
          </rPr>
          <t xml:space="preserve">
Link to source</t>
        </r>
      </text>
    </comment>
    <comment ref="E153" authorId="0" shapeId="0" xr:uid="{C26D0253-984A-4B8B-91D3-73000134424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53" authorId="3" shapeId="0" xr:uid="{E10102F7-6F4C-450F-9899-7A683929E6F6}">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53" authorId="0" shapeId="0" xr:uid="{46D57D88-64FD-4388-818E-B5CF3019CC6E}">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153" authorId="3" shapeId="0" xr:uid="{C428A686-20F5-46DD-8FFA-B6828B82F924}">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153" authorId="3" shapeId="0" xr:uid="{C1CEF1D1-2ACE-4688-97F5-C33C40BCC2E7}">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153" authorId="3" shapeId="0" xr:uid="{722DD8E9-FD3E-4FB0-AEC1-44C79CB8899F}">
      <text>
        <r>
          <rPr>
            <b/>
            <sz val="11"/>
            <color indexed="81"/>
            <rFont val="Times New Roman"/>
            <family val="1"/>
          </rPr>
          <t xml:space="preserve">NOTE: Enter any weights used. All weights should be constructed on an additional sheet and linked here.
</t>
        </r>
      </text>
    </comment>
    <comment ref="O153" authorId="3" shapeId="0" xr:uid="{1976539D-6F6D-432E-8E68-67C87F445E16}">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176" authorId="2" shapeId="0" xr:uid="{51DB1E84-49B4-4F1D-A036-9234A0F679CB}">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77" authorId="1" shapeId="0" xr:uid="{1DBC6F93-C8C6-4F4D-8034-E43924C205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89" authorId="0" shapeId="0" xr:uid="{D68497E8-D0DE-4384-A33E-C94C867FF3F8}">
      <text>
        <r>
          <rPr>
            <b/>
            <sz val="11"/>
            <color indexed="81"/>
            <rFont val="Times New Roman"/>
            <family val="1"/>
          </rPr>
          <t>NOTE:</t>
        </r>
        <r>
          <rPr>
            <sz val="11"/>
            <color indexed="81"/>
            <rFont val="Times New Roman"/>
            <family val="1"/>
          </rPr>
          <t xml:space="preserve">
Link to source</t>
        </r>
      </text>
    </comment>
    <comment ref="E189" authorId="0" shapeId="0" xr:uid="{9A234570-9017-4E4F-9136-B23C273610F6}">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89" authorId="3" shapeId="0" xr:uid="{AA390883-423D-4423-A192-61876B74C153}">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89" authorId="0" shapeId="0" xr:uid="{435C22BD-EBFC-4451-9CBA-611AEEB597FE}">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189" authorId="3" shapeId="0" xr:uid="{E3E6B0B8-7902-4318-9EF5-765D7E615B88}">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189" authorId="3" shapeId="0" xr:uid="{B1B12BE5-B354-4B33-8E6A-AC4480F2187A}">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189" authorId="3" shapeId="0" xr:uid="{6FDD5366-6DAE-4E6C-8B44-C73FDA9BBF88}">
      <text>
        <r>
          <rPr>
            <b/>
            <sz val="11"/>
            <color indexed="81"/>
            <rFont val="Times New Roman"/>
            <family val="1"/>
          </rPr>
          <t xml:space="preserve">NOTE: Enter any weights used. All weights should be constructed on an additional sheet and linked here.
</t>
        </r>
      </text>
    </comment>
    <comment ref="O189" authorId="3" shapeId="0" xr:uid="{A77156CB-F3E7-4800-97D6-758F78BAFB55}">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212" authorId="2" shapeId="0" xr:uid="{3F3E1739-9686-48BE-8244-1A8442195DF9}">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213" authorId="1" shapeId="0" xr:uid="{482CA857-25FE-4585-B3D8-50AC51D59423}">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24" authorId="0" shapeId="0" xr:uid="{7BE557E4-63E4-4D76-871A-55CFD8D43488}">
      <text>
        <r>
          <rPr>
            <b/>
            <sz val="11"/>
            <color indexed="81"/>
            <rFont val="Times New Roman"/>
            <family val="1"/>
          </rPr>
          <t>NOTE:</t>
        </r>
        <r>
          <rPr>
            <sz val="11"/>
            <color indexed="81"/>
            <rFont val="Times New Roman"/>
            <family val="1"/>
          </rPr>
          <t xml:space="preserve">
Link to source</t>
        </r>
      </text>
    </comment>
    <comment ref="E224" authorId="0" shapeId="0" xr:uid="{88F3CDB3-5B29-451E-9F5C-110427E2993D}">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24" authorId="3" shapeId="0" xr:uid="{E317010A-3996-40D3-BA22-B0FEEC4B73CE}">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224" authorId="0" shapeId="0" xr:uid="{2933C863-E8E2-457D-8AA1-FB14465FBCD5}">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224" authorId="3" shapeId="0" xr:uid="{1D537289-029E-476D-AB87-B15511FB7122}">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224" authorId="3" shapeId="0" xr:uid="{6A73AC8F-2F69-4F1C-8111-5E1CFD27DD22}">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224" authorId="3" shapeId="0" xr:uid="{91E73273-B7EC-471D-93C7-56E4A3B8A4BD}">
      <text>
        <r>
          <rPr>
            <b/>
            <sz val="11"/>
            <color indexed="81"/>
            <rFont val="Times New Roman"/>
            <family val="1"/>
          </rPr>
          <t xml:space="preserve">NOTE: Enter any weights used. All weights should be constructed on an additional sheet and linked here.
</t>
        </r>
      </text>
    </comment>
    <comment ref="O224" authorId="3" shapeId="0" xr:uid="{6EBF67F1-71FC-4B5D-9C57-4034207FF3C3}">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247" authorId="2" shapeId="0" xr:uid="{4F4B0577-144C-4C30-B0E3-CA6816EE69DF}">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248" authorId="1" shapeId="0" xr:uid="{49A7E426-1405-4ED1-89C8-3FF369DACE61}">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58" authorId="0" shapeId="0" xr:uid="{95DC88EB-8C48-4575-8B22-087E20101DCA}">
      <text>
        <r>
          <rPr>
            <b/>
            <sz val="11"/>
            <color indexed="81"/>
            <rFont val="Times New Roman"/>
            <family val="1"/>
          </rPr>
          <t>NOTE:</t>
        </r>
        <r>
          <rPr>
            <sz val="11"/>
            <color indexed="81"/>
            <rFont val="Times New Roman"/>
            <family val="1"/>
          </rPr>
          <t xml:space="preserve">
Link to source</t>
        </r>
      </text>
    </comment>
    <comment ref="E258" authorId="0" shapeId="0" xr:uid="{95EC8F3F-6A1C-412E-962F-78FA9E5C3976}">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58" authorId="3" shapeId="0" xr:uid="{7487EE6F-6A2E-40D7-B4F6-40CA31BCC67C}">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258" authorId="0" shapeId="0" xr:uid="{86582FD3-D0E3-4B8C-AB40-83D24F6F1907}">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258" authorId="3" shapeId="0" xr:uid="{4F29024C-EEB9-4D9A-97D6-7BC7EC33D098}">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258" authorId="3" shapeId="0" xr:uid="{2F4BE37F-981E-4AEF-8616-EB73D67FEE9D}">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258" authorId="3" shapeId="0" xr:uid="{C7891BE2-3296-4302-96BD-3918806772DE}">
      <text>
        <r>
          <rPr>
            <b/>
            <sz val="11"/>
            <color indexed="81"/>
            <rFont val="Times New Roman"/>
            <family val="1"/>
          </rPr>
          <t xml:space="preserve">NOTE: Enter any weights used. All weights should be constructed on an additional sheet and linked here.
</t>
        </r>
      </text>
    </comment>
    <comment ref="O258" authorId="3" shapeId="0" xr:uid="{ECAF552F-B9B9-4838-ADE1-DDE4B67F61C3}">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281" authorId="2" shapeId="0" xr:uid="{CFBD9687-5637-4130-9A21-4DE3C1B59AEA}">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282" authorId="1" shapeId="0" xr:uid="{ADC90343-AF07-40C1-97F8-A9E1A8E5ECE1}">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94" authorId="0" shapeId="0" xr:uid="{2028A311-FD8A-448B-94C1-81C3876C033A}">
      <text>
        <r>
          <rPr>
            <b/>
            <sz val="11"/>
            <color indexed="81"/>
            <rFont val="Times New Roman"/>
            <family val="1"/>
          </rPr>
          <t>NOTE:</t>
        </r>
        <r>
          <rPr>
            <sz val="11"/>
            <color indexed="81"/>
            <rFont val="Times New Roman"/>
            <family val="1"/>
          </rPr>
          <t xml:space="preserve">
Link to source</t>
        </r>
      </text>
    </comment>
    <comment ref="E294" authorId="0" shapeId="0" xr:uid="{D2BEC1D1-1E30-4814-8E6B-09EA3D5546E1}">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94" authorId="3" shapeId="0" xr:uid="{32F561D1-A871-4876-B339-12292629494E}">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294" authorId="0" shapeId="0" xr:uid="{CB0FBC1B-DD03-4ED8-958A-2EC861A2D7EE}">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294" authorId="3" shapeId="0" xr:uid="{FD19D72E-46AE-43F9-B864-531067B7AD95}">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294" authorId="3" shapeId="0" xr:uid="{9D3FAEFD-F532-4C0B-8A3B-70E7F4C7CB7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294" authorId="3" shapeId="0" xr:uid="{DBC0B3C5-CEC8-4CE5-A0BA-6D605F17D779}">
      <text>
        <r>
          <rPr>
            <b/>
            <sz val="11"/>
            <color indexed="81"/>
            <rFont val="Times New Roman"/>
            <family val="1"/>
          </rPr>
          <t xml:space="preserve">NOTE: Enter any weights used. All weights should be constructed on an additional sheet and linked here.
</t>
        </r>
      </text>
    </comment>
    <comment ref="O294" authorId="3" shapeId="0" xr:uid="{6C43C52E-1C5F-46AA-8F20-743E51E317C4}">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317" authorId="2" shapeId="0" xr:uid="{04650825-EC9B-46CD-9553-0BEE027AA8FC}">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318" authorId="1" shapeId="0" xr:uid="{5660C757-8C98-4265-AEE6-BF0AD1F7347B}">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330" authorId="0" shapeId="0" xr:uid="{0B84ABCC-7CD6-4041-9283-16774690A37D}">
      <text>
        <r>
          <rPr>
            <b/>
            <sz val="11"/>
            <color indexed="81"/>
            <rFont val="Times New Roman"/>
            <family val="1"/>
          </rPr>
          <t>NOTE:</t>
        </r>
        <r>
          <rPr>
            <sz val="11"/>
            <color indexed="81"/>
            <rFont val="Times New Roman"/>
            <family val="1"/>
          </rPr>
          <t xml:space="preserve">
Link to source</t>
        </r>
      </text>
    </comment>
    <comment ref="E330" authorId="0" shapeId="0" xr:uid="{596DD158-AF2A-47D9-84E4-27652766C317}">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330" authorId="3" shapeId="0" xr:uid="{97AD4FA4-E43B-4B40-BDB6-F7C53BF9B9ED}">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330" authorId="0" shapeId="0" xr:uid="{A63AE6F2-B094-4775-8603-8D73E31EECE7}">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330" authorId="3" shapeId="0" xr:uid="{C9B95544-C029-498B-913F-5626BD43DD8D}">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330" authorId="3" shapeId="0" xr:uid="{6946D905-04A9-4660-B383-393A9E7827B7}">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330" authorId="3" shapeId="0" xr:uid="{9394C75A-052C-4E92-9C3F-EEAC5DB59653}">
      <text>
        <r>
          <rPr>
            <b/>
            <sz val="11"/>
            <color indexed="81"/>
            <rFont val="Times New Roman"/>
            <family val="1"/>
          </rPr>
          <t xml:space="preserve">NOTE: Enter any weights used. All weights should be constructed on an additional sheet and linked here.
</t>
        </r>
      </text>
    </comment>
    <comment ref="O330" authorId="3" shapeId="0" xr:uid="{A0B91017-DB45-4B5B-A49B-8BF56B76F06F}">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435" authorId="2" shapeId="0" xr:uid="{C4075A54-2E3A-4DD3-8489-437A1F350864}">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436" authorId="1" shapeId="0" xr:uid="{7AF1D627-C064-4FBD-94E3-8B711F5C1D76}">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48" authorId="0" shapeId="0" xr:uid="{4506B994-4A82-4EDD-B6B5-07A47AD4E12D}">
      <text>
        <r>
          <rPr>
            <b/>
            <sz val="11"/>
            <color indexed="81"/>
            <rFont val="Times New Roman"/>
            <family val="1"/>
          </rPr>
          <t>NOTE:</t>
        </r>
        <r>
          <rPr>
            <sz val="11"/>
            <color indexed="81"/>
            <rFont val="Times New Roman"/>
            <family val="1"/>
          </rPr>
          <t xml:space="preserve">
Link to source</t>
        </r>
      </text>
    </comment>
    <comment ref="E448" authorId="0" shapeId="0" xr:uid="{5FD6FC8F-D1D9-4A81-A8DE-4D21694B1CE3}">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48" authorId="3" shapeId="0" xr:uid="{BFF46F8B-128E-4D0F-B193-FB285EDCD2C6}">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448" authorId="0" shapeId="0" xr:uid="{8CE846C3-1776-4730-90D2-D1D856CB1246}">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448" authorId="3" shapeId="0" xr:uid="{9F901172-1AA0-4245-BF22-12BE1856FDB2}">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448" authorId="3" shapeId="0" xr:uid="{B163EDDD-F335-41BE-B934-E36F4077E4C4}">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448" authorId="3" shapeId="0" xr:uid="{A65A22CF-8024-4B6D-A6EC-B6E64095872B}">
      <text>
        <r>
          <rPr>
            <b/>
            <sz val="11"/>
            <color indexed="81"/>
            <rFont val="Times New Roman"/>
            <family val="1"/>
          </rPr>
          <t xml:space="preserve">NOTE: Enter any weights used. All weights should be constructed on an additional sheet and linked here.
</t>
        </r>
      </text>
    </comment>
    <comment ref="O448" authorId="3" shapeId="0" xr:uid="{C0209B26-5384-424D-AC36-8D20970224E7}">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471" authorId="2" shapeId="0" xr:uid="{2C8504C9-DCAB-460C-9DC9-95740AF6236E}">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472" authorId="1" shapeId="0" xr:uid="{3820A9FA-2566-46C7-8BED-850FF4855321}">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84" authorId="0" shapeId="0" xr:uid="{ACF8E775-5CFB-414B-A333-22EFC3577754}">
      <text>
        <r>
          <rPr>
            <b/>
            <sz val="11"/>
            <color indexed="81"/>
            <rFont val="Times New Roman"/>
            <family val="1"/>
          </rPr>
          <t>NOTE:</t>
        </r>
        <r>
          <rPr>
            <sz val="11"/>
            <color indexed="81"/>
            <rFont val="Times New Roman"/>
            <family val="1"/>
          </rPr>
          <t xml:space="preserve">
Link to source</t>
        </r>
      </text>
    </comment>
    <comment ref="E484" authorId="0" shapeId="0" xr:uid="{658CFB08-6D79-44CC-AB4B-90ED71E7DBC8}">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84" authorId="3" shapeId="0" xr:uid="{FD73DEB9-61E3-429D-B28A-B687FA500047}">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484" authorId="0" shapeId="0" xr:uid="{D735CADC-CDDA-4F42-B05D-51A6803E561F}">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484" authorId="3" shapeId="0" xr:uid="{B6CE2808-8B99-46D7-A107-1FA3FBD48739}">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484" authorId="3" shapeId="0" xr:uid="{06DA7EBE-D089-4C1A-A940-61615765EDA1}">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484" authorId="3" shapeId="0" xr:uid="{89988E92-6A72-4075-8A5A-4428D8B4627C}">
      <text>
        <r>
          <rPr>
            <b/>
            <sz val="11"/>
            <color rgb="FF000000"/>
            <rFont val="Times New Roman"/>
            <family val="1"/>
          </rPr>
          <t xml:space="preserve">NOTE: Enter any weights used. All weights should be constructed on an additional sheet and linked here.
</t>
        </r>
        <r>
          <rPr>
            <b/>
            <sz val="11"/>
            <color rgb="FF000000"/>
            <rFont val="Times New Roman"/>
            <family val="1"/>
          </rPr>
          <t xml:space="preserve">
</t>
        </r>
        <r>
          <rPr>
            <b/>
            <sz val="11"/>
            <color rgb="FF000000"/>
            <rFont val="Times New Roman"/>
            <family val="1"/>
          </rPr>
          <t xml:space="preserve">
</t>
        </r>
      </text>
    </comment>
    <comment ref="O484" authorId="3" shapeId="0" xr:uid="{BB3BCB2B-F5F9-4A83-A9B3-B3B16B9D99A2}">
      <text>
        <r>
          <rPr>
            <b/>
            <sz val="11"/>
            <color rgb="FF000000"/>
            <rFont val="Times New Roman"/>
            <family val="1"/>
          </rPr>
          <t>NOTE:</t>
        </r>
        <r>
          <rPr>
            <sz val="11"/>
            <color rgb="FF000000"/>
            <rFont val="Times New Roman"/>
            <family val="1"/>
          </rPr>
          <t xml:space="preserve"> Enter any additional assumptions or other information used in converting to a common unit. If a complex equation is used, please explain.
</t>
        </r>
      </text>
    </comment>
    <comment ref="X507" authorId="2" shapeId="0" xr:uid="{531C0C03-400B-4D52-A8CF-5236204E244E}">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508" authorId="1" shapeId="0" xr:uid="{449284DE-C9A8-46C7-A2CE-C006139D91AA}">
      <text>
        <r>
          <rPr>
            <b/>
            <sz val="11"/>
            <color rgb="FF000000"/>
            <rFont val="Times New Roman"/>
            <family val="1"/>
          </rPr>
          <t>NOTE:</t>
        </r>
        <r>
          <rPr>
            <sz val="11"/>
            <color rgb="FF000000"/>
            <rFont val="Times New Roman"/>
            <family val="1"/>
          </rPr>
          <t xml:space="preserve">
</t>
        </r>
        <r>
          <rPr>
            <sz val="11"/>
            <color rgb="FF000000"/>
            <rFont val="Times New Roman"/>
            <family val="1"/>
          </rPr>
          <t>If no, then your Standard Deviation is too large compared to your Average. Verify data.</t>
        </r>
      </text>
    </comment>
    <comment ref="D524" authorId="0" shapeId="0" xr:uid="{91942B02-8037-4ECE-8202-4ACAAAA23136}">
      <text>
        <r>
          <rPr>
            <b/>
            <sz val="11"/>
            <color indexed="81"/>
            <rFont val="Times New Roman"/>
            <family val="1"/>
          </rPr>
          <t>NOTE:</t>
        </r>
        <r>
          <rPr>
            <sz val="11"/>
            <color indexed="81"/>
            <rFont val="Times New Roman"/>
            <family val="1"/>
          </rPr>
          <t xml:space="preserve">
Link to source</t>
        </r>
      </text>
    </comment>
    <comment ref="E524" authorId="0" shapeId="0" xr:uid="{D127784D-EB36-4DB0-82E1-DA45C47F1963}">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24" authorId="3" shapeId="0" xr:uid="{4AF3C073-A16D-4A94-9EE1-55D83B5EF95D}">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524" authorId="0" shapeId="0" xr:uid="{0F0E3CB7-F1D1-4627-AD17-493D500E68A9}">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524" authorId="3" shapeId="0" xr:uid="{452E595E-1822-4692-8BDC-94FC589E7362}">
      <text>
        <r>
          <rPr>
            <b/>
            <sz val="11"/>
            <color indexed="81"/>
            <rFont val="Times New Roman"/>
            <family val="1"/>
          </rPr>
          <t xml:space="preserve">NOTE: Enter any weights used. All weights should be constructed on an additional sheet and linked here.
</t>
        </r>
      </text>
    </comment>
    <comment ref="X547" authorId="2" shapeId="0" xr:uid="{59E1973B-AA25-469E-8CE3-420DE5193C7F}">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548" authorId="1" shapeId="0" xr:uid="{7B6EE366-0B57-4386-B50F-9968E7BF4323}">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58" authorId="0" shapeId="0" xr:uid="{5A30F961-61EE-40C0-8D6A-D759D20FAB63}">
      <text>
        <r>
          <rPr>
            <b/>
            <sz val="11"/>
            <color indexed="81"/>
            <rFont val="Times New Roman"/>
            <family val="1"/>
          </rPr>
          <t>NOTE:</t>
        </r>
        <r>
          <rPr>
            <sz val="11"/>
            <color indexed="81"/>
            <rFont val="Times New Roman"/>
            <family val="1"/>
          </rPr>
          <t xml:space="preserve">
Link to source</t>
        </r>
      </text>
    </comment>
    <comment ref="E558" authorId="0" shapeId="0" xr:uid="{BBBE8389-E99E-4C82-8F8B-4F92DE905FAD}">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58" authorId="3" shapeId="0" xr:uid="{5F3F8CEA-914E-4D66-9D83-EBAF6A147154}">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558" authorId="0" shapeId="0" xr:uid="{4F387101-DA3E-4355-9A6B-16706840CE7F}">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558" authorId="3" shapeId="0" xr:uid="{DA983974-EF28-40B0-84D0-420A4EC9454E}">
      <text>
        <r>
          <rPr>
            <b/>
            <sz val="11"/>
            <color indexed="81"/>
            <rFont val="Times New Roman"/>
            <family val="1"/>
          </rPr>
          <t xml:space="preserve">NOTE: Enter any weights used. All weights should be constructed on an additional sheet and linked here.
</t>
        </r>
      </text>
    </comment>
    <comment ref="X581" authorId="2" shapeId="0" xr:uid="{DA161161-BE3D-46BC-822E-F9622C215384}">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582" authorId="1" shapeId="0" xr:uid="{BE7AC876-BDCA-4DB6-BE6C-C2620B091C51}">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94" authorId="0" shapeId="0" xr:uid="{D8B18CAB-56D4-4567-89CB-92D0496EBF42}">
      <text>
        <r>
          <rPr>
            <b/>
            <sz val="11"/>
            <color indexed="81"/>
            <rFont val="Times New Roman"/>
            <family val="1"/>
          </rPr>
          <t>NOTE:</t>
        </r>
        <r>
          <rPr>
            <sz val="11"/>
            <color indexed="81"/>
            <rFont val="Times New Roman"/>
            <family val="1"/>
          </rPr>
          <t xml:space="preserve">
Link to source</t>
        </r>
      </text>
    </comment>
    <comment ref="E594" authorId="0" shapeId="0" xr:uid="{72545229-0DE4-4D1A-B309-65550C77C4CE}">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94" authorId="3" shapeId="0" xr:uid="{09B136FB-70E1-4EE1-8A50-94EB04A9787F}">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594" authorId="0" shapeId="0" xr:uid="{FEC8B405-1B8F-4472-8811-38A43316748E}">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594" authorId="3" shapeId="0" xr:uid="{2AE7877A-39F3-408E-900D-7F0514D6B828}">
      <text>
        <r>
          <rPr>
            <b/>
            <sz val="11"/>
            <color indexed="81"/>
            <rFont val="Times New Roman"/>
            <family val="1"/>
          </rPr>
          <t xml:space="preserve">NOTE: Enter any weights used. All weights should be constructed on an additional sheet and linked here.
</t>
        </r>
      </text>
    </comment>
    <comment ref="X617" authorId="2" shapeId="0" xr:uid="{373BD085-8AA2-4A6D-B2E9-DFC5B51C1E9F}">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618" authorId="1" shapeId="0" xr:uid="{DCB4E98B-84F0-4DB5-B06B-42300888517C}">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28" authorId="0" shapeId="0" xr:uid="{F4F663B2-0DDB-4C8F-BBD4-CE199F3B4AC0}">
      <text>
        <r>
          <rPr>
            <b/>
            <sz val="11"/>
            <color indexed="81"/>
            <rFont val="Times New Roman"/>
            <family val="1"/>
          </rPr>
          <t>NOTE:</t>
        </r>
        <r>
          <rPr>
            <sz val="11"/>
            <color indexed="81"/>
            <rFont val="Times New Roman"/>
            <family val="1"/>
          </rPr>
          <t xml:space="preserve">
Link to source</t>
        </r>
      </text>
    </comment>
    <comment ref="E628" authorId="0" shapeId="0" xr:uid="{1F36ABA0-C71C-455C-997F-1BE8E9BEFD25}">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28" authorId="3" shapeId="0" xr:uid="{6F9F102F-C48D-42E0-910D-19B2A85D829B}">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628" authorId="0" shapeId="0" xr:uid="{0AB93103-AE22-45AE-A2F1-A3F1F233694E}">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628" authorId="3" shapeId="0" xr:uid="{D8A8294A-A553-4662-BD50-95B408533ACC}">
      <text>
        <r>
          <rPr>
            <b/>
            <sz val="11"/>
            <color indexed="81"/>
            <rFont val="Times New Roman"/>
            <family val="1"/>
          </rPr>
          <t xml:space="preserve">NOTE: Enter any weights used. All weights should be constructed on an additional sheet and linked here.
</t>
        </r>
      </text>
    </comment>
    <comment ref="X651" authorId="2" shapeId="0" xr:uid="{75D90590-8B14-43C1-AFF5-4946256BF88B}">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652" authorId="1" shapeId="0" xr:uid="{51CE4F6C-3FF9-4021-B96D-C87959BEF32C}">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62" authorId="0" shapeId="0" xr:uid="{54B8D7FD-59D6-449F-A747-80B18A926159}">
      <text>
        <r>
          <rPr>
            <b/>
            <sz val="11"/>
            <color indexed="81"/>
            <rFont val="Times New Roman"/>
            <family val="1"/>
          </rPr>
          <t>NOTE:</t>
        </r>
        <r>
          <rPr>
            <sz val="11"/>
            <color indexed="81"/>
            <rFont val="Times New Roman"/>
            <family val="1"/>
          </rPr>
          <t xml:space="preserve">
Link to source</t>
        </r>
      </text>
    </comment>
    <comment ref="E662" authorId="0" shapeId="0" xr:uid="{3E1687C2-2347-470A-A9F3-5F51A99336B8}">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62" authorId="3" shapeId="0" xr:uid="{1615A6D9-7304-486B-A8BA-D58D60185CB7}">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662" authorId="0" shapeId="0" xr:uid="{D0A577D2-8FF2-4E9E-9CC4-BDAA27F8360B}">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662" authorId="3" shapeId="0" xr:uid="{FE0DEF29-8C17-495B-9A27-8FB73C001B9B}">
      <text>
        <r>
          <rPr>
            <b/>
            <sz val="11"/>
            <color indexed="81"/>
            <rFont val="Times New Roman"/>
            <family val="1"/>
          </rPr>
          <t xml:space="preserve">NOTE: Enter any weights used. All weights should be constructed on an additional sheet and linked here.
</t>
        </r>
      </text>
    </comment>
    <comment ref="X685" authorId="2" shapeId="0" xr:uid="{5D5E1BC5-BB03-427B-8D50-E10A25B1289B}">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686" authorId="1" shapeId="0" xr:uid="{0F7458CA-285F-43E3-9194-8A24D15D02AA}">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96" authorId="0" shapeId="0" xr:uid="{A4BB1100-6689-494D-99DC-FB3D35151D99}">
      <text>
        <r>
          <rPr>
            <b/>
            <sz val="11"/>
            <color indexed="81"/>
            <rFont val="Times New Roman"/>
            <family val="1"/>
          </rPr>
          <t>NOTE:</t>
        </r>
        <r>
          <rPr>
            <sz val="11"/>
            <color indexed="81"/>
            <rFont val="Times New Roman"/>
            <family val="1"/>
          </rPr>
          <t xml:space="preserve">
Link to source</t>
        </r>
      </text>
    </comment>
    <comment ref="E696" authorId="0" shapeId="0" xr:uid="{CA89D5D1-C2BD-47F8-81BD-6923933D4111}">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96" authorId="3" shapeId="0" xr:uid="{9DFC6A29-D4E8-4EAC-B46B-840A345D6E26}">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696" authorId="0" shapeId="0" xr:uid="{E2C72599-AFA0-4AD8-99AB-F62E89A91423}">
      <text>
        <r>
          <rPr>
            <b/>
            <sz val="11"/>
            <color rgb="FF000000"/>
            <rFont val="Times New Roman"/>
            <family val="1"/>
          </rPr>
          <t>NOTE:</t>
        </r>
        <r>
          <rPr>
            <sz val="11"/>
            <color rgb="FF000000"/>
            <rFont val="Times New Roman"/>
            <family val="1"/>
          </rPr>
          <t xml:space="preserve">
</t>
        </r>
        <r>
          <rPr>
            <sz val="11"/>
            <color rgb="FF000000"/>
            <rFont val="Times New Roman"/>
            <family val="1"/>
          </rPr>
          <t xml:space="preserve">1  - Peer Reviewed
</t>
        </r>
        <r>
          <rPr>
            <sz val="11"/>
            <color rgb="FF000000"/>
            <rFont val="Times New Roman"/>
            <family val="1"/>
          </rPr>
          <t xml:space="preserve">2 - Public Sector/ Multilateral Agency
</t>
        </r>
        <r>
          <rPr>
            <sz val="11"/>
            <color rgb="FF000000"/>
            <rFont val="Times New Roman"/>
            <family val="1"/>
          </rPr>
          <t xml:space="preserve">3 - For Profit
</t>
        </r>
        <r>
          <rPr>
            <sz val="11"/>
            <color rgb="FF000000"/>
            <rFont val="Times New Roman"/>
            <family val="1"/>
          </rPr>
          <t xml:space="preserve">4 - Independently Verified
</t>
        </r>
        <r>
          <rPr>
            <sz val="11"/>
            <color rgb="FF000000"/>
            <rFont val="Times New Roman"/>
            <family val="1"/>
          </rPr>
          <t>5 - Not Verified</t>
        </r>
      </text>
    </comment>
    <comment ref="J696" authorId="3" shapeId="0" xr:uid="{11AFBB76-8916-4B8C-A366-57168E414EEC}">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696" authorId="3" shapeId="0" xr:uid="{557A951F-6E05-4911-84FB-2F2C327B7E08}">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696" authorId="3" shapeId="0" xr:uid="{E2E414B2-7272-4C4C-9E79-DE401D56506B}">
      <text>
        <r>
          <rPr>
            <b/>
            <sz val="11"/>
            <color indexed="81"/>
            <rFont val="Times New Roman"/>
            <family val="1"/>
          </rPr>
          <t xml:space="preserve">NOTE: Enter any weights used. All weights should be constructed on an additional sheet and linked here.
</t>
        </r>
      </text>
    </comment>
    <comment ref="O696" authorId="3" shapeId="0" xr:uid="{AB2C0C5C-1949-4998-9829-B7EEFFAB10C5}">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904" authorId="2" shapeId="0" xr:uid="{B08068D1-6790-45AA-B652-D02B22B07051}">
      <text>
        <r>
          <rPr>
            <b/>
            <sz val="11"/>
            <color rgb="FF000000"/>
            <rFont val="Times New Roman"/>
            <family val="1"/>
          </rPr>
          <t>NOTE:</t>
        </r>
        <r>
          <rPr>
            <sz val="11"/>
            <color rgb="FF000000"/>
            <rFont val="Times New Roman"/>
            <family val="1"/>
          </rPr>
          <t xml:space="preserve">
</t>
        </r>
        <r>
          <rPr>
            <sz val="11"/>
            <color rgb="FF000000"/>
            <rFont val="Times New Roman"/>
            <family val="1"/>
          </rPr>
          <t>Correct low boundary only when satistical analysis shows unexplainable negative results.</t>
        </r>
      </text>
    </comment>
    <comment ref="S905" authorId="1" shapeId="0" xr:uid="{5D647F96-3707-4C6F-B126-A9A43913407E}">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917" authorId="0" shapeId="0" xr:uid="{77ECF2FA-C43E-4FBD-8F9A-D41DFE87FD5E}">
      <text>
        <r>
          <rPr>
            <b/>
            <sz val="11"/>
            <color indexed="81"/>
            <rFont val="Times New Roman"/>
            <family val="1"/>
          </rPr>
          <t>NOTE:</t>
        </r>
        <r>
          <rPr>
            <sz val="11"/>
            <color indexed="81"/>
            <rFont val="Times New Roman"/>
            <family val="1"/>
          </rPr>
          <t xml:space="preserve">
Link to source</t>
        </r>
      </text>
    </comment>
    <comment ref="E917" authorId="0" shapeId="0" xr:uid="{7D382B24-DCA6-486F-982B-1074D03DBC8C}">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917" authorId="3" shapeId="0" xr:uid="{DDB02C78-65E5-49E8-BB7A-6642F28CCD17}">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917" authorId="0" shapeId="0" xr:uid="{E8CBDD70-46C9-4C80-8C98-8C372EE0D89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J917" authorId="3" shapeId="0" xr:uid="{8907FBFC-1A20-45F8-B191-264229C1992E}">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L917" authorId="3" shapeId="0" xr:uid="{160538B6-C43E-4B55-B500-DCD6B53F9BD1}">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N917" authorId="3" shapeId="0" xr:uid="{55B2DBEA-546F-4FB8-88EE-8C3CDD6C3118}">
      <text>
        <r>
          <rPr>
            <b/>
            <sz val="11"/>
            <color indexed="81"/>
            <rFont val="Times New Roman"/>
            <family val="1"/>
          </rPr>
          <t xml:space="preserve">NOTE: Enter any weights used. All weights should be constructed on an additional sheet and linked here.
</t>
        </r>
      </text>
    </comment>
    <comment ref="O917" authorId="3" shapeId="0" xr:uid="{8A1A150A-2332-498C-8DFD-815359008D7A}">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X1050" authorId="2" shapeId="0" xr:uid="{83188D5B-08D2-4563-B6FA-73F065CA47AD}">
      <text>
        <r>
          <rPr>
            <b/>
            <sz val="11"/>
            <color rgb="FF000000"/>
            <rFont val="Times New Roman"/>
            <family val="1"/>
          </rPr>
          <t>NOTE:</t>
        </r>
        <r>
          <rPr>
            <sz val="11"/>
            <color rgb="FF000000"/>
            <rFont val="Times New Roman"/>
            <family val="1"/>
          </rPr>
          <t xml:space="preserve">
</t>
        </r>
        <r>
          <rPr>
            <sz val="11"/>
            <color rgb="FF000000"/>
            <rFont val="Times New Roman"/>
            <family val="1"/>
          </rPr>
          <t>Correct low boundary only when satistical analysis shows unexplainable negative results.</t>
        </r>
      </text>
    </comment>
    <comment ref="S1051" authorId="1" shapeId="0" xr:uid="{8E3266E8-8C77-4F7B-B0B9-6099304E4AFB}">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063" authorId="0" shapeId="0" xr:uid="{C4C89B4E-CE8A-4FDC-B6C7-100EAA64F69B}">
      <text>
        <r>
          <rPr>
            <b/>
            <sz val="11"/>
            <color indexed="81"/>
            <rFont val="Times New Roman"/>
            <family val="1"/>
          </rPr>
          <t>NOTE:</t>
        </r>
        <r>
          <rPr>
            <sz val="11"/>
            <color indexed="81"/>
            <rFont val="Times New Roman"/>
            <family val="1"/>
          </rPr>
          <t xml:space="preserve">
Link to source</t>
        </r>
      </text>
    </comment>
    <comment ref="E1063" authorId="0" shapeId="0" xr:uid="{24B8BD7E-1A92-47C5-9BFC-2E93239E9BBF}">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063" authorId="3" shapeId="0" xr:uid="{93C4D22C-8336-4744-BE48-05E539DF14F1}">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063" authorId="0" shapeId="0" xr:uid="{B1B07112-1F00-415C-BB28-D9CC6942768A}">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063" authorId="3" shapeId="0" xr:uid="{E1829364-0E28-472A-9D7E-1F44A53E4EC1}">
      <text>
        <r>
          <rPr>
            <b/>
            <sz val="11"/>
            <color indexed="81"/>
            <rFont val="Times New Roman"/>
            <family val="1"/>
          </rPr>
          <t xml:space="preserve">NOTE: Enter any weights used. All weights should be constructed on an additional sheet and linked here.
</t>
        </r>
      </text>
    </comment>
    <comment ref="X1212" authorId="2" shapeId="0" xr:uid="{616FF3F2-641C-4956-AD90-CB66EE431CAB}">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213" authorId="1" shapeId="0" xr:uid="{7342AB0A-ED20-4C95-AEBE-777CEDEA441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25" authorId="0" shapeId="0" xr:uid="{CE35C381-C39D-4CE9-97C0-980AE025CDD0}">
      <text>
        <r>
          <rPr>
            <b/>
            <sz val="11"/>
            <color rgb="FF000000"/>
            <rFont val="Times New Roman"/>
            <family val="1"/>
          </rPr>
          <t>NOTE:</t>
        </r>
        <r>
          <rPr>
            <sz val="11"/>
            <color rgb="FF000000"/>
            <rFont val="Times New Roman"/>
            <family val="1"/>
          </rPr>
          <t xml:space="preserve">
</t>
        </r>
        <r>
          <rPr>
            <sz val="11"/>
            <color rgb="FF000000"/>
            <rFont val="Times New Roman"/>
            <family val="1"/>
          </rPr>
          <t>Link to source</t>
        </r>
      </text>
    </comment>
    <comment ref="E1225" authorId="0" shapeId="0" xr:uid="{7DEAE6D3-E74F-4030-87D5-7DD53B5A3CEB}">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25" authorId="3" shapeId="0" xr:uid="{042E4F4C-22ED-47D9-AD44-5A3180F02638}">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225" authorId="0" shapeId="0" xr:uid="{E9AF1663-66B3-49B3-A450-9CDE29B05E24}">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225" authorId="3" shapeId="0" xr:uid="{FA06DBC6-6BFB-43AE-9660-8889729EAC8F}">
      <text>
        <r>
          <rPr>
            <b/>
            <sz val="11"/>
            <color indexed="81"/>
            <rFont val="Times New Roman"/>
            <family val="1"/>
          </rPr>
          <t xml:space="preserve">NOTE: Enter any weights used. All weights should be constructed on an additional sheet and linked here.
</t>
        </r>
      </text>
    </comment>
    <comment ref="X1317" authorId="2" shapeId="0" xr:uid="{AE74FD37-C54B-4FD4-A1FB-0B17AEB0751F}">
      <text>
        <r>
          <rPr>
            <b/>
            <sz val="11"/>
            <color rgb="FF000000"/>
            <rFont val="Times New Roman"/>
            <family val="1"/>
          </rPr>
          <t>NOTE:</t>
        </r>
        <r>
          <rPr>
            <sz val="11"/>
            <color rgb="FF000000"/>
            <rFont val="Times New Roman"/>
            <family val="1"/>
          </rPr>
          <t xml:space="preserve">
</t>
        </r>
        <r>
          <rPr>
            <sz val="11"/>
            <color rgb="FF000000"/>
            <rFont val="Times New Roman"/>
            <family val="1"/>
          </rPr>
          <t>Correct low boundary only when satistical analysis shows unexplainable negative results.</t>
        </r>
      </text>
    </comment>
    <comment ref="S1318" authorId="1" shapeId="0" xr:uid="{A85CEC9A-2C7E-42A0-89BE-2FEDF53740E8}">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329" authorId="0" shapeId="0" xr:uid="{94339BBF-1A67-4651-9AC2-74AADA508140}">
      <text>
        <r>
          <rPr>
            <b/>
            <sz val="11"/>
            <color indexed="81"/>
            <rFont val="Times New Roman"/>
            <family val="1"/>
          </rPr>
          <t>NOTE:</t>
        </r>
        <r>
          <rPr>
            <sz val="11"/>
            <color indexed="81"/>
            <rFont val="Times New Roman"/>
            <family val="1"/>
          </rPr>
          <t xml:space="preserve">
Link to source</t>
        </r>
      </text>
    </comment>
    <comment ref="E1329" authorId="0" shapeId="0" xr:uid="{AC94DA2B-E125-4414-896E-63A9431D8A4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329" authorId="3" shapeId="0" xr:uid="{BB91FBD4-2D33-427B-8A25-6DEBD12E79DE}">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329" authorId="0" shapeId="0" xr:uid="{C6E30254-0718-46D4-985E-FCA1BF0299E3}">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329" authorId="3" shapeId="0" xr:uid="{77FF1954-2AEA-4B47-B490-F43D28B16B67}">
      <text>
        <r>
          <rPr>
            <b/>
            <sz val="11"/>
            <color indexed="81"/>
            <rFont val="Times New Roman"/>
            <family val="1"/>
          </rPr>
          <t xml:space="preserve">NOTE: Enter any weights used. All weights should be constructed on an additional sheet and linked here.
</t>
        </r>
      </text>
    </comment>
    <comment ref="X1427" authorId="2" shapeId="0" xr:uid="{93D3E63A-4828-4A17-8EBF-50032CD3479E}">
      <text>
        <r>
          <rPr>
            <b/>
            <sz val="11"/>
            <color rgb="FF000000"/>
            <rFont val="Times New Roman"/>
            <family val="1"/>
          </rPr>
          <t>NOTE:</t>
        </r>
        <r>
          <rPr>
            <sz val="11"/>
            <color rgb="FF000000"/>
            <rFont val="Times New Roman"/>
            <family val="1"/>
          </rPr>
          <t xml:space="preserve">
</t>
        </r>
        <r>
          <rPr>
            <sz val="11"/>
            <color rgb="FF000000"/>
            <rFont val="Times New Roman"/>
            <family val="1"/>
          </rPr>
          <t>Correct low boundary only when satistical analysis shows unexplainable negative results.</t>
        </r>
      </text>
    </comment>
    <comment ref="S1428" authorId="1" shapeId="0" xr:uid="{C042D2DA-D108-42D4-9747-557BFCB125D7}">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439" authorId="0" shapeId="0" xr:uid="{6AB1244E-5EAF-4005-9C39-A4B4B6623EEF}">
      <text>
        <r>
          <rPr>
            <b/>
            <sz val="11"/>
            <color indexed="81"/>
            <rFont val="Times New Roman"/>
            <family val="1"/>
          </rPr>
          <t>NOTE:</t>
        </r>
        <r>
          <rPr>
            <sz val="11"/>
            <color indexed="81"/>
            <rFont val="Times New Roman"/>
            <family val="1"/>
          </rPr>
          <t xml:space="preserve">
Link to source</t>
        </r>
      </text>
    </comment>
    <comment ref="E1439" authorId="0" shapeId="0" xr:uid="{EBC0245F-02E7-43FD-8006-726C1B235FB7}">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439" authorId="3" shapeId="0" xr:uid="{7044F2E3-202C-4340-9588-2414CA7C3F58}">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439" authorId="0" shapeId="0" xr:uid="{402C10D5-DC4A-4083-A288-B799BE1CDD39}">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439" authorId="3" shapeId="0" xr:uid="{FD0CBE4B-70E4-4E2C-BBA7-E542F762E437}">
      <text>
        <r>
          <rPr>
            <b/>
            <sz val="11"/>
            <color indexed="81"/>
            <rFont val="Times New Roman"/>
            <family val="1"/>
          </rPr>
          <t xml:space="preserve">NOTE: Enter any weights used. All weights should be constructed on an additional sheet and linked here.
</t>
        </r>
      </text>
    </comment>
    <comment ref="X1462" authorId="2" shapeId="0" xr:uid="{A7854380-B85A-4E7C-97DD-639B41C41183}">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463" authorId="1" shapeId="0" xr:uid="{154FE132-1E7A-4F5B-8FAC-F1F2FE8C06EC}">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479" authorId="0" shapeId="0" xr:uid="{1CD92EA4-7623-43E2-A7CA-D848AAF6C0C0}">
      <text>
        <r>
          <rPr>
            <b/>
            <sz val="11"/>
            <color indexed="81"/>
            <rFont val="Times New Roman"/>
            <family val="1"/>
          </rPr>
          <t>NOTE:</t>
        </r>
        <r>
          <rPr>
            <sz val="11"/>
            <color indexed="81"/>
            <rFont val="Times New Roman"/>
            <family val="1"/>
          </rPr>
          <t xml:space="preserve">
Link to source</t>
        </r>
      </text>
    </comment>
    <comment ref="E1479" authorId="0" shapeId="0" xr:uid="{304DFAB9-0C46-43BC-AB1B-352824FB238B}">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479" authorId="3" shapeId="0" xr:uid="{0F99CD52-DC4F-47E3-8376-19403EA2676E}">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479" authorId="0" shapeId="0" xr:uid="{56D76A1A-FDEF-4155-9E6A-818689EF42AD}">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479" authorId="3" shapeId="0" xr:uid="{1BF73084-9D9F-417F-A586-DA35382B41E5}">
      <text>
        <r>
          <rPr>
            <b/>
            <sz val="11"/>
            <color indexed="81"/>
            <rFont val="Times New Roman"/>
            <family val="1"/>
          </rPr>
          <t xml:space="preserve">NOTE: Enter any weights used. All weights should be constructed on an additional sheet and linked here.
</t>
        </r>
      </text>
    </comment>
    <comment ref="X1502" authorId="2" shapeId="0" xr:uid="{1A21F994-EDC0-4335-B718-D814FF829BDE}">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503" authorId="1" shapeId="0" xr:uid="{CBA017C4-2A9A-4281-96B1-DBF2301281B6}">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515" authorId="0" shapeId="0" xr:uid="{E104B0BF-0A7E-4DC6-88D0-572AF857BBC0}">
      <text>
        <r>
          <rPr>
            <b/>
            <sz val="11"/>
            <color indexed="81"/>
            <rFont val="Times New Roman"/>
            <family val="1"/>
          </rPr>
          <t>NOTE:</t>
        </r>
        <r>
          <rPr>
            <sz val="11"/>
            <color indexed="81"/>
            <rFont val="Times New Roman"/>
            <family val="1"/>
          </rPr>
          <t xml:space="preserve">
Link to source</t>
        </r>
      </text>
    </comment>
    <comment ref="E1515" authorId="0" shapeId="0" xr:uid="{EF062A4B-3FFF-442C-A563-ED6542690B81}">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515" authorId="3" shapeId="0" xr:uid="{F678EF1D-A366-44B2-9C33-AA2EB120FC4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515" authorId="0" shapeId="0" xr:uid="{38A66D6B-5D20-4BAC-A2F2-48544250AF0D}">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515" authorId="3" shapeId="0" xr:uid="{F4D949CD-62DE-4244-B06A-2246C6A16A57}">
      <text>
        <r>
          <rPr>
            <b/>
            <sz val="11"/>
            <color indexed="81"/>
            <rFont val="Times New Roman"/>
            <family val="1"/>
          </rPr>
          <t xml:space="preserve">NOTE: Enter any weights used. All weights should be constructed on an additional sheet and linked here.
</t>
        </r>
      </text>
    </comment>
    <comment ref="X1538" authorId="2" shapeId="0" xr:uid="{57B824BD-33DC-470B-9C1F-3DF5D6135FF2}">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539" authorId="1" shapeId="0" xr:uid="{3D9E7E4A-3FAB-4505-8933-1A049F682CB2}">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553" authorId="0" shapeId="0" xr:uid="{D3FE497D-A829-44DF-B7C7-696F68F41192}">
      <text>
        <r>
          <rPr>
            <b/>
            <sz val="11"/>
            <color indexed="81"/>
            <rFont val="Times New Roman"/>
            <family val="1"/>
          </rPr>
          <t>NOTE:</t>
        </r>
        <r>
          <rPr>
            <sz val="11"/>
            <color indexed="81"/>
            <rFont val="Times New Roman"/>
            <family val="1"/>
          </rPr>
          <t xml:space="preserve">
Link to source</t>
        </r>
      </text>
    </comment>
    <comment ref="E1553" authorId="0" shapeId="0" xr:uid="{741A29E1-1092-4BEB-A56E-4F776817411A}">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553" authorId="3" shapeId="0" xr:uid="{9FEFC5FE-4900-43BC-904A-D8F8010469F3}">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553" authorId="0" shapeId="0" xr:uid="{11EC5B4C-9CBF-42F1-8089-1609FC1E4912}">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553" authorId="3" shapeId="0" xr:uid="{FF0C4342-9C50-48DB-8865-0BDC836E3C12}">
      <text>
        <r>
          <rPr>
            <b/>
            <sz val="11"/>
            <color indexed="81"/>
            <rFont val="Times New Roman"/>
            <family val="1"/>
          </rPr>
          <t xml:space="preserve">NOTE: Enter any weights used. All weights should be constructed on an additional sheet and linked here.
</t>
        </r>
      </text>
    </comment>
    <comment ref="X1576" authorId="2" shapeId="0" xr:uid="{A5ECC16A-8066-467D-AA4B-36E5FC905804}">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577" authorId="1" shapeId="0" xr:uid="{C69EBC9D-44FB-43D9-BC14-B3D885290982}">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588" authorId="0" shapeId="0" xr:uid="{02684466-CD1E-4A3C-80C6-EB443921BCBC}">
      <text>
        <r>
          <rPr>
            <b/>
            <sz val="11"/>
            <color indexed="81"/>
            <rFont val="Times New Roman"/>
            <family val="1"/>
          </rPr>
          <t>NOTE:</t>
        </r>
        <r>
          <rPr>
            <sz val="11"/>
            <color indexed="81"/>
            <rFont val="Times New Roman"/>
            <family val="1"/>
          </rPr>
          <t xml:space="preserve">
Link to source</t>
        </r>
      </text>
    </comment>
    <comment ref="E1588" authorId="0" shapeId="0" xr:uid="{141B3876-52D8-4CA0-A7AA-B6F0FDFA18A3}">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588" authorId="3" shapeId="0" xr:uid="{FA2A1C01-07DC-4803-9CC0-D11A3D7B6839}">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588" authorId="0" shapeId="0" xr:uid="{08416C60-324D-46D2-94DE-1114848FA55B}">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588" authorId="3" shapeId="0" xr:uid="{06BAB39C-61F1-4F4C-8668-E39FDC34B67B}">
      <text>
        <r>
          <rPr>
            <b/>
            <sz val="11"/>
            <color indexed="81"/>
            <rFont val="Times New Roman"/>
            <family val="1"/>
          </rPr>
          <t xml:space="preserve">NOTE: Enter any weights used. All weights should be constructed on an additional sheet and linked here.
</t>
        </r>
      </text>
    </comment>
    <comment ref="X1611" authorId="2" shapeId="0" xr:uid="{7EE89E71-0E00-4630-AD24-029784877E64}">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612" authorId="1" shapeId="0" xr:uid="{90FBD25F-C6AE-47EE-AC7A-D09A3A258E6B}">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624" authorId="0" shapeId="0" xr:uid="{2D67AA8F-C721-44A0-82BA-72886ED35F6D}">
      <text>
        <r>
          <rPr>
            <b/>
            <sz val="11"/>
            <color indexed="81"/>
            <rFont val="Times New Roman"/>
            <family val="1"/>
          </rPr>
          <t>NOTE:</t>
        </r>
        <r>
          <rPr>
            <sz val="11"/>
            <color indexed="81"/>
            <rFont val="Times New Roman"/>
            <family val="1"/>
          </rPr>
          <t xml:space="preserve">
Link to source</t>
        </r>
      </text>
    </comment>
    <comment ref="E1624" authorId="0" shapeId="0" xr:uid="{CCE93F7C-44A2-40DE-B01D-13B93E3E618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624" authorId="3" shapeId="0" xr:uid="{28A62495-1A72-482B-906F-E293085C010F}">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624" authorId="0" shapeId="0" xr:uid="{5A92E806-69F5-4CCF-853B-4A4A41CA2177}">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624" authorId="3" shapeId="0" xr:uid="{5594812B-B598-43CE-8C77-57CB353642C3}">
      <text>
        <r>
          <rPr>
            <b/>
            <sz val="11"/>
            <color indexed="81"/>
            <rFont val="Times New Roman"/>
            <family val="1"/>
          </rPr>
          <t xml:space="preserve">NOTE: Enter any weights used. All weights should be constructed on an additional sheet and linked here.
</t>
        </r>
      </text>
    </comment>
    <comment ref="X1647" authorId="2" shapeId="0" xr:uid="{46EE67D9-5746-493A-95AB-29D83CB0662D}">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648" authorId="1" shapeId="0" xr:uid="{A67E8CB3-3270-4E5E-B3D9-2B466B556D89}">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660" authorId="0" shapeId="0" xr:uid="{69BA70F0-2676-4F9F-9FD6-CBF469104922}">
      <text>
        <r>
          <rPr>
            <b/>
            <sz val="11"/>
            <color indexed="81"/>
            <rFont val="Times New Roman"/>
            <family val="1"/>
          </rPr>
          <t>NOTE:</t>
        </r>
        <r>
          <rPr>
            <sz val="11"/>
            <color indexed="81"/>
            <rFont val="Times New Roman"/>
            <family val="1"/>
          </rPr>
          <t xml:space="preserve">
Link to source</t>
        </r>
      </text>
    </comment>
    <comment ref="E1660" authorId="0" shapeId="0" xr:uid="{6042A057-4ED1-4710-AAD6-9CBB8BE57CEB}">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660" authorId="3" shapeId="0" xr:uid="{8E7853DA-B1FF-40E9-B164-0A2137B46F2C}">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660" authorId="0" shapeId="0" xr:uid="{B1ADF5B6-845C-4B14-A018-AC84960EEE2A}">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660" authorId="3" shapeId="0" xr:uid="{6F2FF82A-94A9-4678-8209-E2F0B1C230F1}">
      <text>
        <r>
          <rPr>
            <b/>
            <sz val="11"/>
            <color indexed="81"/>
            <rFont val="Times New Roman"/>
            <family val="1"/>
          </rPr>
          <t xml:space="preserve">NOTE: Enter any weights used. All weights should be constructed on an additional sheet and linked here.
</t>
        </r>
      </text>
    </comment>
    <comment ref="X1683" authorId="2" shapeId="0" xr:uid="{70462D53-2DB0-4634-8AC5-1AA6E4237215}">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684" authorId="1" shapeId="0" xr:uid="{1B91055E-CDE4-4DDE-A044-C700A344B291}">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696" authorId="0" shapeId="0" xr:uid="{59F8FCE0-8BA0-4DD6-AF18-2A0DEF045582}">
      <text>
        <r>
          <rPr>
            <b/>
            <sz val="11"/>
            <color indexed="81"/>
            <rFont val="Times New Roman"/>
            <family val="1"/>
          </rPr>
          <t>NOTE:</t>
        </r>
        <r>
          <rPr>
            <sz val="11"/>
            <color indexed="81"/>
            <rFont val="Times New Roman"/>
            <family val="1"/>
          </rPr>
          <t xml:space="preserve">
Link to source</t>
        </r>
      </text>
    </comment>
    <comment ref="E1696" authorId="0" shapeId="0" xr:uid="{BA86FB8E-71F5-4BD1-9860-91FF4B952C68}">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696" authorId="3" shapeId="0" xr:uid="{51550F00-23E0-42C2-9F32-8EBEE25605C4}">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696" authorId="0" shapeId="0" xr:uid="{C5691EC0-C065-4748-A570-4006919DB96E}">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696" authorId="3" shapeId="0" xr:uid="{C999F1C2-CEA2-4BCB-AF8F-10026D720360}">
      <text>
        <r>
          <rPr>
            <b/>
            <sz val="11"/>
            <color indexed="81"/>
            <rFont val="Times New Roman"/>
            <family val="1"/>
          </rPr>
          <t xml:space="preserve">NOTE: Enter any weights used. All weights should be constructed on an additional sheet and linked here.
</t>
        </r>
      </text>
    </comment>
    <comment ref="X1719" authorId="2" shapeId="0" xr:uid="{B5A4E7A5-4D8C-49EA-B887-DC33F8068026}">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720" authorId="1" shapeId="0" xr:uid="{B2319BD8-FD36-4E57-9C31-68F5112AD2A1}">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730" authorId="0" shapeId="0" xr:uid="{CFA58A47-AC49-4F07-AE48-FE7730F56DFD}">
      <text>
        <r>
          <rPr>
            <b/>
            <sz val="11"/>
            <color indexed="81"/>
            <rFont val="Times New Roman"/>
            <family val="1"/>
          </rPr>
          <t>NOTE:</t>
        </r>
        <r>
          <rPr>
            <sz val="11"/>
            <color indexed="81"/>
            <rFont val="Times New Roman"/>
            <family val="1"/>
          </rPr>
          <t xml:space="preserve">
Link to source</t>
        </r>
      </text>
    </comment>
    <comment ref="E1730" authorId="0" shapeId="0" xr:uid="{19BDA37B-40EA-482B-A8DE-4A7E68E224C5}">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730" authorId="3" shapeId="0" xr:uid="{77B9A2C0-57C5-4571-AF7D-012FB42381C5}">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730" authorId="0" shapeId="0" xr:uid="{A7F7D954-7C91-4186-9BCA-4AB7379A3D04}">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730" authorId="3" shapeId="0" xr:uid="{4C0B4492-7055-4941-8476-32B194819717}">
      <text>
        <r>
          <rPr>
            <b/>
            <sz val="11"/>
            <color indexed="81"/>
            <rFont val="Times New Roman"/>
            <family val="1"/>
          </rPr>
          <t xml:space="preserve">NOTE: Enter any weights used. All weights should be constructed on an additional sheet and linked here.
</t>
        </r>
      </text>
    </comment>
    <comment ref="X1753" authorId="2" shapeId="0" xr:uid="{793E5BC9-4228-4D95-B8EA-3C82BF94F65A}">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754" authorId="1" shapeId="0" xr:uid="{55E14FB7-FD43-4C4C-8246-DAA9C3EF9CCC}">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764" authorId="0" shapeId="0" xr:uid="{CF6ED9D4-8FA1-4E8B-8B21-FD163F51EEA8}">
      <text>
        <r>
          <rPr>
            <b/>
            <sz val="11"/>
            <color indexed="81"/>
            <rFont val="Times New Roman"/>
            <family val="1"/>
          </rPr>
          <t>NOTE:</t>
        </r>
        <r>
          <rPr>
            <sz val="11"/>
            <color indexed="81"/>
            <rFont val="Times New Roman"/>
            <family val="1"/>
          </rPr>
          <t xml:space="preserve">
Link to source</t>
        </r>
      </text>
    </comment>
    <comment ref="E1764" authorId="0" shapeId="0" xr:uid="{E825B296-7E34-4EBB-B771-F15E143CEB02}">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764" authorId="3" shapeId="0" xr:uid="{4B41E218-6C28-4C69-8473-8450C41BC8FF}">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764" authorId="0" shapeId="0" xr:uid="{237B64CC-57F4-462C-81DE-211BE322DA9D}">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764" authorId="3" shapeId="0" xr:uid="{E3362265-F886-4741-BA9C-49021584BF20}">
      <text>
        <r>
          <rPr>
            <b/>
            <sz val="11"/>
            <color indexed="81"/>
            <rFont val="Times New Roman"/>
            <family val="1"/>
          </rPr>
          <t xml:space="preserve">NOTE: Enter any weights used. All weights should be constructed on an additional sheet and linked here.
</t>
        </r>
      </text>
    </comment>
    <comment ref="X1787" authorId="2" shapeId="0" xr:uid="{815283BA-03BF-47E6-9055-A7A130A06F6A}">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788" authorId="1" shapeId="0" xr:uid="{911C52C0-5DC5-48C9-A435-5062D2C9EF9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799" authorId="0" shapeId="0" xr:uid="{0857E19D-0575-4E1E-8F51-463C4C8707C0}">
      <text>
        <r>
          <rPr>
            <b/>
            <sz val="11"/>
            <color indexed="81"/>
            <rFont val="Times New Roman"/>
            <family val="1"/>
          </rPr>
          <t>NOTE:</t>
        </r>
        <r>
          <rPr>
            <sz val="11"/>
            <color indexed="81"/>
            <rFont val="Times New Roman"/>
            <family val="1"/>
          </rPr>
          <t xml:space="preserve">
Link to source</t>
        </r>
      </text>
    </comment>
    <comment ref="E1799" authorId="0" shapeId="0" xr:uid="{079AC292-AE88-4758-A97F-1C142465CBEF}">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799" authorId="3" shapeId="0" xr:uid="{81E80093-449A-4090-A449-3E9BC3B1A2DE}">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799" authorId="0" shapeId="0" xr:uid="{AC891C88-917A-4609-B027-DA52E30EE5E4}">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799" authorId="3" shapeId="0" xr:uid="{C2BC6F4F-B918-4FC0-8621-073EA5BC4BBA}">
      <text>
        <r>
          <rPr>
            <b/>
            <sz val="11"/>
            <color indexed="81"/>
            <rFont val="Times New Roman"/>
            <family val="1"/>
          </rPr>
          <t xml:space="preserve">NOTE: Enter any weights used. All weights should be constructed on an additional sheet and linked here.
</t>
        </r>
      </text>
    </comment>
    <comment ref="X1822" authorId="2" shapeId="0" xr:uid="{2D8CBD6B-4DC1-4310-ADE1-5F8FD1AF6F0C}">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823" authorId="1" shapeId="0" xr:uid="{A5539DBC-02C6-4470-85DB-C966697DF0C9}">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835" authorId="0" shapeId="0" xr:uid="{11C87BD6-9D65-4FEE-9361-F30E7F282AEB}">
      <text>
        <r>
          <rPr>
            <b/>
            <sz val="11"/>
            <color indexed="81"/>
            <rFont val="Times New Roman"/>
            <family val="1"/>
          </rPr>
          <t>NOTE:</t>
        </r>
        <r>
          <rPr>
            <sz val="11"/>
            <color indexed="81"/>
            <rFont val="Times New Roman"/>
            <family val="1"/>
          </rPr>
          <t xml:space="preserve">
Link to source</t>
        </r>
      </text>
    </comment>
    <comment ref="E1835" authorId="0" shapeId="0" xr:uid="{1C281A8A-F611-4B2B-854C-CA809D150AC7}">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835" authorId="3" shapeId="0" xr:uid="{F19098D3-0ED7-4E43-8ADD-967A96497A8A}">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835" authorId="0" shapeId="0" xr:uid="{916CEFFA-A8EE-4ECE-856F-38E174CD6132}">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835" authorId="3" shapeId="0" xr:uid="{4EDE68E7-A73C-491E-81E4-636F31E0FC9B}">
      <text>
        <r>
          <rPr>
            <b/>
            <sz val="11"/>
            <color indexed="81"/>
            <rFont val="Times New Roman"/>
            <family val="1"/>
          </rPr>
          <t xml:space="preserve">NOTE: Enter any weights used. All weights should be constructed on an additional sheet and linked here.
</t>
        </r>
      </text>
    </comment>
    <comment ref="X1858" authorId="2" shapeId="0" xr:uid="{01E8C086-D850-4BB1-BC95-D8E0D0E9AA05}">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859" authorId="1" shapeId="0" xr:uid="{7AE849A6-D0E7-477D-9675-8920264EAFC8}">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871" authorId="0" shapeId="0" xr:uid="{1B6E4336-F0C7-4943-ABDD-A1BFB5F14169}">
      <text>
        <r>
          <rPr>
            <b/>
            <sz val="11"/>
            <color indexed="81"/>
            <rFont val="Times New Roman"/>
            <family val="1"/>
          </rPr>
          <t>NOTE:</t>
        </r>
        <r>
          <rPr>
            <sz val="11"/>
            <color indexed="81"/>
            <rFont val="Times New Roman"/>
            <family val="1"/>
          </rPr>
          <t xml:space="preserve">
Link to source</t>
        </r>
      </text>
    </comment>
    <comment ref="E1871" authorId="0" shapeId="0" xr:uid="{C9053F84-1DFA-4BE9-9EB5-309568B46F61}">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871" authorId="3" shapeId="0" xr:uid="{CC5E8004-606D-41DF-989A-DAD9BF27B69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871" authorId="0" shapeId="0" xr:uid="{7E59F343-0188-49F8-819E-F761238DB697}">
      <text>
        <r>
          <rPr>
            <b/>
            <sz val="11"/>
            <color rgb="FF000000"/>
            <rFont val="Times New Roman"/>
            <family val="1"/>
          </rPr>
          <t>NOTE:</t>
        </r>
        <r>
          <rPr>
            <sz val="11"/>
            <color rgb="FF000000"/>
            <rFont val="Times New Roman"/>
            <family val="1"/>
          </rPr>
          <t xml:space="preserve">
</t>
        </r>
        <r>
          <rPr>
            <sz val="11"/>
            <color rgb="FF000000"/>
            <rFont val="Times New Roman"/>
            <family val="1"/>
          </rPr>
          <t xml:space="preserve">1  - Peer Reviewed
</t>
        </r>
        <r>
          <rPr>
            <sz val="11"/>
            <color rgb="FF000000"/>
            <rFont val="Times New Roman"/>
            <family val="1"/>
          </rPr>
          <t xml:space="preserve">2 - Public Sector/ Multilateral Agency
</t>
        </r>
        <r>
          <rPr>
            <sz val="11"/>
            <color rgb="FF000000"/>
            <rFont val="Times New Roman"/>
            <family val="1"/>
          </rPr>
          <t xml:space="preserve">3 - For Profit
</t>
        </r>
        <r>
          <rPr>
            <sz val="11"/>
            <color rgb="FF000000"/>
            <rFont val="Times New Roman"/>
            <family val="1"/>
          </rPr>
          <t xml:space="preserve">4 - Independently Verified
</t>
        </r>
        <r>
          <rPr>
            <sz val="11"/>
            <color rgb="FF000000"/>
            <rFont val="Times New Roman"/>
            <family val="1"/>
          </rPr>
          <t>5 - Not Verified</t>
        </r>
      </text>
    </comment>
    <comment ref="N1871" authorId="3" shapeId="0" xr:uid="{2BBC0C6A-8CC3-4467-9796-8E05F961D6B1}">
      <text>
        <r>
          <rPr>
            <b/>
            <sz val="11"/>
            <color indexed="81"/>
            <rFont val="Times New Roman"/>
            <family val="1"/>
          </rPr>
          <t xml:space="preserve">NOTE: Enter any weights used. All weights should be constructed on an additional sheet and linked here.
</t>
        </r>
      </text>
    </comment>
    <comment ref="X1894" authorId="2" shapeId="0" xr:uid="{26B81264-5293-4B5F-B215-8461EC02CDB6}">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895" authorId="1" shapeId="0" xr:uid="{A511BEFA-AFB3-4468-844F-7A5C432821EA}">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905" authorId="0" shapeId="0" xr:uid="{D30F3C5B-92BD-4FCB-932F-E9EB1C06FBAA}">
      <text>
        <r>
          <rPr>
            <b/>
            <sz val="11"/>
            <color indexed="81"/>
            <rFont val="Times New Roman"/>
            <family val="1"/>
          </rPr>
          <t>NOTE:</t>
        </r>
        <r>
          <rPr>
            <sz val="11"/>
            <color indexed="81"/>
            <rFont val="Times New Roman"/>
            <family val="1"/>
          </rPr>
          <t xml:space="preserve">
Link to source</t>
        </r>
      </text>
    </comment>
    <comment ref="E1905" authorId="0" shapeId="0" xr:uid="{4A1161FE-2190-46D0-88CB-9AB5208C9691}">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905" authorId="3" shapeId="0" xr:uid="{51560B11-1A0E-4DAB-94A8-FFB377454C6D}">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905" authorId="0" shapeId="0" xr:uid="{6C0994D9-87E8-4A94-9BE0-6E8E3E96C027}">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905" authorId="3" shapeId="0" xr:uid="{8B4F0391-7B39-442A-A73C-33EADE7749FC}">
      <text>
        <r>
          <rPr>
            <b/>
            <sz val="11"/>
            <color indexed="81"/>
            <rFont val="Times New Roman"/>
            <family val="1"/>
          </rPr>
          <t xml:space="preserve">NOTE: Enter any weights used. All weights should be constructed on an additional sheet and linked here.
</t>
        </r>
      </text>
    </comment>
    <comment ref="X1928" authorId="2" shapeId="0" xr:uid="{6794F207-8721-4596-96EF-9BECDF603F2B}">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929" authorId="1" shapeId="0" xr:uid="{F3FB1382-101B-472E-9235-893FC101732F}">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939" authorId="0" shapeId="0" xr:uid="{29BABEEE-0BCD-4AB2-8554-56A11E52C089}">
      <text>
        <r>
          <rPr>
            <b/>
            <sz val="11"/>
            <color indexed="81"/>
            <rFont val="Times New Roman"/>
            <family val="1"/>
          </rPr>
          <t>NOTE:</t>
        </r>
        <r>
          <rPr>
            <sz val="11"/>
            <color indexed="81"/>
            <rFont val="Times New Roman"/>
            <family val="1"/>
          </rPr>
          <t xml:space="preserve">
Link to source</t>
        </r>
      </text>
    </comment>
    <comment ref="E1939" authorId="0" shapeId="0" xr:uid="{9CE81C5D-0A93-4BF3-9B29-F39E2FD4E5F3}">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939" authorId="3" shapeId="0" xr:uid="{B187D81B-B33E-4227-B0F8-CB06C5C290AE}">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G1939" authorId="0" shapeId="0" xr:uid="{73F1A556-8F7B-4B14-8A28-95C3AF58FB6B}">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N1939" authorId="3" shapeId="0" xr:uid="{D2BDE8E0-B14D-423D-A8E5-96CEF673AF10}">
      <text>
        <r>
          <rPr>
            <b/>
            <sz val="11"/>
            <color indexed="81"/>
            <rFont val="Times New Roman"/>
            <family val="1"/>
          </rPr>
          <t xml:space="preserve">NOTE: Enter any weights used. All weights should be constructed on an additional sheet and linked here.
</t>
        </r>
      </text>
    </comment>
    <comment ref="X1962" authorId="2" shapeId="0" xr:uid="{6D05FD5D-5EC7-4EAC-A877-7644A12146F8}">
      <text>
        <r>
          <rPr>
            <b/>
            <sz val="11"/>
            <color indexed="81"/>
            <rFont val="Times New Roman"/>
            <family val="1"/>
          </rPr>
          <t>NOTE:</t>
        </r>
        <r>
          <rPr>
            <sz val="11"/>
            <color indexed="81"/>
            <rFont val="Times New Roman"/>
            <family val="1"/>
          </rPr>
          <t xml:space="preserve">
Correct low boundary only when satistical analysis shows unexplainable negative results.</t>
        </r>
      </text>
    </comment>
    <comment ref="S1963" authorId="1" shapeId="0" xr:uid="{9E9FDCAB-2B47-49B7-9C6C-C654691757FA}">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<sst xmlns="http://schemas.openxmlformats.org/spreadsheetml/2006/main" count="8694" uniqueCount="819">
  <si>
    <t>COMMON CONVERSIONS</t>
  </si>
  <si>
    <t>Energy Conversions</t>
  </si>
  <si>
    <t>To:</t>
  </si>
  <si>
    <t>yes</t>
  </si>
  <si>
    <t>Inflation Adjustment Factor</t>
  </si>
  <si>
    <t>(convert historic US$ to US$2014)</t>
  </si>
  <si>
    <t>EUR</t>
  </si>
  <si>
    <t>CAN</t>
  </si>
  <si>
    <t>GBP</t>
  </si>
  <si>
    <t>Land Conversions</t>
  </si>
  <si>
    <t>Source Validation</t>
  </si>
  <si>
    <t>TJ</t>
  </si>
  <si>
    <t>Gcal</t>
  </si>
  <si>
    <t>Mtoe</t>
  </si>
  <si>
    <t>MBtu</t>
  </si>
  <si>
    <t>GWh</t>
  </si>
  <si>
    <t>TWh</t>
  </si>
  <si>
    <t>KWh</t>
  </si>
  <si>
    <t>no</t>
  </si>
  <si>
    <t>acre</t>
  </si>
  <si>
    <t>hectare</t>
  </si>
  <si>
    <t>kilohectare</t>
  </si>
  <si>
    <t>square m (m2)</t>
  </si>
  <si>
    <t>Square ft (ft2)</t>
  </si>
  <si>
    <t>1  - Peer Reviewed</t>
  </si>
  <si>
    <t>multiply by:</t>
  </si>
  <si>
    <t>2 - Public Sector/ Multilateral Agency</t>
  </si>
  <si>
    <t>From:</t>
  </si>
  <si>
    <t>3 - For Profit</t>
  </si>
  <si>
    <t>4 - Independently Verified</t>
  </si>
  <si>
    <t>5 - Not Verified</t>
  </si>
  <si>
    <t>Base year</t>
  </si>
  <si>
    <t>kWh</t>
  </si>
  <si>
    <t>Source: http://www.iea.org/statistics/resources/unitconverter/</t>
  </si>
  <si>
    <t>KEY INPUT VARIABLES FOR ADVANCED CONTROLS</t>
  </si>
  <si>
    <t>Volume Conversions</t>
  </si>
  <si>
    <t>Other Conversions</t>
  </si>
  <si>
    <t>Link these outputs to Factoring Sheets or Advanced Controls as appropriate</t>
  </si>
  <si>
    <t>gal U.S.</t>
  </si>
  <si>
    <t>Gal U.K.</t>
  </si>
  <si>
    <t>bbl</t>
  </si>
  <si>
    <t>Cubic foot (ft3)</t>
  </si>
  <si>
    <t>l</t>
  </si>
  <si>
    <t>Cubic meter (m3)</t>
  </si>
  <si>
    <t>g/m2</t>
  </si>
  <si>
    <t>t/ha</t>
  </si>
  <si>
    <t>MMt/ha</t>
  </si>
  <si>
    <t>Index</t>
  </si>
  <si>
    <t>U.S. gallon (gal)</t>
  </si>
  <si>
    <t>U.K. gallon (gal)</t>
  </si>
  <si>
    <t>Barrel (bbl)</t>
  </si>
  <si>
    <t>Litre (l)</t>
  </si>
  <si>
    <t xml:space="preserve">Source: http://inflationdata.com/Inflation/Consumer_Price_Index/CurrentCPI.asp?reloaded=true  </t>
  </si>
  <si>
    <t>Mass Conversions</t>
  </si>
  <si>
    <t>Historic Foreign Exchange Rates</t>
  </si>
  <si>
    <t>(convert to US$)</t>
  </si>
  <si>
    <t>Carbon to CO2  Conversions</t>
  </si>
  <si>
    <t>g</t>
  </si>
  <si>
    <t>kg</t>
  </si>
  <si>
    <t>t</t>
  </si>
  <si>
    <t>pound (lb)</t>
  </si>
  <si>
    <t>http://www.usforex.com/forex-tools/historical-rate-tools/yearly-average-rates</t>
  </si>
  <si>
    <t>1 ppm by volume of atmosphere CO2 =</t>
  </si>
  <si>
    <t>2.13 Gt C</t>
  </si>
  <si>
    <t>gram (g)</t>
  </si>
  <si>
    <t>1 mole CO2 =</t>
  </si>
  <si>
    <t>12.011 g C</t>
  </si>
  <si>
    <t>kilogramme (kg)</t>
  </si>
  <si>
    <t>1 g C =</t>
  </si>
  <si>
    <t>0.083 mole CO2</t>
  </si>
  <si>
    <t>tonne (t)</t>
  </si>
  <si>
    <t>3.664 g CO2</t>
  </si>
  <si>
    <t>Distance Conversions</t>
  </si>
  <si>
    <t>Statistical Correction</t>
  </si>
  <si>
    <t>GHG to CO2-eq  Conversions</t>
  </si>
  <si>
    <t>m</t>
  </si>
  <si>
    <t>km</t>
  </si>
  <si>
    <t xml:space="preserve">Data omitted when </t>
  </si>
  <si>
    <t>S.D. above or below the mean</t>
  </si>
  <si>
    <t>CO2-eq</t>
  </si>
  <si>
    <t>20-year</t>
  </si>
  <si>
    <t>100-year</t>
  </si>
  <si>
    <t>miles (m)</t>
  </si>
  <si>
    <t>Energy Generation Conversion</t>
  </si>
  <si>
    <t>CH4</t>
  </si>
  <si>
    <t>kilometres (km)</t>
  </si>
  <si>
    <t>Annual generation:</t>
  </si>
  <si>
    <t>Days =</t>
  </si>
  <si>
    <t>N2O</t>
  </si>
  <si>
    <t>Hours =</t>
  </si>
  <si>
    <t>ADOPTION VARIABLES</t>
  </si>
  <si>
    <t>REGIONAL VARIABLE META-ANALYSIS  ---&gt; Unhide</t>
  </si>
  <si>
    <t>Current Adoption</t>
  </si>
  <si>
    <t>ALL DATA</t>
  </si>
  <si>
    <t>Note that Only World Values are Extracted in Table Below. Regional Values are at Right →</t>
  </si>
  <si>
    <t>World</t>
  </si>
  <si>
    <t>OECD90</t>
  </si>
  <si>
    <t>Eastern Europe</t>
  </si>
  <si>
    <t>Asia (Sans Japan)</t>
  </si>
  <si>
    <t>Middle East and Africa</t>
  </si>
  <si>
    <t>Latin America</t>
  </si>
  <si>
    <t>China</t>
  </si>
  <si>
    <t>India</t>
  </si>
  <si>
    <t>EU</t>
  </si>
  <si>
    <t>USA</t>
  </si>
  <si>
    <t>Number</t>
  </si>
  <si>
    <t>Sources</t>
  </si>
  <si>
    <t>SOURCE ID: Author/Org, Date, Info</t>
  </si>
  <si>
    <t>Link</t>
  </si>
  <si>
    <t>World / Drawdown Region</t>
  </si>
  <si>
    <t>Specific Geographic Location</t>
  </si>
  <si>
    <t>Source Validation Code</t>
  </si>
  <si>
    <t>Year / Date</t>
  </si>
  <si>
    <t>License Code</t>
  </si>
  <si>
    <t xml:space="preserve">Raw Data Input </t>
  </si>
  <si>
    <t>Original Units</t>
  </si>
  <si>
    <t>Conversion calculation**</t>
  </si>
  <si>
    <t>Common Units</t>
  </si>
  <si>
    <t>Weight</t>
  </si>
  <si>
    <t>Assumptions</t>
  </si>
  <si>
    <t>Exclude Data?</t>
  </si>
  <si>
    <t>Data</t>
  </si>
  <si>
    <t>Stat. Corrected</t>
  </si>
  <si>
    <t>Weighted Data</t>
  </si>
  <si>
    <t>Units of measure</t>
  </si>
  <si>
    <t>ALL UNITS IN:</t>
  </si>
  <si>
    <t>World Data</t>
  </si>
  <si>
    <t>Processed Data</t>
  </si>
  <si>
    <t>Raw Regional and Subregional Data</t>
  </si>
  <si>
    <t>Mottet et al. 2017 (supplementary) and Opio et al. 2013 (Appendix B)</t>
  </si>
  <si>
    <t>rations!</t>
  </si>
  <si>
    <t>kg of protein</t>
  </si>
  <si>
    <t>High Quality Roughages and By-products and Concentrates</t>
  </si>
  <si>
    <t>All sources (corrected) - AVERAGE</t>
  </si>
  <si>
    <t>**Add calc above</t>
  </si>
  <si>
    <t>Average of World Values</t>
  </si>
  <si>
    <t>Average</t>
  </si>
  <si>
    <t>←L:Regional Only, ←R:Combined</t>
  </si>
  <si>
    <t>All sources (corrected) - HIGH</t>
  </si>
  <si>
    <t>Explanation:</t>
  </si>
  <si>
    <t>Total Adoption is the sum of the adoption of Roughages (legumes, silages) as well as, By-products and Concentrates (grains, brans, soybean meals). Calculations are made in the "rations" tab</t>
  </si>
  <si>
    <t>World High</t>
  </si>
  <si>
    <t>(SD above mean)</t>
  </si>
  <si>
    <t>Low Correction?</t>
  </si>
  <si>
    <t>High</t>
  </si>
  <si>
    <t>←Regional Only</t>
  </si>
  <si>
    <t>All sources (corrected) - LOW</t>
  </si>
  <si>
    <t>World Low</t>
  </si>
  <si>
    <t>(SD below mean)</t>
  </si>
  <si>
    <t>N</t>
  </si>
  <si>
    <t>Low</t>
  </si>
  <si>
    <t>Confidence?</t>
  </si>
  <si>
    <t>Sensitivity: High/Low</t>
  </si>
  <si>
    <t>World Standard Dev.</t>
  </si>
  <si>
    <t>All Source Count</t>
  </si>
  <si>
    <t>Explain:</t>
  </si>
  <si>
    <t>Sum of Regional Values</t>
  </si>
  <si>
    <t>Standard Dev.</t>
  </si>
  <si>
    <t>Use weight?</t>
  </si>
  <si>
    <t>Source Count</t>
  </si>
  <si>
    <t>←All Sources</t>
  </si>
  <si>
    <t>FINANCIAL VARIABLES</t>
  </si>
  <si>
    <t>CONVENTIONAL First Cost per Implementation Unit for replaced practices/technologies</t>
  </si>
  <si>
    <t>All sources  - AVERAGE</t>
  </si>
  <si>
    <t>All sources  - HIGH</t>
  </si>
  <si>
    <t>All sources  - LOW</t>
  </si>
  <si>
    <t>SOLUTION First Cost per Implementation Unit</t>
  </si>
  <si>
    <t>Lifetime Capacity - CONVENTIONAL</t>
  </si>
  <si>
    <t>Lifetime Capacity - SOLUTION</t>
  </si>
  <si>
    <t>Average Annual Use - CONVENTIONAL</t>
  </si>
  <si>
    <t>functional unit per implementation unit</t>
  </si>
  <si>
    <t xml:space="preserve">World </t>
  </si>
  <si>
    <t>Average Annual Use - SOLUTION</t>
  </si>
  <si>
    <t>CONVENTIONAL VARIABLE Operating Cost per Functional Unit</t>
  </si>
  <si>
    <t>IFCN 2014 Report</t>
  </si>
  <si>
    <t>https://ifcndairy.org/wp-content/uploads/2020/06/IFCN-Dairy-Report-2014_web.pdf</t>
  </si>
  <si>
    <t>Western Europe</t>
  </si>
  <si>
    <t>US$2013/100 kg of milk</t>
  </si>
  <si>
    <t>Estimated average share of feed cost (pg. 19)</t>
  </si>
  <si>
    <t>North America</t>
  </si>
  <si>
    <t>Mid-East</t>
  </si>
  <si>
    <t>Africa</t>
  </si>
  <si>
    <t>CEEC</t>
  </si>
  <si>
    <t>South America</t>
  </si>
  <si>
    <t>Asia</t>
  </si>
  <si>
    <t>Oceania</t>
  </si>
  <si>
    <t>Estimated from 0.3 kg of soybean meal price and 0.7 kg of corn price</t>
  </si>
  <si>
    <t>Germany</t>
  </si>
  <si>
    <t>Poland</t>
  </si>
  <si>
    <t>Ukraine</t>
  </si>
  <si>
    <t>Argentina</t>
  </si>
  <si>
    <t>Brazil</t>
  </si>
  <si>
    <t>New Zealand</t>
  </si>
  <si>
    <t>Malawi</t>
  </si>
  <si>
    <t>Iceland</t>
  </si>
  <si>
    <t>It is assumed that all conventional systems consist of soybean meal and corn. Costs reflect the cost to produce or purchase feed. Important conversions: 3.2 kg of protein in 100 kg of milk</t>
  </si>
  <si>
    <t xml:space="preserve">SOLUTION VARIABLE Operating Cost per Functional Unit </t>
  </si>
  <si>
    <t>Richardson. 2018. Cow Methane Emissions Reduced by Swiss Company Agolin</t>
  </si>
  <si>
    <t>https://cleantechnica.com/2018/10/19/cow-methane-emissions-reduced-by-swiss-company-agolin/</t>
  </si>
  <si>
    <t>Europe</t>
  </si>
  <si>
    <t>Euros/ cow /day</t>
  </si>
  <si>
    <t>31.52 kg milk yield per day per cow</t>
  </si>
  <si>
    <t>Buza. 2014. Evaluating the effect of ration composition on income over feed costs and milk yield</t>
  </si>
  <si>
    <t>https://www.sciencedirect.com/science/article/pii/S0022030214001696</t>
  </si>
  <si>
    <t>Pennsylvania</t>
  </si>
  <si>
    <t>US$/ cow/day</t>
  </si>
  <si>
    <t>USDA, Milk Cost of Production</t>
  </si>
  <si>
    <t>https://www.ers.usda.gov/data-products/milk-cost-of-production-estimates/</t>
  </si>
  <si>
    <t>US$2019/100 pounds of milk</t>
  </si>
  <si>
    <t>Purchased Feed, Dairy Cattle &lt;50 cows</t>
  </si>
  <si>
    <t>Homegrown Harvested Feed, Dairy Cattle &lt;50cows</t>
  </si>
  <si>
    <t>Purchased Feed, Dairy Cattle 50-99 cows</t>
  </si>
  <si>
    <t>Homegrown Harvested Feed, Dairy Cattle 50-99cows</t>
  </si>
  <si>
    <t>Purchased Feed, Dairy Cattle 100-199 cows</t>
  </si>
  <si>
    <t>Homegrown Harvested Feed, Dairy Cattle 100-199cows</t>
  </si>
  <si>
    <t>Purchased Feed, Dairy Cattle 200-499 cows</t>
  </si>
  <si>
    <t>Homegrown Harvested Feed, Dairy Cattle 200-499cows</t>
  </si>
  <si>
    <t>Purchased Feed, Dairy Cattle 500-999 cows</t>
  </si>
  <si>
    <t>Homegrown Harvested Feed, Dairy Cattle 500-999cows</t>
  </si>
  <si>
    <t>Purchased Feed, Dairy Cattle 1000-1999 cows</t>
  </si>
  <si>
    <t>Homegrown Harvested Feed, Dairy Cattle 1000-1999cows</t>
  </si>
  <si>
    <t>Purchased Feed, Dairy Cattle 1&gt;2000cows</t>
  </si>
  <si>
    <t>Homegrown Harvested Feed, Dairy Cattle &gt;2000cows</t>
  </si>
  <si>
    <t>Bellingeri, et al. 2019. A survey of dairy cattle management, crop planning, and forages cost of production in Northern Italy</t>
  </si>
  <si>
    <t>https://www.tandfonline.com/doi/full/10.1080/1828051X.2019.1580153</t>
  </si>
  <si>
    <t>Italy</t>
  </si>
  <si>
    <t>alfalfa and corn silage. 32.8 kg milk per day per cow</t>
  </si>
  <si>
    <t>FAO. 2017. Global Livestock Environmental Assessment Model (GLEAM)</t>
  </si>
  <si>
    <t>http://www.fao.org/in-action/enteric-methane/participating-countries/south-america/argentina/en/</t>
  </si>
  <si>
    <t xml:space="preserve">Argentina </t>
  </si>
  <si>
    <t>Benefit-cost ratio (US$ returned for 1 US$ invested)</t>
  </si>
  <si>
    <t>Deferred forages, sub-tropical, cow-calf beef</t>
  </si>
  <si>
    <t>Deferred forages, arid and semi-arid, cow-calf beef</t>
  </si>
  <si>
    <t>Deferred forages, temperate, cow-calf beef</t>
  </si>
  <si>
    <t>Supplementation of cows, feedlot, beef</t>
  </si>
  <si>
    <t>http://www.fao.org/in-action/enteric-methane/participating-countries/south-asia/bangladesh/en/</t>
  </si>
  <si>
    <t>Bangladesh</t>
  </si>
  <si>
    <t>Feeding of Urea-molasses straw (UMS), subsistence dairy farms</t>
  </si>
  <si>
    <t>Fodder cultivation, commercial dairy farm</t>
  </si>
  <si>
    <t>Feeding of Urea-molasses straw (UMS), commercial dairy systems</t>
  </si>
  <si>
    <t>http://www.fao.org/in-action/enteric-methane/participating-countries/east-africa/ethiopia/en/</t>
  </si>
  <si>
    <t>Ethiopia</t>
  </si>
  <si>
    <t>Supplementation with UMMB, rural mixed crop livestock</t>
  </si>
  <si>
    <t>Supplementation with urea treated straw, rural mixed crop livestock</t>
  </si>
  <si>
    <t>Supplemenation with urea treated straw and rice bran, rural mixed crop livestock</t>
  </si>
  <si>
    <t>Supplementaion with urea treated straw and high energy &amp; protein, rural mixed crop livestock</t>
  </si>
  <si>
    <t>Leguminous shrub supplementation, rural mixed crop livestock</t>
  </si>
  <si>
    <t>Supplementation with UMMB, small scale commercial dairy</t>
  </si>
  <si>
    <t>Supplementation with urea treated straw, small scale commercial scale dairy</t>
  </si>
  <si>
    <t>Supplemenation with urea treated straw and rice bran, small scale commercial dairy</t>
  </si>
  <si>
    <t>Supplementaion with urea treated straw and high energy &amp; protein, small cale commercial dairy</t>
  </si>
  <si>
    <t>Urea Molasses Multinutrient Block (UMMB), medium scale commercial dairy</t>
  </si>
  <si>
    <t>http://www.fao.org/in-action/enteric-methane/participating-countries/east-africa/kenya/en/</t>
  </si>
  <si>
    <t>Kenya</t>
  </si>
  <si>
    <t>Supplementation with high protein/energy concentrates, dairy cattle production systems, intensive</t>
  </si>
  <si>
    <t>Supplementation with sweet potato vines and sorghum silage, dairy cattle production systems, intensive dairy systems</t>
  </si>
  <si>
    <t>Supplementation with sweet potato vines and sorghum silage, and dairy meal, dairy cattle production systems, intensive</t>
  </si>
  <si>
    <t>Urea treated crop residue, dairy cattle production systems,  intensive</t>
  </si>
  <si>
    <t>Urea Molasses Multinutrient Block (UMMB), dairy cattle production systems,  intensive</t>
  </si>
  <si>
    <t>Feed conservation of fodder as silage, dairy cattle production systems,  intensive</t>
  </si>
  <si>
    <t>Establishment of fodder grasses and legumes, dairy cattle production systems, semi-intensive</t>
  </si>
  <si>
    <t>Supplementation with leguminous shrubs/foddeer trees, dairy cattle production systems, semi-intensive</t>
  </si>
  <si>
    <t>Supplementation with high protein/energy concentrates, dairy cattle production systems, semi-intensive</t>
  </si>
  <si>
    <t>Supplementation with sweet potato vines and sorghum silage, dairy cattle production systems, semi-intensive</t>
  </si>
  <si>
    <t>Supplementation with sweet potato vines and sorghum silage, and dairy meal, dairy cattle production systems, semi-intensive</t>
  </si>
  <si>
    <t>Urea treated crop residue, dairy cattle production systems, semi-intensive</t>
  </si>
  <si>
    <t>Urea Molasses Multinutrient Block (UMMB), dairy cattle production systems, semi-intensive</t>
  </si>
  <si>
    <t>Supplementation with high protein/energy concentrates, dairy cattle production systems, extensive</t>
  </si>
  <si>
    <t>Urea Molasses Multinutrient Block (UMMB), dairy cattle production systems, extensive</t>
  </si>
  <si>
    <t>http://www.fao.org/in-action/enteric-methane/participating-countries/south-asia/sri-lanka/en/</t>
  </si>
  <si>
    <t>Sri Lanka</t>
  </si>
  <si>
    <t>Use of total mixed ration, Upland and mid-country, dairy</t>
  </si>
  <si>
    <t>Supplementation with fodder trees and low cost concentrate, Coconut triangle, dairy</t>
  </si>
  <si>
    <t>Supplementation with rice straw concentrate mixture, Coconut triangle, dairy</t>
  </si>
  <si>
    <t>Supplementation of forage diet with Gliricidia blocks, dairy</t>
  </si>
  <si>
    <t>Supplementation with fodder trees and low cost concentrate, Wet lowland, dairy</t>
  </si>
  <si>
    <t>Supplementation of forage diet with Gliricidia blocks, Wetland lowland, dairy</t>
  </si>
  <si>
    <t>Supplementation with fodder trees and low cost concentrate, Dry lowland, dairy</t>
  </si>
  <si>
    <t>Supplementation with rice straw concentrate mixture, Dry lowland, dairy</t>
  </si>
  <si>
    <t>http://www.fao.org/in-action/enteric-methane/participating-countries/east-africa/tanzania/en/</t>
  </si>
  <si>
    <t>Tanzania</t>
  </si>
  <si>
    <t xml:space="preserve">Legume intercropping, traditional dairy </t>
  </si>
  <si>
    <t>Urea treated crop residues, traditional dairy</t>
  </si>
  <si>
    <t>Establishement of intensive fodder gardens, traditional dairy</t>
  </si>
  <si>
    <t xml:space="preserve">Legume intercropping, improved dairy </t>
  </si>
  <si>
    <t>Urea treated crop residues, improved dairy</t>
  </si>
  <si>
    <t>Establishement of intensive fodder gardens, improved dairy</t>
  </si>
  <si>
    <t>http://www.fao.org/in-action/enteric-methane/participating-countries/east-africa/uganda/en/</t>
  </si>
  <si>
    <t>Uganda</t>
  </si>
  <si>
    <t>Improved tolerant forages, small scale extensive dairy</t>
  </si>
  <si>
    <t>Legume grass intercropping, small scale extensive dairy</t>
  </si>
  <si>
    <t>Improved tolerant forages, medium scale extensive</t>
  </si>
  <si>
    <t>Legume grass intercropping, medium scale extensive</t>
  </si>
  <si>
    <t>Improved tolerant forages, agro-pastoral</t>
  </si>
  <si>
    <t>Conservation fodder, agro-pastoral</t>
  </si>
  <si>
    <t>http://www.fao.org/in-action/enteric-methane/participating-countries/south-america/uruguay/en/</t>
  </si>
  <si>
    <t>Uraguay</t>
  </si>
  <si>
    <t>Herbage allowance, cow-calf,  beef</t>
  </si>
  <si>
    <t>Winter supplementation, cow-calf, beef</t>
  </si>
  <si>
    <t>Summer supplementation, cow-calf, beef</t>
  </si>
  <si>
    <t>Herbage allowance, complete cycle 1, beef</t>
  </si>
  <si>
    <t>Sowing grass, legumes and fodder, complete cycle 1, beef</t>
  </si>
  <si>
    <t>Interceding natural pastures with legumes, complete cycle 1, beef</t>
  </si>
  <si>
    <t>Winter supplementation, complete cycle 1, beef</t>
  </si>
  <si>
    <t>Summer supplementation, complete cycle 1, beef</t>
  </si>
  <si>
    <t>Herbage allowance, complete cycle 2, beef</t>
  </si>
  <si>
    <t>Sowing grass, legumes and fodder, complete cycle 2, beef</t>
  </si>
  <si>
    <t>Interceding natural pastures with legumes, complete cycle 2, beef</t>
  </si>
  <si>
    <t>Winter supplementation, complete cycle 2, beef</t>
  </si>
  <si>
    <t>3 - Public Sector/ Multilateral Agency</t>
  </si>
  <si>
    <t>Summer supplementation, complete cycle 2, beef</t>
  </si>
  <si>
    <t>http://www.fao.org/in-action/enteric-methane/participating-countries/west-africa/en/</t>
  </si>
  <si>
    <t>Benin, Burkina Faso, Mali, Niger, and Senegal</t>
  </si>
  <si>
    <t>Conserved fodder, pastoral</t>
  </si>
  <si>
    <t>Total mixed ration, pastoral</t>
  </si>
  <si>
    <t>Forage tree cultivation, pastoral</t>
  </si>
  <si>
    <t>Silage produciton, pastoral</t>
  </si>
  <si>
    <t>Cowpea hay, pastoral</t>
  </si>
  <si>
    <t>Supplementation with urea and treated straw, pastoral</t>
  </si>
  <si>
    <t>Costs reflect the cost to produce or purchase feed. Important conversions: 0.453 kg in a pound.    |.    0.032 kg of protein in 1 kg of milk. We also assume an average cow will produce 31.52 kg of milk per day. The benefit-cost ratio (BCR) is the ratio of the present value of the benefits to the present value of the costs. Costs were calculated as production costs (baseline scenario) plus costs involving the implementation of the mitigation strategy while benefits were calculated as total revenue from meat output within a year. It was assumed that meat output was on carcass weight basis. It was assumed that Bone Free Meat/Carcass Weight = 0.75; kg protein/kg meat = 0.2113</t>
  </si>
  <si>
    <t>CONVENTIONAL FIXED Operating Cost per Implementation Unit</t>
  </si>
  <si>
    <t>SOLUTION Revenue from Increased Milk Yield</t>
  </si>
  <si>
    <t>Santos et al. 2010. Effects of an addition of an essential oil complex to the diet of lactating dairy cows on whole tract digestion of nutrients and productive performance</t>
  </si>
  <si>
    <t>https://www.sciencedirect.com/science/article/pii/S0377840110000453?via=ihub</t>
  </si>
  <si>
    <t>California</t>
  </si>
  <si>
    <t>kg milk/cow/year</t>
  </si>
  <si>
    <t>Agolin Ruminant oil compound provided as 0.5g/cow/meal</t>
  </si>
  <si>
    <t>Y</t>
  </si>
  <si>
    <t>Hart et atl. 2019. An Essential Oil Blend Decreases Methane Emissions and Increases Milk Yield in Dairy Cows</t>
  </si>
  <si>
    <t>https://www.scirp.org/pdf/OJAS_2019050814514977.pdf</t>
  </si>
  <si>
    <t>United Kingdom</t>
  </si>
  <si>
    <t>Agolin Ruminant oil compound provided as 1g/cow/day</t>
  </si>
  <si>
    <t>Klop et al. 2016. Changes in in vitro gas and methane production from rumen fluid from dairy cows during adaptation to feed addditives</t>
  </si>
  <si>
    <t>https://reader.elsevier.com/reader/sd/pii/S1751731116002019?token=238F323F6C359CA72AA9E26A99B5BBD531929A0B6D7D371A30086790951F22D542D08A43DE375FAC796118F877599652</t>
  </si>
  <si>
    <t>Netherlands</t>
  </si>
  <si>
    <t>Elcoso et al. Effects of a blend of essential oils on milk yield and feed efficiency of lactating dairy cows</t>
  </si>
  <si>
    <t>https://reader.elsevier.com/reader/sd/pii/S2590286519300527?token=CD5E937A2DEA86B131A1EA124418D82B54D96B61F3008A41E8975B05AC30F6AF59CF56921EF518CDEB37E8F634FE6219</t>
  </si>
  <si>
    <t>Spain</t>
  </si>
  <si>
    <t>Guasch et al. 2016. Effects of a blend of essential oils on milk yield and feed efficiency of lactating cows</t>
  </si>
  <si>
    <t>https://academic.oup.com/jas/article-abstract/94/suppl_5/718/4767340?redirectedFrom=fulltext</t>
  </si>
  <si>
    <t>Agolin Ruminant oil compound provided as 1.66g/cow/day</t>
  </si>
  <si>
    <t>Castro-Montoya et al. 2015. In vivo and in vitro effects of a blend of essential oils on rumen methane mitigation</t>
  </si>
  <si>
    <t>https://reader.elsevier.com/reader/sd/pii/S1871141315003820?token=B97C39FFB536EE6CE0370707D308CDC1F7DD83BFD8FDC4ABE35202B21E582B157FA8476830B7D2856D8969B243683F77</t>
  </si>
  <si>
    <t>Switzerland</t>
  </si>
  <si>
    <t>Agolin Ruminant oil compound provided as 0.2 g per day. 2 weeks of use</t>
  </si>
  <si>
    <t>Veltman et al. 2018, A quantitative assessment of Beneficial Management Practices to reduce carbon and reactive nitrogen footprints and phosphorus losses on dairy farms in the US Great Lakes region</t>
  </si>
  <si>
    <t>https://www.sciencedirect.com/science/article/pii/S0308521X17308156?via%3Dihub</t>
  </si>
  <si>
    <t>New York</t>
  </si>
  <si>
    <t>50% forage rations, large 1500 cow farm</t>
  </si>
  <si>
    <t>High feed efficiency, large 1500 cow farm</t>
  </si>
  <si>
    <t>Reduced protein, large 1500 cow farm</t>
  </si>
  <si>
    <t>High NDF digestibility, large 1500 cow farm</t>
  </si>
  <si>
    <t>High fat, large 1500 cow farm</t>
  </si>
  <si>
    <t>All feed mitigation, large 1500 cow farm</t>
  </si>
  <si>
    <t>Wisconsin</t>
  </si>
  <si>
    <t>50% forage rations, small 1500 cow farm</t>
  </si>
  <si>
    <t>High feed efficiency, small 1500 cow farm</t>
  </si>
  <si>
    <t>Reduced protein, small 1500 cow farm</t>
  </si>
  <si>
    <t>High NDF digestibility, small 1500 cow farm</t>
  </si>
  <si>
    <t>High fat, small 1500 cow farm</t>
  </si>
  <si>
    <t>All feed mitigation, small 1500 cow farm</t>
  </si>
  <si>
    <t>All values are savings. (Assume net earnings per cow to be $102 each year, determined by a farmgate price of $24.48 per 100 kg milk where each cow is averaging 416.9 kg milk.)</t>
  </si>
  <si>
    <t>EMISSIONS REDUCTION VARIABLES</t>
  </si>
  <si>
    <t>Electricty Consumed per Functional Unit - CONVENTIONAL</t>
  </si>
  <si>
    <t>Energy Efficiency Factor - SOLUTION</t>
  </si>
  <si>
    <t>%</t>
  </si>
  <si>
    <t>Total Energy Used per functional unit - SOLUTION</t>
  </si>
  <si>
    <t>Fuel Consumed per Functional Unit - CONVENTIONAL</t>
  </si>
  <si>
    <t>Fuel Efficiency Factor - SOLUTION</t>
  </si>
  <si>
    <t>Direct Emissions per CONVENTIONAL Functional Unit</t>
  </si>
  <si>
    <t>http://www.fao.org/gleam/results/en/#c303615</t>
  </si>
  <si>
    <t>Global</t>
  </si>
  <si>
    <t>kg CH4-CO2-eq</t>
  </si>
  <si>
    <t>All cattle systems (grassland, mixed, and feedlots) aggregated, all proteins (meat and milk) aggregated</t>
  </si>
  <si>
    <t>http://www.fao.org/gleam/results/en/#c303616</t>
  </si>
  <si>
    <t>East Asia and Southeast Asia</t>
  </si>
  <si>
    <t>http://www.fao.org/gleam/results/en/#c303617</t>
  </si>
  <si>
    <t>http://www.fao.org/gleam/results/en/#c303618</t>
  </si>
  <si>
    <t>Latin America and the Caribbean</t>
  </si>
  <si>
    <t>http://www.fao.org/gleam/results/en/#c303619</t>
  </si>
  <si>
    <t>Near East and North Africa</t>
  </si>
  <si>
    <t>http://www.fao.org/gleam/results/en/#c303620</t>
  </si>
  <si>
    <t>http://www.fao.org/gleam/results/en/#c303621</t>
  </si>
  <si>
    <t>http://www.fao.org/gleam/results/en/#c303622</t>
  </si>
  <si>
    <t>Russian Federation</t>
  </si>
  <si>
    <t>http://www.fao.org/gleam/results/en/#c303623</t>
  </si>
  <si>
    <t>South Asia</t>
  </si>
  <si>
    <t>http://www.fao.org/gleam/results/en/#c303624</t>
  </si>
  <si>
    <t>Sub-Saharan Africa</t>
  </si>
  <si>
    <t>http://www.fao.org/gleam/results/en/#c303625</t>
  </si>
  <si>
    <t>Cattle feedlot systems, (meat and milk) aggregated</t>
  </si>
  <si>
    <t>Cattle grassland systems, (meat and milk) aggregated</t>
  </si>
  <si>
    <t>http://www.fao.org/gleam/results/en/#c303626</t>
  </si>
  <si>
    <t>Cattle mixed systems, (meat and milk) aggregated</t>
  </si>
  <si>
    <t>http://www.fao.org/gleam/results/en/#c303627</t>
  </si>
  <si>
    <t>http://www.fao.org/gleam/results/en/#c303628</t>
  </si>
  <si>
    <t>http://www.fao.org/gleam/results/en/#c303629</t>
  </si>
  <si>
    <t>http://www.fao.org/gleam/results/en/#c303630</t>
  </si>
  <si>
    <t>http://www.fao.org/gleam/results/en/#c303631</t>
  </si>
  <si>
    <t>http://www.fao.org/gleam/results/en/#c303632</t>
  </si>
  <si>
    <t>http://www.fao.org/gleam/results/en/#c303633</t>
  </si>
  <si>
    <t>http://www.fao.org/gleam/results/en/#c303634</t>
  </si>
  <si>
    <t>http://www.fao.org/gleam/results/en/#c303635</t>
  </si>
  <si>
    <t>http://www.fao.org/gleam/results/en/#c303636</t>
  </si>
  <si>
    <t>http://www.fao.org/gleam/results/en/#c303637</t>
  </si>
  <si>
    <t>All cattle systems (grassland, mixed, and feedlots) aggregated, meat</t>
  </si>
  <si>
    <t>http://www.fao.org/gleam/results/en/#c303638</t>
  </si>
  <si>
    <t>http://www.fao.org/gleam/results/en/#c303639</t>
  </si>
  <si>
    <t>http://www.fao.org/gleam/results/en/#c303640</t>
  </si>
  <si>
    <t>http://www.fao.org/gleam/results/en/#c303641</t>
  </si>
  <si>
    <t>http://www.fao.org/gleam/results/en/#c303642</t>
  </si>
  <si>
    <t>http://www.fao.org/gleam/results/en/#c303643</t>
  </si>
  <si>
    <t>http://www.fao.org/gleam/results/en/#c303644</t>
  </si>
  <si>
    <t>http://www.fao.org/gleam/results/en/#c303645</t>
  </si>
  <si>
    <t>http://www.fao.org/gleam/results/en/#c303646</t>
  </si>
  <si>
    <t>http://www.fao.org/gleam/results/en/#c303647</t>
  </si>
  <si>
    <t>http://www.fao.org/gleam/results/en/#c303648</t>
  </si>
  <si>
    <t>Cattle feedlot systems (meat)</t>
  </si>
  <si>
    <t>http://www.fao.org/gleam/results/en/#c303649</t>
  </si>
  <si>
    <t>http://www.fao.org/gleam/results/en/#c303650</t>
  </si>
  <si>
    <t>http://www.fao.org/gleam/results/en/#c303651</t>
  </si>
  <si>
    <t>http://www.fao.org/gleam/results/en/#c303652</t>
  </si>
  <si>
    <t>http://www.fao.org/gleam/results/en/#c303653</t>
  </si>
  <si>
    <t>http://www.fao.org/gleam/results/en/#c303654</t>
  </si>
  <si>
    <t>http://www.fao.org/gleam/results/en/#c303655</t>
  </si>
  <si>
    <t>http://www.fao.org/gleam/results/en/#c303656</t>
  </si>
  <si>
    <t>http://www.fao.org/gleam/results/en/#c303657</t>
  </si>
  <si>
    <t>http://www.fao.org/gleam/results/en/#c303658</t>
  </si>
  <si>
    <t>http://www.fao.org/gleam/results/en/#c303659</t>
  </si>
  <si>
    <t>Cattle grassland systems (meat)</t>
  </si>
  <si>
    <t>http://www.fao.org/gleam/results/en/#c303660</t>
  </si>
  <si>
    <t>http://www.fao.org/gleam/results/en/#c303661</t>
  </si>
  <si>
    <t>http://www.fao.org/gleam/results/en/#c303662</t>
  </si>
  <si>
    <t>http://www.fao.org/gleam/results/en/#c303663</t>
  </si>
  <si>
    <t>http://www.fao.org/gleam/results/en/#c303664</t>
  </si>
  <si>
    <t>http://www.fao.org/gleam/results/en/#c303665</t>
  </si>
  <si>
    <t>http://www.fao.org/gleam/results/en/#c303666</t>
  </si>
  <si>
    <t>http://www.fao.org/gleam/results/en/#c303667</t>
  </si>
  <si>
    <t>http://www.fao.org/gleam/results/en/#c303668</t>
  </si>
  <si>
    <t>http://www.fao.org/gleam/results/en/#c303669</t>
  </si>
  <si>
    <t>http://www.fao.org/gleam/results/en/#c303670</t>
  </si>
  <si>
    <t>Cattle mixed systems (meat)</t>
  </si>
  <si>
    <t>http://www.fao.org/gleam/results/en/#c303671</t>
  </si>
  <si>
    <t>http://www.fao.org/gleam/results/en/#c303672</t>
  </si>
  <si>
    <t>http://www.fao.org/gleam/results/en/#c303673</t>
  </si>
  <si>
    <t>http://www.fao.org/gleam/results/en/#c303674</t>
  </si>
  <si>
    <t>http://www.fao.org/gleam/results/en/#c303675</t>
  </si>
  <si>
    <t>http://www.fao.org/gleam/results/en/#c303676</t>
  </si>
  <si>
    <t>http://www.fao.org/gleam/results/en/#c303677</t>
  </si>
  <si>
    <t>http://www.fao.org/gleam/results/en/#c303678</t>
  </si>
  <si>
    <t>http://www.fao.org/gleam/results/en/#c303679</t>
  </si>
  <si>
    <t>http://www.fao.org/gleam/results/en/#c303680</t>
  </si>
  <si>
    <t>http://www.fao.org/gleam/results/en/#c303681</t>
  </si>
  <si>
    <t>All cattle systems (grassland, mixed, and feedlots) aggregated, milk</t>
  </si>
  <si>
    <t>http://www.fao.org/gleam/results/en/#c303682</t>
  </si>
  <si>
    <t>http://www.fao.org/gleam/results/en/#c303683</t>
  </si>
  <si>
    <t>http://www.fao.org/gleam/results/en/#c303684</t>
  </si>
  <si>
    <t>http://www.fao.org/gleam/results/en/#c303685</t>
  </si>
  <si>
    <t>http://www.fao.org/gleam/results/en/#c303686</t>
  </si>
  <si>
    <t>http://www.fao.org/gleam/results/en/#c303687</t>
  </si>
  <si>
    <t>http://www.fao.org/gleam/results/en/#c303688</t>
  </si>
  <si>
    <t>http://www.fao.org/gleam/results/en/#c303689</t>
  </si>
  <si>
    <t>http://www.fao.org/gleam/results/en/#c303690</t>
  </si>
  <si>
    <t>http://www.fao.org/gleam/results/en/#c303691</t>
  </si>
  <si>
    <t>http://www.fao.org/gleam/results/en/#c303692</t>
  </si>
  <si>
    <t>Cattle grassland systems (milk)</t>
  </si>
  <si>
    <t>http://www.fao.org/gleam/results/en/#c303693</t>
  </si>
  <si>
    <t>http://www.fao.org/gleam/results/en/#c303694</t>
  </si>
  <si>
    <t>http://www.fao.org/gleam/results/en/#c303695</t>
  </si>
  <si>
    <t>http://www.fao.org/gleam/results/en/#c303696</t>
  </si>
  <si>
    <t>http://www.fao.org/gleam/results/en/#c303697</t>
  </si>
  <si>
    <t>http://www.fao.org/gleam/results/en/#c303698</t>
  </si>
  <si>
    <t>http://www.fao.org/gleam/results/en/#c303699</t>
  </si>
  <si>
    <t>http://www.fao.org/gleam/results/en/#c303700</t>
  </si>
  <si>
    <t>http://www.fao.org/gleam/results/en/#c303701</t>
  </si>
  <si>
    <t>http://www.fao.org/gleam/results/en/#c303702</t>
  </si>
  <si>
    <t>http://www.fao.org/gleam/results/en/#c303703</t>
  </si>
  <si>
    <t>Cattle mixed systems (milk)</t>
  </si>
  <si>
    <t>http://www.fao.org/gleam/results/en/#c303704</t>
  </si>
  <si>
    <t>http://www.fao.org/gleam/results/en/#c303705</t>
  </si>
  <si>
    <t>http://www.fao.org/gleam/results/en/#c303706</t>
  </si>
  <si>
    <t>http://www.fao.org/gleam/results/en/#c303707</t>
  </si>
  <si>
    <t>http://www.fao.org/gleam/results/en/#c303708</t>
  </si>
  <si>
    <t>http://www.fao.org/gleam/results/en/#c303709</t>
  </si>
  <si>
    <t>http://www.fao.org/gleam/results/en/#c303710</t>
  </si>
  <si>
    <t>http://www.fao.org/gleam/results/en/#c303711</t>
  </si>
  <si>
    <t>http://www.fao.org/gleam/results/en/#c303712</t>
  </si>
  <si>
    <t>http://www.fao.org/gleam/results/en/#c303713</t>
  </si>
  <si>
    <t>FAO. 2017. Reducing Enteric Methane for improving food security and livelihoods</t>
  </si>
  <si>
    <t>kg CO2eq/ kg of Fat Protein Corrected Milk</t>
  </si>
  <si>
    <t xml:space="preserve"> Subsistence ,  60% emissions from CH4 enteric methane</t>
  </si>
  <si>
    <t xml:space="preserve"> Commerical ,   60% emissions from CH4 enteric methane</t>
  </si>
  <si>
    <t xml:space="preserve"> Subsistence ,   60% emissions from CH4 enteric methane</t>
  </si>
  <si>
    <t xml:space="preserve"> Commerical ,  60% emissions from CH4 enteric methane</t>
  </si>
  <si>
    <t xml:space="preserve"> Coconut Triangle Region ,  88% emissions from CH4 enteric methane</t>
  </si>
  <si>
    <t xml:space="preserve"> Wet Lowland Region , 88% emissions from CH4 enteric methane</t>
  </si>
  <si>
    <t xml:space="preserve"> Dry Lowland Region , 88% emissions from CH4 enteric methane</t>
  </si>
  <si>
    <t xml:space="preserve"> Intensive ,   88% emissions from CH4 enteric methane</t>
  </si>
  <si>
    <t xml:space="preserve"> Semi-Intensive ,   88% emissions from CH4 enteric methane</t>
  </si>
  <si>
    <t>Intensive , 88% emissions from CH4 enteric methane</t>
  </si>
  <si>
    <t>Semi-Intensive , 88% emissions from CH4 enteric methane</t>
  </si>
  <si>
    <t xml:space="preserve"> Extensive ,   88% emissions from CH4 enteric methane</t>
  </si>
  <si>
    <t xml:space="preserve"> Rural Mixed Crop-Livestock ,   87% emissions from CH4 enteric methane</t>
  </si>
  <si>
    <t xml:space="preserve"> Pastoral and Agro-Pastoral ,  87% emissions from CH4 enteric methane</t>
  </si>
  <si>
    <t xml:space="preserve"> Rural Mixed Crop-Livestock ,  87% emissions from CH4 enteric methane</t>
  </si>
  <si>
    <t xml:space="preserve"> Small-scale Commerical Dairy ,  87% emissions from CH4 enteric methane</t>
  </si>
  <si>
    <t xml:space="preserve"> Medium-scale Commercial Dairy ,  87% emissions from CH4 enteric methane</t>
  </si>
  <si>
    <t xml:space="preserve"> Traditional Dairy system (natural pastures) ,  91% emissions from CH4 enteric methane</t>
  </si>
  <si>
    <t>Intensive Fodder Gardens , 91 % emissions from CH4 enteric methane</t>
  </si>
  <si>
    <t xml:space="preserve"> Traditional Dairy system (natural pastures) ,  91 % emissions from CH4 enteric methane</t>
  </si>
  <si>
    <t xml:space="preserve"> Improved Dairy system ,  79% emissions from CH4 enteric methane</t>
  </si>
  <si>
    <t xml:space="preserve"> Small-scale Intensive ,  79% emissions from CH4 enteric methane</t>
  </si>
  <si>
    <t xml:space="preserve"> Medium-scale Intensive ,  79% emissions from CH4 enteric methane</t>
  </si>
  <si>
    <t xml:space="preserve"> Small-scale Extensive ,  79% emissions from CH4 enteric methane</t>
  </si>
  <si>
    <t xml:space="preserve"> Medium-scale Extensive ,  79% emissions from CH4 enteric methane</t>
  </si>
  <si>
    <t xml:space="preserve"> Agro-Pastoral ,  79% emissions from CH4 enteric methane</t>
  </si>
  <si>
    <t>http://www.fao.org/in-action/enteric-methane/participating-countries/west-africa/benin/en/</t>
  </si>
  <si>
    <t>Benin</t>
  </si>
  <si>
    <t xml:space="preserve"> Agro-Pastoral ,  93% emissions from CH4 enteric methane</t>
  </si>
  <si>
    <t xml:space="preserve"> Pastoral ,  93% emissions from CH4 enteric methane</t>
  </si>
  <si>
    <t>http://www.fao.org/in-action/enteric-methane/participating-countries/en/</t>
  </si>
  <si>
    <t>Burkina Faso</t>
  </si>
  <si>
    <t>http://www.fao.org/in-action/enteric-methane/participating-countries/west-africa/mali/en/</t>
  </si>
  <si>
    <t>Mali</t>
  </si>
  <si>
    <t>http://www.fao.org/in-action/enteric-methane/participating-countries/west-africa/niger/en/</t>
  </si>
  <si>
    <t>Niger</t>
  </si>
  <si>
    <t>http://www.fao.org/in-action/enteric-methane/participating-countries/west-africa/senegal/en/</t>
  </si>
  <si>
    <t>Senegal</t>
  </si>
  <si>
    <t>kg CO2eq/ kg of Live Weight</t>
  </si>
  <si>
    <t xml:space="preserve"> Temperate Climate ,  62% emissions from CH4 enteric methane</t>
  </si>
  <si>
    <t xml:space="preserve"> Arid &amp; Semi-Arid Climate ,  62% emissions from CH4 enteric methane</t>
  </si>
  <si>
    <t xml:space="preserve"> Sub-Tropical Climate ,  62% emissions from CH4 enteric methane</t>
  </si>
  <si>
    <t>Uruguay</t>
  </si>
  <si>
    <t xml:space="preserve"> Complete Cycle 1 ,  62% emissions from CH4 enteric methane</t>
  </si>
  <si>
    <t xml:space="preserve"> Complete Cycle 2 ,  62% emissions from CH4 enteric methane</t>
  </si>
  <si>
    <t xml:space="preserve"> Cow-calf ,  62% emissions from CH4 enteric methane</t>
  </si>
  <si>
    <t xml:space="preserve">Enteric CH4 Fermentaion emissions are considered direct emissions |.  Convert kg to tonnes by a factor of 0.001, Weight raw data based on total protein allocated to specific animal product and region. Weights are drawn from the "GHGsources" tab.  </t>
  </si>
  <si>
    <t>low correction turned on because values fall below zero.</t>
  </si>
  <si>
    <t>Direct Emissions per SOLUTION Functional Unit</t>
  </si>
  <si>
    <t>Fodder Cultivation , Subsistence, 60% emissions from CH4 enteric methane</t>
  </si>
  <si>
    <t>Fodder Cultivation , Commerical,  60% emissions from CH4 enteric methane</t>
  </si>
  <si>
    <t>Balanced Feed Ration , Subsistence,  60% emissions from CH4 enteric methane</t>
  </si>
  <si>
    <t>Balanced Feed Ration , Commerical, 60% emissions from CH4 enteric methane</t>
  </si>
  <si>
    <t>Supplement with fodder trees and low cost concentrate , Coconut Triangle Region, 88% emissions from CH4 enteric methane</t>
  </si>
  <si>
    <t>Supplement with fodder trees and low cost concentrate , Wet Lowland Region,, 88% emissions from CH4 enteric methane</t>
  </si>
  <si>
    <t>Supplement with fodder trees and low cost concentrate , Dry Lowland Region,, 88% emissions from CH4 enteric methane</t>
  </si>
  <si>
    <t>Forage legumes and fodder trees , Intensive,  88% emissions from CH4 enteric methane</t>
  </si>
  <si>
    <t>Forage legumes and fodder trees , Semi-Intensive,  88% emissions from CH4 enteric methane</t>
  </si>
  <si>
    <t>Supplement with sweet potato vines, sorgum silage, dairy meal , Intensive,  88% emissions from CH4 enteric methane</t>
  </si>
  <si>
    <t>Supplement with sweet potato vines, sorgum silage, dairy meal , Semi-Intensive,  88% emissions from CH4 enteric methane</t>
  </si>
  <si>
    <t>Supplement high protein and energy concentrates , Extensive,  88% emissions from CH4 enteric methane</t>
  </si>
  <si>
    <t>Supplement high protein and energy concentrates , Semi-Intensive,  88% emissions from CH4 enteric methane</t>
  </si>
  <si>
    <t>Supplement high protein and energy concentrates , Intensive,  88% emissions from CH4 enteric methane</t>
  </si>
  <si>
    <t>Supplementation with leguminous shrubs , Rural Mixed Crop-Livestock,  87% emissions from CH4 enteric methane</t>
  </si>
  <si>
    <t>Supplementation with leguminous shrubs , Pastoral and Agro-Pastoral, 87% emissions from CH4 enteric methane</t>
  </si>
  <si>
    <t>Suplementation with urea treated straw and rice bran , Rural Mixed Crop-Livestock, 87% emissions from CH4 enteric methane</t>
  </si>
  <si>
    <t>Suplementation with urea treated straw and rice bran , Small-scale Commerical Dairy, 87% emissions from CH4 enteric methane</t>
  </si>
  <si>
    <t>Suplementation with urea treated straw and rice bran , Medium-scale Commercial Dairy, 87% emissions from CH4 enteric methane</t>
  </si>
  <si>
    <t>Intensive Fodder Gardens , Traditional Dairy system (natural pastures), 91% emissions from CH4 enteric methane</t>
  </si>
  <si>
    <t>Intensive Fodder Gardens , Improved Breeding, , 91% emissions from CH4 enteric methane</t>
  </si>
  <si>
    <t>Legume Grass Intercropping , Traditional Dairy system (natural pastures), , 91% emissions from CH4 enteric methane</t>
  </si>
  <si>
    <t>Legume Grass Intercropping , Improved Dairy system, 79% emissions from CH4 enteric methane</t>
  </si>
  <si>
    <t>Legume Grass Intercropping , Small-scale Intensive, 79% emissions from CH4 enteric methane</t>
  </si>
  <si>
    <t>Legume Grass Intercropping , Medium-scale Intensive, 79% emissions from CH4 enteric methane</t>
  </si>
  <si>
    <t>Legume Grass Intercropping , Small-scale Extensive, 79% emissions from CH4 enteric methane</t>
  </si>
  <si>
    <t>Improved Tolerant Forages , Small-scale Extensive, 79% emissions from CH4 enteric methane</t>
  </si>
  <si>
    <t>Legume Grass Intercropping , Medium-scale Extensive, 79% emissions from CH4 enteric methane</t>
  </si>
  <si>
    <t>Improved Tolerant Forages , Medium-scale Extensive, 79% emissions from CH4 enteric methane</t>
  </si>
  <si>
    <t>Conservation of Fodder , Medium-scale Extensive, 79% emissions from CH4 enteric methane</t>
  </si>
  <si>
    <t>Improved Tolerant Forages , Agro-Pastoral, 79% emissions from CH4 enteric methane</t>
  </si>
  <si>
    <t>Conservation of Fodder , Agro-Pastoral, 79% emissions from CH4 enteric methane</t>
  </si>
  <si>
    <t>Use of Conserved Fodder , Agro-Pastoral, 93% emissions from CH4 enteric methane</t>
  </si>
  <si>
    <t>Use of Conserved Fodder , Pastoral, 93% emissions from CH4 enteric methane</t>
  </si>
  <si>
    <t>Use of Total Mixed Ration , Agro-Pastoral, 93% emissions from CH4 enteric methane</t>
  </si>
  <si>
    <t>Use of Total Mixed Ration , Pastoral, 93% emissions from CH4 enteric methane</t>
  </si>
  <si>
    <t>Suplementation with urea treated straw and rice bran , Agro-Pastoral, 93% emissions from CH4 enteric methane</t>
  </si>
  <si>
    <t>Use of deferred forage (50% sorghum silage +50% oats) , Temperate Climate, 62% emissions from CH4 enteric methane</t>
  </si>
  <si>
    <t>Use of deferred forage (50% sorghum silage +50% oats) , Arid &amp; Semi-Arid Climate, 62% emissions from CH4 enteric methane</t>
  </si>
  <si>
    <t>Use of deferred forage (50% sorghum silage +50% oats) , Sub-Tropical Climate, 62% emissions from CH4 enteric methane</t>
  </si>
  <si>
    <t>Use of Conserved Fodder (silage+cottonseed) , Temperate Climate, 62% emissions from CH4 enteric methane</t>
  </si>
  <si>
    <t>Use of Conserved Fodder (silage+cottonseed) , Arid &amp; Semi-Arid Climate, 62% emissions from CH4 enteric methane</t>
  </si>
  <si>
    <t>Use of Conserved Fodder (silage+cottonseed) , Sub-Tropical Climate, 62% emissions from CH4 enteric methane</t>
  </si>
  <si>
    <t>Use of Conserved Fodder (shay+cottonseed+maize) , Temperate Climate, 62% emissions from CH4 enteric methane</t>
  </si>
  <si>
    <t>Use of Conserved Fodder (shay+cottonseed+maize) , Arid &amp; Semi-Arid Climate, 62% emissions from CH4 enteric methane</t>
  </si>
  <si>
    <t>Use of Conserved Fodder (shay+cottonseed+maize) , Sub-Tropical Climate, 62% emissions from CH4 enteric methane</t>
  </si>
  <si>
    <t>Strategic supplementation of steers , Temperate Climate, 62% emissions from CH4 enteric methane</t>
  </si>
  <si>
    <t>Strategic supplementation of steers , Arid &amp; Semi-Arid Climate, 62% emissions from CH4 enteric methane</t>
  </si>
  <si>
    <t>Strategic supplementation of steers , Sub-Tropical Climate, 62% emissions from CH4 enteric methane</t>
  </si>
  <si>
    <t>Strategic supplementation of breeding cows , Temperate Climate, 62% emissions from CH4 enteric methane</t>
  </si>
  <si>
    <t>Strategic supplementation of breeding cows , Arid &amp; Semi-Arid Climate, 62% emissions from CH4 enteric methane</t>
  </si>
  <si>
    <t>Strategic supplementation of breeding cows , Sub-Tropical Climate, 62% emissions from CH4 enteric methane</t>
  </si>
  <si>
    <t>Sowing grass legumes and fodder , Complete Cycle 1, 62% emissions from CH4 enteric methane</t>
  </si>
  <si>
    <t>Sowing grass legumes and fodder , Complete Cycle 2, 62% emissions from CH4 enteric methane</t>
  </si>
  <si>
    <t>Winter supplementation , Cow-calf, 62% emissions from CH4 enteric methane</t>
  </si>
  <si>
    <t>Winter supplementation , Complete Cycle 1, 62% emissions from CH4 enteric methane</t>
  </si>
  <si>
    <t>Winter supplementation , Complete Cycle 2, 62% emissions from CH4 enteric methane</t>
  </si>
  <si>
    <t>Summer supplementation , Cow-calf, 62% emissions from CH4 enteric methane</t>
  </si>
  <si>
    <t>Summer supplementation , Complete Cycle 1, 62% emissions from CH4 enteric methane</t>
  </si>
  <si>
    <t>Summer supplementation , Complete Cycle 2, 62% emissions from CH4 enteric methane</t>
  </si>
  <si>
    <t>Interseeding natural pastures with grass legumes , Complete Cycle 1, 62% emissions from CH4 enteric methane</t>
  </si>
  <si>
    <t>Interseeding natural pastures with grass legumes , Complete Cycle 2, 62% emissions from CH4 enteric methane</t>
  </si>
  <si>
    <t>Forage Allowance , Cow-calf, 62% emissions from CH4 enteric methane</t>
  </si>
  <si>
    <t>Forage Allowance , Complete Cycle 1, 62% emissions from CH4 enteric methane</t>
  </si>
  <si>
    <t>Forage Allowance , Complete Cycle 2, 62% emissions from CH4 enteric methane</t>
  </si>
  <si>
    <t>Dyer. 2010. The Protein-based GHG Emission Intensity for Livestock Products in Canada</t>
  </si>
  <si>
    <t>https://www.tandfonline.com/doi/abs/10.1080/10440046.2010.493376</t>
  </si>
  <si>
    <t>Canada</t>
  </si>
  <si>
    <t>kg CO2-eq/ kg protein</t>
  </si>
  <si>
    <t>Beef East Canada , 50% emissions from CH4 enteric methane</t>
  </si>
  <si>
    <t>https://www.tandfonline.com/doi/abs/10.1080/10440046.2010.493377</t>
  </si>
  <si>
    <t>Beef West Canada , 50% emissions from CH4 enteric methane</t>
  </si>
  <si>
    <t>https://www.tandfonline.com/doi/abs/10.1080/10440046.2010.493378</t>
  </si>
  <si>
    <t>Beef All of Canada , 50% emissions from CH4 enteric methane</t>
  </si>
  <si>
    <t>https://www.tandfonline.com/doi/abs/10.1080/10440046.2010.493379</t>
  </si>
  <si>
    <t>Milk East Canada , 50% emissions from CH4 enteric methane</t>
  </si>
  <si>
    <t>https://www.tandfonline.com/doi/abs/10.1080/10440046.2010.493380</t>
  </si>
  <si>
    <t>Milk West Canada , 50% emissions from CH4 enteric methane</t>
  </si>
  <si>
    <t>https://www.tandfonline.com/doi/abs/10.1080/10440046.2010.493381</t>
  </si>
  <si>
    <t>Milk All of Canada , 50% emissions from CH4 enteric methane</t>
  </si>
  <si>
    <t>Pelletier and Tyedmers. 2010. Forecasting potential globbal environmental costs of livestock production 2000-2050</t>
  </si>
  <si>
    <t>https://www.pnas.org/content/pnas/suppl/2010/09/28/1004659107.DCSupplemental/pnas.1004659107_SI.pdf</t>
  </si>
  <si>
    <t>Ireland</t>
  </si>
  <si>
    <t>kg CO2-eq/ kg live weight</t>
  </si>
  <si>
    <t>Beef - industrialized, comventional system , 50% emissions from CH4 enteric methane</t>
  </si>
  <si>
    <t>Pelletier and Tyedmers. 2010. Forecasting potential globbal environmental costs of livestock production 2000-2051</t>
  </si>
  <si>
    <t>Sweden</t>
  </si>
  <si>
    <t>kg CO2-eq/ kg ready to eat</t>
  </si>
  <si>
    <t>Beef - industrialized , 50% emissions from CH4 enteric methane</t>
  </si>
  <si>
    <t>Pelletier and Tyedmers. 2010. Forecasting potential globbal environmental costs of livestock production 2000-2052</t>
  </si>
  <si>
    <t>France</t>
  </si>
  <si>
    <t>Pelletier and Tyedmers. 2010. Forecasting potential globbal environmental costs of livestock production 2000-2053</t>
  </si>
  <si>
    <t>Pelletier and Tyedmers. 2010. Forecasting potential globbal environmental costs of livestock production 2000-2054</t>
  </si>
  <si>
    <t>United States</t>
  </si>
  <si>
    <t>Pelletier and Tyedmers. 2010. Forecasting potential globbal environmental costs of livestock production 2000-2055</t>
  </si>
  <si>
    <t>Pelletier and Tyedmers. 2010. Forecasting potential globbal environmental costs of livestock production 2000-2056</t>
  </si>
  <si>
    <t>Pelletier and Tyedmers. 2010. Forecasting potential globbal environmental costs of livestock production 2000-2057</t>
  </si>
  <si>
    <t>kg CO2-eq/ kg carcass weight</t>
  </si>
  <si>
    <t>Pelletier and Tyedmers. 2010. Forecasting potential globbal environmental costs of livestock production 2000-2058</t>
  </si>
  <si>
    <t>Pelletier and Tyedmers. 2010. Forecasting potential globbal environmental costs of livestock production 2000-2059</t>
  </si>
  <si>
    <t>kg CO2-eq/ kg bone-free meat</t>
  </si>
  <si>
    <t>Pelletier and Tyedmers. 2010. Forecasting potential globbal environmental costs of livestock production 2000-2060</t>
  </si>
  <si>
    <t>Dairy Cattle -Industralized, at farm gate , 50% emissions from CH4 enteric methane</t>
  </si>
  <si>
    <t>Arsenault et al. 2009. Comparing the environomental impacts of pasture-based and confinement-based dairy systems in Novia Scotia using life cycle assesssment</t>
  </si>
  <si>
    <t>https://www.tandfonline.com/doi/pdf/10.3763/ijas.2009.0356?needAccess=true</t>
  </si>
  <si>
    <t>t CO2-eq/ t raw milk</t>
  </si>
  <si>
    <t>Dairy Cattle -Industralized , 50% emissions from CH4 enteric methane</t>
  </si>
  <si>
    <t>Cederberg and Mattsson. 2000. Life cycle assessment of milk production—A comparison of conventional and organic farming.</t>
  </si>
  <si>
    <t>https://www.sciencedirect.com/science/article/pii/S095965269900311X</t>
  </si>
  <si>
    <t>kg CO2eq/ kg of raw milk</t>
  </si>
  <si>
    <t>Organic dairy farm - concentrate feed production for grazing animal , 50% emissions from CH4 enteric methane</t>
  </si>
  <si>
    <t>Phetteplace et al. 2001. Greenhouse gas emissions from simulated beef and dairy livestock systems in the United States</t>
  </si>
  <si>
    <t>https://link.springer.com/content/pdf/10.1023/A:1012657230589.pdf</t>
  </si>
  <si>
    <t>Beef - cow-calf system , 50% emissions from CH4 enteric methane</t>
  </si>
  <si>
    <t>Beef - stocker system , 50% emissions from CH4 enteric methane</t>
  </si>
  <si>
    <t>Beef - feedlot , 50% emissions from CH4 enteric methane</t>
  </si>
  <si>
    <t>Cederberg and Stadig. 2003. System expansion and allocation in life cycle assessment of milk and beef production</t>
  </si>
  <si>
    <t>https://link.springer.com/article/10.1007/BF02978508</t>
  </si>
  <si>
    <t>Organic dairy  farm - rapeseed meal for concentrate feed , 50% emissions from CH4 enteric methane</t>
  </si>
  <si>
    <t>Casey and Holden. 2005. Analysis of greenhouse gas emissions from the Irish milk production system.</t>
  </si>
  <si>
    <t>https://www.sciencedirect.com/science/article/pii/S0308521X0400174X</t>
  </si>
  <si>
    <t>typical dairy farm - concentrate feed supplementation *barley, wheat, beetpulp, oats, soya, rapeseed , 50% emissions from CH4 enteric methane</t>
  </si>
  <si>
    <t>Verge et al. 2007. Greenhouse gas emissions from the Canadian dairy industry in 2001</t>
  </si>
  <si>
    <t>https://www.sciencedirect.com/science/article/pii/S0308521X0700039X</t>
  </si>
  <si>
    <t>Typical dairy farm - barley as main concentrate. Forage of alfalfa and grass hay. A few with silage corn , 50% emissions from CH4 enteric methane</t>
  </si>
  <si>
    <t>Thomassen et al 2008. Life cycle assessment of conventional and organic milk production in the Netherlands</t>
  </si>
  <si>
    <t>https://www.sciencedirect.com/science/article/pii/S0308521X07000819</t>
  </si>
  <si>
    <t>organic dairy farm - concentrates include palm kernel meal, wheat grain. Replacement of maize gluten meal , 50% emissions from CH4 enteric methane</t>
  </si>
  <si>
    <t>Rotz et al. 2010 The carbon footprint of dairy production systems through partial life cycle assessment</t>
  </si>
  <si>
    <t>https://www.sciencedirect.com/science/article/pii/S0022030210000949</t>
  </si>
  <si>
    <t>Dairy farm - improved genetics and feeding management to increase intake of nutrients , 50% emissions from CH4 enteric methane</t>
  </si>
  <si>
    <t>Dairy farm - maximum forage level in diets , 50% emissions from CH4 enteric methane</t>
  </si>
  <si>
    <t>Dairy farm - improved forage type, increased corn silare use , 50% emissions from CH4 enteric methane</t>
  </si>
  <si>
    <t>kg CO2eq / kg milk</t>
  </si>
  <si>
    <t>50% forage rations, large 1500 cow farm , 50% emissions from CH4 enteric methane</t>
  </si>
  <si>
    <t>High feed efficiency, large 1500 cow farm , 50% emissions from CH4 enteric methane</t>
  </si>
  <si>
    <t>Reduced protein, large 1500 cow farm , 50% emissions from CH4 enteric methane</t>
  </si>
  <si>
    <t>High NDF digestibility, large 1500 cow farm , 50% emissions from CH4 enteric methane</t>
  </si>
  <si>
    <t>High fat, large 1500 cow farm , 50% emissions from CH4 enteric methane</t>
  </si>
  <si>
    <t>All feed mitigation, large 1500 cow farm , 50% emissions from CH4 enteric methane</t>
  </si>
  <si>
    <t>50% forage rations, small 1500 cow farm , 50% emissions from CH4 enteric methane</t>
  </si>
  <si>
    <t>High feed efficiency, small 1500 cow farm , 50% emissions from CH4 enteric methane</t>
  </si>
  <si>
    <t>Reduced protein, small 1500 cow farm , 50% emissions from CH4 enteric methane</t>
  </si>
  <si>
    <t>High NDF digestibility, small 1500 cow farm , 50% emissions from CH4 enteric methane</t>
  </si>
  <si>
    <t>High fat, small 1500 cow farm , 50% emissions from CH4 enteric methane</t>
  </si>
  <si>
    <t>All feed mitigation, small 1500 cow farm , 50% emissions from CH4 enteric methane</t>
  </si>
  <si>
    <t>Enteric CH4 Fermentation emissions are considered direct emissions</t>
  </si>
  <si>
    <t>Low correction turned on because values fall below zero</t>
  </si>
  <si>
    <t>Indirect CO2 Emissions per CONVENTIONAL Implementation OR functional Unit -- CHOOSE ONLY ONE on Advanced Controls</t>
  </si>
  <si>
    <t>kg CO2-eq</t>
  </si>
  <si>
    <t>Indirect CO2 emissions related to Feed production, transport, and processing</t>
  </si>
  <si>
    <t>Indirect CO2 Emissions per SOLUTION Implementation Unit (Select on Advanced Controls)</t>
  </si>
  <si>
    <t>Fodder Cultivation , Subsistence, 17.7% emissions from CO2 feed production, transport, &amp; processing</t>
  </si>
  <si>
    <t>Fodder Cultivation , Commerical,  17.7% emissions from CO2 feed production, transport, &amp; processing</t>
  </si>
  <si>
    <t>Balanced Feed Ration , Subsistence,  17.7% emissions from CO2 feed production, transport, &amp; processing</t>
  </si>
  <si>
    <t>Balanced Feed Ration , Commerical, 17.7% emissions from CO2 feed production, transport, &amp; processing</t>
  </si>
  <si>
    <t>Supplement with fodder trees and low cost concentrate , Coconut Triangle Region, 5.2% emissions from CO2 feed production, transport, &amp; processing</t>
  </si>
  <si>
    <t>Supplement with fodder trees and low cost concentrate , Wet Lowland Region,, 5.2% emissions from CO2 feed production, transport, &amp; processing</t>
  </si>
  <si>
    <t>Supplement with fodder trees and low cost concentrate , Dry Lowland Region,, 5.2% emissions from CO2 feed production, transport, &amp; processing</t>
  </si>
  <si>
    <t>Forage legumes and fodder trees , Intensive,  0.8% emissions from CO2 feed production, transport, &amp; processing</t>
  </si>
  <si>
    <t>Forage legumes and fodder trees , Semi-Intensive,  0.8% emissions from CO2 feed production, transport, &amp; processing</t>
  </si>
  <si>
    <t>Supplement with sweet potato vines, sorgum silage, dairy meal , Intensive,  0.8% emissions from CO2 feed production, transport, &amp; processing</t>
  </si>
  <si>
    <t>Supplement with sweet potato vines, sorgum silage, dairy meal , Semi-Intensive, 0.8% emissions from CO2 feed production, transport, &amp; processing</t>
  </si>
  <si>
    <t>Supplement high protein and energy concentrates , Extensive,  0.8% emissions from CO2 feed production, transport, &amp; processing</t>
  </si>
  <si>
    <t>Supplement high protein and energy concentrates , Semi-Intensive,  0.8% emissions from CO2 feed production, transport, &amp; processing</t>
  </si>
  <si>
    <t>Supplement high protein and energy concentrates , Intensive,  0.8% emissions from CO2 feed production, transport, &amp; processing</t>
  </si>
  <si>
    <t>Supplementation with leguminous shrubs , Rural Mixed Crop-Livestock,  0.4% emissions from CO2 feed production, transport, &amp; processing</t>
  </si>
  <si>
    <t>Supplementation with leguminous shrubs , Pastoral and Agro-Pastoral, 0.4% emissions from CO2 feed production, transport, &amp; processing</t>
  </si>
  <si>
    <t>Suplementation with urea treated straw and rice bran , Rural Mixed Crop-Livestock, 0.4% emissions from CO2 feed production, transport, &amp; processing</t>
  </si>
  <si>
    <t>Suplementation with urea treated straw and rice bran , Small-scale Commerical Dairy, 0.4% emissions from CO2 feed production, transport, &amp; processing</t>
  </si>
  <si>
    <t>Suplementation with urea treated straw and rice bran , Medium-scale Commercial Dairy, 0.4% emissions from CO2 feed production, transport, &amp; processing</t>
  </si>
  <si>
    <t>Intensive Fodder Gardens , Traditional Dairy system (natural pastures), 0.3% emissions from CO2 feed production, transport, &amp; processing</t>
  </si>
  <si>
    <t>Intensive Fodder Gardens , Improved Breeding, 0.3% emissions from CO2 feed production, transport, &amp; processing</t>
  </si>
  <si>
    <t>Legume Grass Intercropping , Traditional Dairy system (natural pastures), 0.3% emissions from CO2 feed production, transport, &amp; processing</t>
  </si>
  <si>
    <t>Legume Grass Intercropping , Improved Dairy system, 0.3% emissions from CO2 feed production, transport, &amp; processing</t>
  </si>
  <si>
    <t>Legume Grass Intercropping , Small-scale Intensive, 0.1% emissions from CO2 feed production, transport, &amp; processing</t>
  </si>
  <si>
    <t>Legume Grass Intercropping , Medium-scale Intensive, 0.1% emissions from CO2 feed production, transport, &amp; processing</t>
  </si>
  <si>
    <t>Legume Grass Intercropping , Small-scale Extensive, 0.1% emissions from CO2 feed production, transport, &amp; processing</t>
  </si>
  <si>
    <t>Improved Tolerant Forages , Small-scale Extensive, 0.1% emissions from CO2 feed production, transport, &amp; processing</t>
  </si>
  <si>
    <t>Legume Grass Intercropping , Medium-scale Extensive, 0.1% emissions from CO2 feed production, transport, &amp; processing</t>
  </si>
  <si>
    <t>Improved Tolerant Forages , Medium-scale Extensive, 0.1% emissions from CO2 feed production, transport, &amp; processing</t>
  </si>
  <si>
    <t>Conservation of Fodder , Medium-scale Extensive, 0.1% emissions from CO2 feed production, transport, &amp; processing</t>
  </si>
  <si>
    <t>Improved Tolerant Forages , Agro-Pastoral, 0.1% emissions from CO2 feed production, transport, &amp; processing</t>
  </si>
  <si>
    <t>Conservation of Fodder , Agro-Pastoral, 0.1% emissions from CO2 feed production, transport, &amp; processing</t>
  </si>
  <si>
    <t>Use of Conserved Fodder , Agro-Pastoral, 0.3% emissions from CO2 feed production, transport, &amp; processing</t>
  </si>
  <si>
    <t>Use of Conserved Fodder , Pastoral, 0.3% emissions from CO2 feed production, transport, &amp; processing</t>
  </si>
  <si>
    <t>Use of Total Mixed Ration , Agro-Pastoral, 0.3% emissions from CO2 feed production, transport, &amp; processing</t>
  </si>
  <si>
    <t>Use of Total Mixed Ration , Pastoral, 0.3% emissions from CO2 feed production, transport, &amp; processing</t>
  </si>
  <si>
    <t>Suplementation with urea treated straw and rice bran , Agro-Pastoral,0.3% emissions from CO2 feed production, transport, &amp; processing</t>
  </si>
  <si>
    <t>Suplementation with urea treated straw and rice bran , Agro-Pastoral, 0.3% emissions from CO2 feed production, transport, &amp; processing</t>
  </si>
  <si>
    <t>Use of deferred forage (50% sorghum silage +50% oats) , Temperate Climate, 0.8% emissions from CO2 feed production, transport, &amp; processing</t>
  </si>
  <si>
    <t>Use of deferred forage (50% sorghum silage +50% oats) , Arid &amp; Semi-Arid Climate, 0.8% emissions from CO2 feed production, transport, &amp; processing</t>
  </si>
  <si>
    <t>Use of deferred forage (50% sorghum silage +50% oats) , Sub-Tropical Climate, 0.8% emissions from CO2 feed production, transport, &amp; processing</t>
  </si>
  <si>
    <t>Use of Conserved Fodder (silage+cottonseed) , Temperate Climate, 0.8% emissions from CO2 feed production, transport, &amp; processing</t>
  </si>
  <si>
    <t>Use of Conserved Fodder (silage+cottonseed) , Arid &amp; Semi-Arid Climate, 0.8% emissions from CO2 feed production, transport, &amp; processing</t>
  </si>
  <si>
    <t>Use of Conserved Fodder (silage+cottonseed) , Sub-Tropical Climate, 0.8% emissions from CO2 feed production, transport, &amp; processing</t>
  </si>
  <si>
    <t>Use of Conserved Fodder (shay+cottonseed+maize) , Temperate Climate, 0.8% emissions from CO2 feed production, transport, &amp; processing</t>
  </si>
  <si>
    <t>Use of Conserved Fodder (shay+cottonseed+maize) , Arid &amp; Semi-Arid Climate, 0.8% emissions from CO2 feed production, transport, &amp; processing</t>
  </si>
  <si>
    <t>Use of Conserved Fodder (shay+cottonseed+maize) , Sub-Tropical Climate, 0.8% emissions from CO2 feed production, transport, &amp; processing</t>
  </si>
  <si>
    <t>Strategic supplementation of steers , Temperate Climate, 0.8% emissions from CO2 feed production, transport, &amp; processing</t>
  </si>
  <si>
    <t>Strategic supplementation of steers , Arid &amp; Semi-Arid Climate, 0.8% emissions from CO2 feed production, transport, &amp; processing</t>
  </si>
  <si>
    <t>Strategic supplementation of steers , Sub-Tropical Climate, 0.8% emissions from CO2 feed production, transport, &amp; processing</t>
  </si>
  <si>
    <t>Strategic supplementation of breeding cows , Temperate Climate, 0.8% emissions from CO2 feed production, transport, &amp; processing</t>
  </si>
  <si>
    <t>Strategic supplementation of breeding cows , Arid &amp; Semi-Arid Climate, 0.8% emissions from CO2 feed production, transport, &amp; processing</t>
  </si>
  <si>
    <t>Strategic supplementation of breeding cows , Sub-Tropical Climate, 0.8% emissions from CO2 feed production, transport, &amp; processing</t>
  </si>
  <si>
    <t>Sowing grass legumes and fodder , Complete Cycle 1, 3.2% emissions from CO2 feed production, transport, &amp; processing</t>
  </si>
  <si>
    <t>Sowing grass legumes and fodder , Complete Cycle 2, 3.2% emissions from CO2 feed production, transport, &amp; processing</t>
  </si>
  <si>
    <t>Winter supplementation , Cow-calf, 3.2% emissions from CO2 feed production, transport, &amp; processing</t>
  </si>
  <si>
    <t>Winter supplementation , Complete Cycle 1, 3.2% emissions from CO2 feed production, transport, &amp; processing</t>
  </si>
  <si>
    <t>Winter supplementation , Complete Cycle 2, 3.2% emissions from CO2 feed production, transport, &amp; processing</t>
  </si>
  <si>
    <t>Summer supplementation , Cow-calf, 3.2% emissions from CO2 feed production, transport, &amp; processing</t>
  </si>
  <si>
    <t>Summer supplementation , Complete Cycle 1, 3.2% emissions from CO2 feed production, transport, &amp; processing</t>
  </si>
  <si>
    <t>Summer supplementation , Complete Cycle 2, 3.2% emissions from CO2 feed production, transport, &amp; processing</t>
  </si>
  <si>
    <t>Interseeding natural pastures with grass legumes , Complete Cycle 1, 3.2% emissions from CO2 feed production, transport, &amp; processing</t>
  </si>
  <si>
    <t>Interseeding natural pastures with grass legumes , Complete Cycle 2, 3.2% emissions from CO2 feed production, transport, &amp; processing</t>
  </si>
  <si>
    <t>Forage Allowance , Cow-calf, 3.2% emissions from CO2 feed production, transport, &amp; processing</t>
  </si>
  <si>
    <t>Forage Allowance , Complete Cycle 1, 3.2% emissions from CO2 feed production, transport, &amp; processing</t>
  </si>
  <si>
    <t>Forage Allowance , Complete Cycle 2, 3.2% emissions from CO2 feed production, transport, &amp; processing</t>
  </si>
  <si>
    <t>t CH4-CO2eq / kg protein</t>
  </si>
  <si>
    <t>g CH4/kg milk</t>
  </si>
  <si>
    <t xml:space="preserve">Agolin Ruminant Oil Blend. </t>
  </si>
  <si>
    <t>If literature notes a change in methane emissions from enteric fermentation, they are recorded here.  Weight raw data based on total protein allocated to specific animal product and region. Weights are drawn from the "GHGsources" tab.</t>
  </si>
  <si>
    <t>ADDITIONAL VARIABLES</t>
  </si>
  <si>
    <t>CONVENTIONAL Revenue per Functional Unit</t>
  </si>
  <si>
    <t>SOLUTION Revenue per Functional Unit</t>
  </si>
  <si>
    <t>CONVENTIONAL Milk Yield</t>
  </si>
  <si>
    <t>kg milk/day/cow</t>
  </si>
  <si>
    <t>Control diet without Agolin Ruminant oil compound</t>
  </si>
  <si>
    <t>Baseline diet for 1500 cow, NY dairy farm</t>
  </si>
  <si>
    <t>Baseline diet for 150 cow, WI dairy farm</t>
  </si>
  <si>
    <t>SOLUTION Increased Milk Yield</t>
  </si>
  <si>
    <t>VARIABLE27</t>
  </si>
  <si>
    <t>VARIABLE28</t>
  </si>
  <si>
    <t>VARIABLE29</t>
  </si>
  <si>
    <t>VARIABLE30</t>
  </si>
  <si>
    <t>VARIABLE31</t>
  </si>
  <si>
    <t>VARIABLE32</t>
  </si>
  <si>
    <t>VARIABLE33</t>
  </si>
  <si>
    <t>VARIABLE34</t>
  </si>
  <si>
    <t>VARIABLE35</t>
  </si>
  <si>
    <t>VARIABLE36</t>
  </si>
  <si>
    <t>ESTIMATE A LEARNING RATE</t>
  </si>
  <si>
    <t>Estimate a Learning Rate for A Single Technology</t>
  </si>
  <si>
    <t>Estimate:</t>
  </si>
  <si>
    <t>Learning rate = 1- efficiency rate</t>
  </si>
  <si>
    <t>Source</t>
  </si>
  <si>
    <t>Cumulative Adoption</t>
  </si>
  <si>
    <t>Unit Cost</t>
  </si>
  <si>
    <t>Parameter b</t>
  </si>
  <si>
    <t>Learning Rate R</t>
  </si>
  <si>
    <t>Estimate a Learning Rate for a Technology with Components having Different Learning Rates</t>
  </si>
  <si>
    <t>LEARNING RATE (PDS)</t>
  </si>
  <si>
    <t>Component 1</t>
  </si>
  <si>
    <t>Component 2</t>
  </si>
  <si>
    <t>Component 3</t>
  </si>
  <si>
    <t>TOTALS</t>
  </si>
  <si>
    <t>Combined Learning Rate</t>
  </si>
  <si>
    <t>Efficiency Rate</t>
  </si>
  <si>
    <t>% of system cost</t>
  </si>
  <si>
    <r>
      <rPr>
        <b/>
        <sz val="12"/>
        <rFont val="Arial"/>
        <family val="2"/>
      </rPr>
      <t>Learning</t>
    </r>
    <r>
      <rPr>
        <sz val="12"/>
        <rFont val="Arial"/>
        <family val="2"/>
      </rPr>
      <t xml:space="preserve"> Rate</t>
    </r>
  </si>
  <si>
    <t>Growth Multiplier</t>
  </si>
  <si>
    <t>Calculations Above Assume Doubling (Growth Multiplier = 2)</t>
  </si>
  <si>
    <t>LEARNING RATE (REF)</t>
  </si>
  <si>
    <t>Estimate Future Prices for Technology</t>
  </si>
  <si>
    <t>2014 Cost or Efficiency Measure</t>
  </si>
  <si>
    <t>2014 Cumulutive Units Adoption</t>
  </si>
  <si>
    <t>Implementation Unit Above</t>
  </si>
  <si>
    <t>~ expressed at 1 - Efficiency rate; e.g., 90%</t>
  </si>
  <si>
    <r>
      <rPr>
        <b/>
        <sz val="12"/>
        <rFont val="Arial"/>
        <family val="2"/>
      </rPr>
      <t>Efficiency</t>
    </r>
    <r>
      <rPr>
        <sz val="12"/>
        <rFont val="Arial"/>
        <family val="2"/>
      </rPr>
      <t xml:space="preserve"> Rate</t>
    </r>
  </si>
  <si>
    <t>~ expressed at 1 - Learning rate; e.g., 10%</t>
  </si>
  <si>
    <t>Future Units Adopted</t>
  </si>
  <si>
    <t>If rate correlates with doubling then enter 2, if quadrupuling or 4 x increase, then enter 4, etc.</t>
  </si>
  <si>
    <r>
      <t xml:space="preserve">Parameter </t>
    </r>
    <r>
      <rPr>
        <i/>
        <sz val="12"/>
        <rFont val="Arial"/>
        <family val="2"/>
      </rPr>
      <t xml:space="preserve">b  </t>
    </r>
  </si>
  <si>
    <t xml:space="preserve">First-Unit Cost  </t>
  </si>
  <si>
    <t xml:space="preserve">Future Cumulative Production  </t>
  </si>
  <si>
    <t xml:space="preserve">Future Cost / Unit ($, hrs, etc.)  </t>
  </si>
  <si>
    <t>Breakdown of Unit Prices each Year</t>
  </si>
  <si>
    <t>Year</t>
  </si>
  <si>
    <t>Cummulative Units Adopted</t>
  </si>
  <si>
    <t>Cost or Efficiency 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</si>
</sst>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_(* \(#,##0.00\);_(* &quot;-&quot;??_);_(@_)"/>
    <numFmt numFmtId="164" formatCode="0.00000"/>
    <numFmt numFmtId="165" formatCode="#,##0.000000"/>
    <numFmt numFmtId="166" formatCode="0.0000000"/>
    <numFmt numFmtId="167" formatCode="0.000"/>
    <numFmt numFmtId="168" formatCode="_-* #,##0.00_-;\-* #,##0.00_-;_-* &quot;-&quot;??_-;_-@_-"/>
    <numFmt numFmtId="169" formatCode="0.0000"/>
    <numFmt numFmtId="170" formatCode="#,##0.0"/>
    <numFmt numFmtId="171" formatCode="#,##0.000"/>
    <numFmt numFmtId="172" formatCode="0.000000"/>
    <numFmt numFmtId="173" formatCode="_-* #,##0.0_-;\-* #,##0.0_-;_-* &quot;-&quot;??_-;_-@_-"/>
    <numFmt numFmtId="174" formatCode="_(* #,##0_);_(* \(#,##0\);_(* &quot;-&quot;??_);_(@_)"/>
    <numFmt numFmtId="175" formatCode="_-* #,##0_-;\-* #,##0_-;_-* &quot;-&quot;??_-;_-@_-"/>
    <numFmt numFmtId="176" formatCode="0.0"/>
    <numFmt numFmtId="177" formatCode="0.0%"/>
    <numFmt numFmtId="178" formatCode="_-* #,##0.000\ _€_-;\-* #,##0.000\ _€_-;_-* &quot;-&quot;??\ _€_-;_-@_-"/>
    <numFmt numFmtId="179" formatCode="_([$$-409]* #,##0.00_);_([$$-409]* \(#,##0.00\);_([$$-409]* &quot;-&quot;??_);_(@_)"/>
    <numFmt numFmtId="180" formatCode="&quot;$&quot;#,##0.00"/>
  </numFmts>
  <fonts count="79" x14ac:knownFonts="1">
    <font>
      <sz val="11"/>
      <color theme="1"/>
      <name val="Calibri"/>
      <family val="2"/>
      <scheme val="minor"/>
    </font>
    <font>
      <sz val="11"/>
      <color theme="1"/>
      <name val="Calibri"/>
      <family val="2"/>
      <scheme val="minor"/>
    </font>
    <font>
      <sz val="18"/>
      <color rgb="FF000000"/>
      <name val="Arial"/>
      <family val="2"/>
    </font>
    <font>
      <u/>
      <sz val="11"/>
      <color theme="10"/>
      <name val="Calibri"/>
      <family val="2"/>
      <scheme val="minor"/>
    </font>
    <font>
      <sz val="10"/>
      <name val="Arial"/>
      <family val="2"/>
    </font>
    <font>
      <b/>
      <sz val="16"/>
      <color indexed="8"/>
      <name val="Arial"/>
      <family val="2"/>
    </font>
    <font>
      <sz val="14"/>
      <color indexed="8"/>
      <name val="Arial"/>
      <family val="2"/>
    </font>
    <font>
      <sz val="12"/>
      <color indexed="8"/>
      <name val="Arial"/>
      <family val="2"/>
    </font>
    <font>
      <b/>
      <sz val="18"/>
      <name val="Arial"/>
      <family val="2"/>
    </font>
    <font>
      <sz val="12"/>
      <name val="Arial"/>
      <family val="2"/>
    </font>
    <font>
      <u/>
      <sz val="12"/>
      <color theme="10"/>
      <name val="Arial"/>
      <family val="2"/>
    </font>
    <font>
      <b/>
      <i/>
      <sz val="12"/>
      <name val="Arial"/>
      <family val="2"/>
    </font>
    <font>
      <b/>
      <sz val="12"/>
      <color theme="1"/>
      <name val="Arial"/>
      <family val="2"/>
    </font>
    <font>
      <b/>
      <i/>
      <sz val="12"/>
      <color rgb="FF2D2D33"/>
      <name val="Arial"/>
      <family val="2"/>
    </font>
    <font>
      <sz val="12"/>
      <color theme="0"/>
      <name val="Arial"/>
      <family val="2"/>
    </font>
    <font>
      <b/>
      <sz val="12"/>
      <name val="Arial"/>
      <family val="2"/>
    </font>
    <font>
      <b/>
      <sz val="10"/>
      <color rgb="FF2D2D33"/>
      <name val="Arial"/>
      <family val="2"/>
    </font>
    <font>
      <b/>
      <sz val="10"/>
      <color theme="1"/>
      <name val="Arial"/>
      <family val="2"/>
    </font>
    <font>
      <sz val="11"/>
      <name val="Arial"/>
      <family val="2"/>
    </font>
    <font>
      <sz val="10"/>
      <color rgb="FF2D2D33"/>
      <name val="Arial"/>
      <family val="2"/>
    </font>
    <font>
      <b/>
      <sz val="11"/>
      <color theme="1"/>
      <name val="Arial"/>
      <family val="2"/>
    </font>
    <font>
      <sz val="11"/>
      <color theme="1"/>
      <name val="Arial"/>
      <family val="2"/>
    </font>
    <font>
      <sz val="9"/>
      <color rgb="FF2D2D33"/>
      <name val="Arial"/>
      <family val="2"/>
    </font>
    <font>
      <sz val="9"/>
      <color theme="1"/>
      <name val="Arial"/>
      <family val="2"/>
    </font>
    <font>
      <sz val="11"/>
      <color rgb="FF202124"/>
      <name val="Arial"/>
      <family val="2"/>
    </font>
    <font>
      <b/>
      <sz val="11"/>
      <name val="Arial"/>
      <family val="2"/>
    </font>
    <font>
      <b/>
      <sz val="10"/>
      <name val="Arial"/>
      <family val="2"/>
    </font>
    <font>
      <sz val="9"/>
      <name val="Arial"/>
      <family val="2"/>
    </font>
    <font>
      <i/>
      <sz val="11"/>
      <name val="Arial"/>
      <family val="2"/>
    </font>
    <font>
      <b/>
      <sz val="14"/>
      <color indexed="8"/>
      <name val="Arial"/>
      <family val="2"/>
    </font>
    <font>
      <b/>
      <i/>
      <sz val="11"/>
      <color rgb="FF2D2D33"/>
      <name val="Arial"/>
      <family val="2"/>
    </font>
    <font>
      <i/>
      <sz val="12"/>
      <color rgb="FF000000"/>
      <name val="Arial"/>
      <family val="2"/>
    </font>
    <font>
      <sz val="12"/>
      <color theme="1"/>
      <name val="Calibri"/>
      <family val="2"/>
      <scheme val="minor"/>
    </font>
    <font>
      <b/>
      <u/>
      <sz val="11"/>
      <name val="Arial"/>
      <family val="2"/>
    </font>
    <font>
      <u/>
      <sz val="11"/>
      <color theme="10"/>
      <name val="Arial"/>
      <family val="2"/>
    </font>
    <font>
      <b/>
      <u/>
      <sz val="11"/>
      <color theme="1"/>
      <name val="Arial"/>
      <family val="2"/>
    </font>
    <font>
      <sz val="10"/>
      <color rgb="FF000000"/>
      <name val="Arial"/>
      <family val="2"/>
    </font>
    <font>
      <b/>
      <sz val="10"/>
      <color rgb="FF000000"/>
      <name val="Arial"/>
      <family val="2"/>
    </font>
    <font>
      <b/>
      <u/>
      <sz val="12"/>
      <name val="Arial"/>
      <family val="2"/>
    </font>
    <font>
      <sz val="12"/>
      <color theme="1"/>
      <name val="Arial"/>
      <family val="2"/>
    </font>
    <font>
      <b/>
      <u/>
      <sz val="12"/>
      <color theme="10"/>
      <name val="Arial"/>
      <family val="2"/>
    </font>
    <font>
      <b/>
      <u/>
      <sz val="11"/>
      <color theme="10"/>
      <name val="Arial"/>
      <family val="2"/>
    </font>
    <font>
      <b/>
      <u/>
      <sz val="20"/>
      <color theme="4"/>
      <name val="Arial"/>
      <family val="2"/>
    </font>
    <font>
      <b/>
      <u/>
      <sz val="24"/>
      <color theme="10"/>
      <name val="Arial"/>
      <family val="2"/>
    </font>
    <font>
      <b/>
      <u/>
      <sz val="24"/>
      <name val="Arial"/>
      <family val="2"/>
    </font>
    <font>
      <b/>
      <sz val="24"/>
      <color theme="1"/>
      <name val="Arial"/>
      <family val="2"/>
    </font>
    <font>
      <sz val="24"/>
      <color theme="1"/>
      <name val="Arial"/>
      <family val="2"/>
    </font>
    <font>
      <b/>
      <u/>
      <sz val="14"/>
      <color theme="1"/>
      <name val="Arial"/>
      <family val="2"/>
    </font>
    <font>
      <b/>
      <u/>
      <sz val="14"/>
      <name val="Arial"/>
      <family val="2"/>
    </font>
    <font>
      <b/>
      <sz val="11"/>
      <color rgb="FF000000"/>
      <name val="Arial"/>
      <family val="2"/>
    </font>
    <font>
      <sz val="11"/>
      <color rgb="FF000000"/>
      <name val="Arial"/>
      <family val="2"/>
    </font>
    <font>
      <sz val="11"/>
      <color theme="0" tint="-0.34998626667073579"/>
      <name val="Arial"/>
      <family val="2"/>
    </font>
    <font>
      <sz val="11"/>
      <color theme="1"/>
      <name val="Calibri"/>
      <family val="2"/>
    </font>
    <font>
      <sz val="7"/>
      <color rgb="FF333333"/>
      <name val="Verdana"/>
      <family val="2"/>
    </font>
    <font>
      <b/>
      <sz val="14"/>
      <color theme="1"/>
      <name val="Arial"/>
      <family val="2"/>
    </font>
    <font>
      <sz val="14"/>
      <name val="Arial"/>
      <family val="2"/>
    </font>
    <font>
      <sz val="11"/>
      <color rgb="FF000000"/>
      <name val="Calibri"/>
      <family val="2"/>
    </font>
    <font>
      <b/>
      <u/>
      <sz val="22"/>
      <color theme="4"/>
      <name val="Arial"/>
      <family val="2"/>
    </font>
    <font>
      <sz val="22"/>
      <name val="Arial"/>
      <family val="2"/>
    </font>
    <font>
      <sz val="10"/>
      <color theme="1"/>
      <name val="Calibri"/>
      <family val="2"/>
      <scheme val="minor"/>
    </font>
    <font>
      <sz val="11"/>
      <color rgb="FF000000"/>
      <name val="Helvetica"/>
      <family val="2"/>
    </font>
    <font>
      <b/>
      <sz val="12"/>
      <color rgb="FF000000"/>
      <name val="Arial"/>
      <family val="2"/>
    </font>
    <font>
      <b/>
      <u/>
      <sz val="12"/>
      <color rgb="FF000000"/>
      <name val="Arial"/>
      <family val="2"/>
    </font>
    <font>
      <sz val="12"/>
      <color rgb="FF000000"/>
      <name val="Arial"/>
      <family val="2"/>
    </font>
    <font>
      <b/>
      <u/>
      <sz val="11"/>
      <color rgb="FF000000"/>
      <name val="Arial"/>
      <family val="2"/>
    </font>
    <font>
      <b/>
      <sz val="12"/>
      <color theme="4" tint="-0.499984740745262"/>
      <name val="Arial"/>
      <family val="2"/>
    </font>
    <font>
      <b/>
      <sz val="12"/>
      <color theme="4"/>
      <name val="Arial"/>
      <family val="2"/>
    </font>
    <font>
      <b/>
      <sz val="14"/>
      <color theme="4" tint="-0.499984740745262"/>
      <name val="Arial"/>
      <family val="2"/>
    </font>
    <font>
      <b/>
      <sz val="12"/>
      <color indexed="8"/>
      <name val="Arial"/>
      <family val="2"/>
    </font>
    <font>
      <b/>
      <sz val="12"/>
      <color rgb="FFFF0000"/>
      <name val="Arial"/>
      <family val="2"/>
    </font>
    <font>
      <i/>
      <sz val="12"/>
      <name val="Arial"/>
      <family val="2"/>
    </font>
    <font>
      <b/>
      <sz val="11"/>
      <color indexed="81"/>
      <name val="Times New Roman"/>
      <family val="1"/>
    </font>
    <font>
      <sz val="11"/>
      <color indexed="81"/>
      <name val="Times New Roman"/>
      <family val="1"/>
    </font>
    <font>
      <b/>
      <sz val="9"/>
      <color indexed="81"/>
      <name val="Tahoma"/>
      <family val="2"/>
    </font>
    <font>
      <sz val="9"/>
      <color indexed="81"/>
      <name val="Tahoma"/>
      <family val="2"/>
    </font>
    <font>
      <b/>
      <sz val="11"/>
      <color indexed="81"/>
      <name val="Tahoma"/>
      <family val="2"/>
    </font>
    <font>
      <sz val="11"/>
      <color indexed="81"/>
      <name val="Tahoma"/>
      <family val="2"/>
    </font>
    <font>
      <b/>
      <sz val="11"/>
      <color rgb="FF000000"/>
      <name val="Times New Roman"/>
      <family val="1"/>
    </font>
    <font>
      <sz val="11"/>
      <color rgb="FF000000"/>
      <name val="Times New Roman"/>
      <family val="1"/>
    </font>
  </fonts>
  <fills count="26">
    <fill>
      <patternFill patternType="none"/>
    </fill>
    <fill>
      <patternFill patternType="gray125"/>
    </fill>
    <fill>
      <patternFill patternType="solid">
        <fgColor indexed="27"/>
        <bgColor indexed="26"/>
      </patternFill>
    </fill>
    <fill>
      <patternFill patternType="solid">
        <fgColor theme="2" tint="-0.249977111117893"/>
        <bgColor indexed="26"/>
      </patternFill>
    </fill>
    <fill>
      <patternFill patternType="solid">
        <fgColor theme="2"/>
        <bgColor indexed="26"/>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C6E0B4"/>
        <bgColor rgb="FF000000"/>
      </patternFill>
    </fill>
    <fill>
      <patternFill patternType="solid">
        <fgColor rgb="FFF8CBAD"/>
        <bgColor rgb="FF000000"/>
      </patternFill>
    </fill>
    <fill>
      <patternFill patternType="solid">
        <fgColor theme="9" tint="0.59999389629810485"/>
        <bgColor indexed="64"/>
      </patternFill>
    </fill>
    <fill>
      <patternFill patternType="solid">
        <fgColor rgb="FFC5E0B3"/>
        <bgColor indexed="64"/>
      </patternFill>
    </fill>
    <fill>
      <patternFill patternType="solid">
        <fgColor theme="5" tint="0.59996337778862885"/>
        <bgColor indexed="64"/>
      </patternFill>
    </fill>
    <fill>
      <patternFill patternType="solid">
        <fgColor theme="5" tint="0.39997558519241921"/>
        <bgColor indexed="64"/>
      </patternFill>
    </fill>
    <fill>
      <patternFill patternType="solid">
        <fgColor rgb="FFF9B67F"/>
        <bgColor indexed="64"/>
      </patternFill>
    </fill>
    <fill>
      <patternFill patternType="solid">
        <fgColor indexed="41"/>
        <bgColor indexed="27"/>
      </patternFill>
    </fill>
    <fill>
      <patternFill patternType="solid">
        <fgColor theme="5" tint="0.59999389629810485"/>
        <bgColor indexed="47"/>
      </patternFill>
    </fill>
    <fill>
      <patternFill patternType="solid">
        <fgColor indexed="42"/>
        <bgColor indexed="41"/>
      </patternFill>
    </fill>
    <fill>
      <patternFill patternType="solid">
        <fgColor theme="9" tint="0.59999389629810485"/>
        <bgColor indexed="27"/>
      </patternFill>
    </fill>
    <fill>
      <patternFill patternType="solid">
        <fgColor theme="5" tint="0.59999389629810485"/>
        <bgColor indexed="41"/>
      </patternFill>
    </fill>
    <fill>
      <patternFill patternType="solid">
        <fgColor theme="4" tint="0.39997558519241921"/>
        <bgColor indexed="41"/>
      </patternFill>
    </fill>
    <fill>
      <patternFill patternType="solid">
        <fgColor rgb="FFFFFF99"/>
        <bgColor indexed="64"/>
      </patternFill>
    </fill>
    <fill>
      <patternFill patternType="solid">
        <fgColor theme="4" tint="0.39997558519241921"/>
        <bgColor indexed="64"/>
      </patternFill>
    </fill>
  </fills>
  <borders count="3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indexed="64"/>
      </top>
      <bottom style="medium">
        <color indexed="64"/>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indexed="64"/>
      </right>
      <top style="thin">
        <color indexed="64"/>
      </top>
      <bottom style="thin">
        <color indexed="64"/>
      </bottom>
      <diagonal/>
    </border>
    <border diagonalDown="1">
      <left style="thin">
        <color auto="1"/>
      </left>
      <right style="thin">
        <color auto="1"/>
      </right>
      <top style="thin">
        <color auto="1"/>
      </top>
      <bottom style="thin">
        <color auto="1"/>
      </bottom>
      <diagonal/>
    </border>
    <border diagonalDown="1">
      <left style="thin">
        <color auto="1"/>
      </left>
      <right style="thin">
        <color auto="1"/>
      </right>
      <top/>
      <bottom/>
      <diagonal/>
    </border>
    <border>
      <left style="thin">
        <color indexed="64"/>
      </left>
      <right style="thin">
        <color indexed="64"/>
      </right>
      <top style="medium">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style="medium">
        <color auto="1"/>
      </right>
      <top style="medium">
        <color auto="1"/>
      </top>
      <bottom style="medium">
        <color auto="1"/>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s>
  <cellStyleXfs count="15">
    <xf numFmtId="0" fontId="0" fillId="0" borderId="0"/>
    <xf numFmtId="0" fontId="4" fillId="0" borderId="0"/>
    <xf numFmtId="0" fontId="10" fillId="0" borderId="0" applyNumberFormat="0" applyFill="0" applyBorder="0" applyAlignment="0" applyProtection="0"/>
    <xf numFmtId="0" fontId="1" fillId="0" borderId="0"/>
    <xf numFmtId="0" fontId="1" fillId="0" borderId="0"/>
    <xf numFmtId="0" fontId="4" fillId="0" borderId="0"/>
    <xf numFmtId="168" fontId="4" fillId="0" borderId="0" applyFont="0" applyFill="0" applyBorder="0" applyAlignment="0" applyProtection="0"/>
    <xf numFmtId="0" fontId="1" fillId="0" borderId="0"/>
    <xf numFmtId="0" fontId="32" fillId="0" borderId="0"/>
    <xf numFmtId="0" fontId="36" fillId="0" borderId="0"/>
    <xf numFmtId="0" fontId="3" fillId="0" borderId="0" applyNumberFormat="0" applyFill="0" applyBorder="0" applyAlignment="0" applyProtection="0"/>
    <xf numFmtId="0" fontId="32" fillId="0" borderId="0"/>
    <xf numFmtId="0" fontId="1" fillId="0" borderId="0"/>
    <xf numFmtId="0" fontId="32" fillId="0" borderId="0"/>
    <xf numFmtId="0" fontId="1" fillId="0" borderId="0"/>
  </cellStyleXfs>
  <cellXfs count="447">
    <xf numFmtId="0" fontId="0" fillId="0" borderId="0" xfId="0"/>
    <xf numFmtId="0" fontId="5" fillId="2" borderId="0" xfId="1" applyFont="1" applyFill="1" applyProtection="1">
      <protection locked="0"/>
    </xf>
    <xf numFmtId="0" fontId="6" fillId="2" borderId="0" xfId="1" applyFont="1" applyFill="1" applyProtection="1">
      <protection locked="0"/>
    </xf>
    <xf numFmtId="0" fontId="6" fillId="2" borderId="0" xfId="1" applyFont="1" applyFill="1" applyProtection="1">
      <protection locked="0"/>
    </xf>
    <xf numFmtId="2" fontId="7" fillId="2" borderId="0" xfId="1" applyNumberFormat="1" applyFont="1" applyFill="1" applyProtection="1">
      <protection locked="0"/>
    </xf>
    <xf numFmtId="0" fontId="8" fillId="3" borderId="0" xfId="1" applyFont="1" applyFill="1" applyAlignment="1" applyProtection="1">
      <alignment horizontal="center"/>
      <protection locked="0"/>
    </xf>
    <xf numFmtId="0" fontId="9" fillId="3" borderId="0" xfId="1" applyFont="1" applyFill="1" applyProtection="1">
      <protection locked="0"/>
    </xf>
    <xf numFmtId="0" fontId="9" fillId="4" borderId="0" xfId="1" applyFont="1" applyFill="1" applyProtection="1">
      <protection locked="0"/>
    </xf>
    <xf numFmtId="0" fontId="9" fillId="0" borderId="0" xfId="1" applyFont="1" applyProtection="1">
      <protection locked="0"/>
    </xf>
    <xf numFmtId="0" fontId="9" fillId="5" borderId="0" xfId="1" applyFont="1" applyFill="1" applyProtection="1">
      <protection locked="0"/>
    </xf>
    <xf numFmtId="0" fontId="9" fillId="2" borderId="0" xfId="1" applyFont="1" applyFill="1" applyProtection="1">
      <protection locked="0"/>
    </xf>
    <xf numFmtId="0" fontId="10" fillId="0" borderId="0" xfId="2" applyProtection="1">
      <protection locked="0"/>
    </xf>
    <xf numFmtId="0" fontId="11" fillId="0" borderId="0" xfId="1" applyFont="1" applyProtection="1">
      <protection locked="0"/>
    </xf>
    <xf numFmtId="0" fontId="12" fillId="5" borderId="0" xfId="3" applyFont="1" applyFill="1" applyAlignment="1" applyProtection="1">
      <alignment horizontal="center" vertical="top"/>
      <protection locked="0"/>
    </xf>
    <xf numFmtId="0" fontId="13" fillId="5" borderId="1" xfId="1" applyFont="1" applyFill="1" applyBorder="1" applyAlignment="1" applyProtection="1">
      <alignment horizontal="center" vertical="center"/>
      <protection locked="0"/>
    </xf>
    <xf numFmtId="0" fontId="14" fillId="0" borderId="0" xfId="1" applyFont="1" applyProtection="1">
      <protection locked="0"/>
    </xf>
    <xf numFmtId="0" fontId="15" fillId="5" borderId="0" xfId="1" applyFont="1" applyFill="1" applyProtection="1">
      <protection locked="0"/>
    </xf>
    <xf numFmtId="0" fontId="12" fillId="5" borderId="0" xfId="4" applyFont="1" applyFill="1" applyAlignment="1" applyProtection="1">
      <alignment horizontal="center" vertical="top"/>
      <protection locked="0"/>
    </xf>
    <xf numFmtId="0" fontId="13" fillId="5" borderId="1" xfId="5" applyFont="1" applyFill="1" applyBorder="1" applyAlignment="1" applyProtection="1">
      <alignment horizontal="center" vertical="center"/>
      <protection locked="0"/>
    </xf>
    <xf numFmtId="0" fontId="12" fillId="5" borderId="0" xfId="4" applyFont="1" applyFill="1" applyAlignment="1" applyProtection="1">
      <alignment horizontal="left" vertical="top"/>
      <protection locked="0"/>
    </xf>
    <xf numFmtId="0" fontId="12" fillId="0" borderId="0" xfId="3" applyFont="1" applyAlignment="1" applyProtection="1">
      <alignment horizontal="center" vertical="top"/>
      <protection locked="0"/>
    </xf>
    <xf numFmtId="0" fontId="16" fillId="0" borderId="0" xfId="1" applyFont="1" applyAlignment="1" applyProtection="1">
      <alignment horizontal="center" vertical="center"/>
      <protection locked="0"/>
    </xf>
    <xf numFmtId="0" fontId="17" fillId="0" borderId="0" xfId="3" applyFont="1" applyAlignment="1" applyProtection="1">
      <alignment horizontal="center" vertical="center"/>
      <protection locked="0"/>
    </xf>
    <xf numFmtId="0" fontId="18" fillId="0" borderId="0" xfId="1" applyFont="1"/>
    <xf numFmtId="0" fontId="12" fillId="0" borderId="0" xfId="4" applyFont="1" applyAlignment="1" applyProtection="1">
      <alignment horizontal="center" vertical="top"/>
      <protection locked="0"/>
    </xf>
    <xf numFmtId="0" fontId="16" fillId="0" borderId="0" xfId="5" applyFont="1" applyAlignment="1" applyProtection="1">
      <alignment horizontal="center" vertical="center"/>
      <protection locked="0"/>
    </xf>
    <xf numFmtId="0" fontId="17" fillId="0" borderId="0" xfId="3" applyFont="1" applyProtection="1">
      <protection locked="0"/>
    </xf>
    <xf numFmtId="0" fontId="19" fillId="0" borderId="0" xfId="1" applyFont="1" applyAlignment="1" applyProtection="1">
      <alignment horizontal="right"/>
      <protection locked="0"/>
    </xf>
    <xf numFmtId="0" fontId="20" fillId="0" borderId="0" xfId="3" applyFont="1" applyProtection="1">
      <protection locked="0"/>
    </xf>
    <xf numFmtId="0" fontId="4" fillId="0" borderId="0" xfId="1" applyProtection="1">
      <protection locked="0"/>
    </xf>
    <xf numFmtId="0" fontId="18" fillId="0" borderId="2" xfId="1" applyFont="1" applyBorder="1"/>
    <xf numFmtId="164" fontId="21" fillId="0" borderId="2" xfId="1" applyNumberFormat="1" applyFont="1" applyBorder="1"/>
    <xf numFmtId="0" fontId="17" fillId="0" borderId="0" xfId="4" applyFont="1" applyProtection="1">
      <protection locked="0"/>
    </xf>
    <xf numFmtId="0" fontId="19" fillId="0" borderId="0" xfId="5" applyFont="1" applyAlignment="1" applyProtection="1">
      <alignment horizontal="right"/>
      <protection locked="0"/>
    </xf>
    <xf numFmtId="0" fontId="20" fillId="0" borderId="0" xfId="4" applyFont="1" applyProtection="1">
      <protection locked="0"/>
    </xf>
    <xf numFmtId="0" fontId="4" fillId="0" borderId="0" xfId="5" applyProtection="1">
      <protection locked="0"/>
    </xf>
    <xf numFmtId="0" fontId="9" fillId="0" borderId="0" xfId="5" applyFont="1" applyProtection="1">
      <protection locked="0"/>
    </xf>
    <xf numFmtId="0" fontId="13" fillId="0" borderId="3" xfId="1" applyFont="1" applyBorder="1" applyAlignment="1" applyProtection="1">
      <alignment horizontal="right" vertical="center"/>
      <protection locked="0"/>
    </xf>
    <xf numFmtId="0" fontId="16" fillId="0" borderId="0" xfId="1" applyFont="1" applyProtection="1">
      <protection locked="0"/>
    </xf>
    <xf numFmtId="3" fontId="22" fillId="6" borderId="2" xfId="1" applyNumberFormat="1" applyFont="1" applyFill="1" applyBorder="1" applyAlignment="1" applyProtection="1">
      <alignment horizontal="center" vertical="center"/>
      <protection locked="0"/>
    </xf>
    <xf numFmtId="165" fontId="22" fillId="0" borderId="2" xfId="1" applyNumberFormat="1" applyFont="1" applyBorder="1" applyAlignment="1" applyProtection="1">
      <alignment horizontal="center" vertical="center"/>
      <protection locked="0"/>
    </xf>
    <xf numFmtId="165" fontId="23" fillId="0" borderId="2" xfId="3" applyNumberFormat="1" applyFont="1" applyBorder="1" applyAlignment="1" applyProtection="1">
      <alignment horizontal="center" vertical="center"/>
      <protection locked="0"/>
    </xf>
    <xf numFmtId="0" fontId="24" fillId="0" borderId="2" xfId="1" applyFont="1" applyBorder="1"/>
    <xf numFmtId="0" fontId="13" fillId="0" borderId="3" xfId="5" applyFont="1" applyBorder="1" applyAlignment="1" applyProtection="1">
      <alignment horizontal="center" vertical="center"/>
      <protection locked="0"/>
    </xf>
    <xf numFmtId="0" fontId="16" fillId="0" borderId="0" xfId="5" applyFont="1" applyProtection="1">
      <protection locked="0"/>
    </xf>
    <xf numFmtId="166" fontId="19" fillId="0" borderId="2" xfId="5" applyNumberFormat="1" applyFont="1" applyBorder="1" applyAlignment="1" applyProtection="1">
      <alignment horizontal="center" vertical="center"/>
      <protection locked="0"/>
    </xf>
    <xf numFmtId="0" fontId="19" fillId="0" borderId="2" xfId="5" applyFont="1" applyBorder="1" applyAlignment="1" applyProtection="1">
      <alignment horizontal="center" vertical="center"/>
      <protection locked="0"/>
    </xf>
    <xf numFmtId="3" fontId="19" fillId="0" borderId="2" xfId="5" applyNumberFormat="1" applyFont="1" applyBorder="1" applyAlignment="1" applyProtection="1">
      <alignment horizontal="center" vertical="center"/>
      <protection locked="0"/>
    </xf>
    <xf numFmtId="0" fontId="9" fillId="0" borderId="2" xfId="1" applyFont="1" applyBorder="1" applyProtection="1">
      <protection locked="0"/>
    </xf>
    <xf numFmtId="11" fontId="22" fillId="0" borderId="2" xfId="1" applyNumberFormat="1" applyFont="1" applyBorder="1" applyAlignment="1" applyProtection="1">
      <alignment horizontal="center" vertical="center"/>
      <protection locked="0"/>
    </xf>
    <xf numFmtId="11" fontId="23" fillId="0" borderId="2" xfId="3" applyNumberFormat="1" applyFont="1" applyBorder="1" applyAlignment="1" applyProtection="1">
      <alignment horizontal="center" vertical="center"/>
      <protection locked="0"/>
    </xf>
    <xf numFmtId="3" fontId="22" fillId="0" borderId="2" xfId="1" applyNumberFormat="1" applyFont="1" applyBorder="1" applyAlignment="1" applyProtection="1">
      <alignment horizontal="center" vertical="center"/>
      <protection locked="0"/>
    </xf>
    <xf numFmtId="2" fontId="19" fillId="0" borderId="2" xfId="5" applyNumberFormat="1" applyFont="1" applyBorder="1" applyAlignment="1" applyProtection="1">
      <alignment horizontal="center" vertical="center"/>
      <protection locked="0"/>
    </xf>
    <xf numFmtId="167" fontId="19" fillId="0" borderId="2" xfId="5" applyNumberFormat="1" applyFont="1" applyBorder="1" applyAlignment="1" applyProtection="1">
      <alignment horizontal="center" vertical="center"/>
      <protection locked="0"/>
    </xf>
    <xf numFmtId="4" fontId="22" fillId="0" borderId="2" xfId="1" applyNumberFormat="1" applyFont="1" applyBorder="1" applyAlignment="1" applyProtection="1">
      <alignment horizontal="center" vertical="center"/>
      <protection locked="0"/>
    </xf>
    <xf numFmtId="0" fontId="18" fillId="0" borderId="0" xfId="1" applyFont="1" applyProtection="1">
      <protection locked="0"/>
    </xf>
    <xf numFmtId="0" fontId="25" fillId="0" borderId="0" xfId="1" applyFont="1" applyProtection="1">
      <protection locked="0"/>
    </xf>
    <xf numFmtId="168" fontId="18" fillId="0" borderId="2" xfId="6" applyFont="1" applyBorder="1" applyAlignment="1" applyProtection="1">
      <alignment horizontal="right" vertical="center" wrapText="1"/>
      <protection locked="0"/>
    </xf>
    <xf numFmtId="1" fontId="19" fillId="0" borderId="2" xfId="5" applyNumberFormat="1" applyFont="1" applyBorder="1" applyAlignment="1" applyProtection="1">
      <alignment horizontal="center" vertical="center"/>
      <protection locked="0"/>
    </xf>
    <xf numFmtId="165" fontId="22" fillId="0" borderId="2" xfId="6" applyNumberFormat="1" applyFont="1" applyBorder="1" applyAlignment="1" applyProtection="1">
      <alignment horizontal="center" vertical="center"/>
      <protection locked="0"/>
    </xf>
    <xf numFmtId="0" fontId="18" fillId="0" borderId="0" xfId="1" applyFont="1" applyAlignment="1">
      <alignment vertical="center" wrapText="1"/>
    </xf>
    <xf numFmtId="0" fontId="18" fillId="0" borderId="2" xfId="1" applyFont="1" applyBorder="1" applyAlignment="1">
      <alignment horizontal="right" vertical="center" wrapText="1"/>
    </xf>
    <xf numFmtId="0" fontId="4" fillId="0" borderId="2" xfId="5" applyBorder="1" applyAlignment="1" applyProtection="1">
      <alignment horizontal="center"/>
      <protection locked="0"/>
    </xf>
    <xf numFmtId="169" fontId="4" fillId="0" borderId="2" xfId="5" applyNumberFormat="1" applyBorder="1" applyAlignment="1" applyProtection="1">
      <alignment horizontal="center"/>
      <protection locked="0"/>
    </xf>
    <xf numFmtId="11" fontId="4" fillId="0" borderId="2" xfId="5" applyNumberFormat="1" applyBorder="1" applyAlignment="1" applyProtection="1">
      <alignment horizontal="center"/>
      <protection locked="0"/>
    </xf>
    <xf numFmtId="170" fontId="22" fillId="0" borderId="2" xfId="1" applyNumberFormat="1" applyFont="1" applyBorder="1" applyAlignment="1" applyProtection="1">
      <alignment horizontal="center" vertical="center"/>
      <protection locked="0"/>
    </xf>
    <xf numFmtId="171" fontId="23" fillId="0" borderId="2" xfId="3" applyNumberFormat="1" applyFont="1" applyBorder="1" applyAlignment="1" applyProtection="1">
      <alignment horizontal="center" vertical="center"/>
      <protection locked="0"/>
    </xf>
    <xf numFmtId="0" fontId="18" fillId="0" borderId="4" xfId="1" applyFont="1" applyBorder="1" applyAlignment="1">
      <alignment horizontal="right" vertical="center" wrapText="1"/>
    </xf>
    <xf numFmtId="0" fontId="18" fillId="0" borderId="2" xfId="1" applyFont="1" applyBorder="1" applyAlignment="1" applyProtection="1">
      <alignment horizontal="right" vertical="center" wrapText="1"/>
      <protection locked="0"/>
    </xf>
    <xf numFmtId="0" fontId="9" fillId="0" borderId="2" xfId="5" applyFont="1" applyBorder="1" applyProtection="1">
      <protection locked="0"/>
    </xf>
    <xf numFmtId="169" fontId="9" fillId="0" borderId="2" xfId="5" applyNumberFormat="1" applyFont="1" applyBorder="1" applyProtection="1">
      <protection locked="0"/>
    </xf>
    <xf numFmtId="3" fontId="22" fillId="6" borderId="5" xfId="1" applyNumberFormat="1" applyFont="1" applyFill="1" applyBorder="1" applyAlignment="1" applyProtection="1">
      <alignment horizontal="center" vertical="center"/>
      <protection locked="0"/>
    </xf>
    <xf numFmtId="0" fontId="26" fillId="0" borderId="0" xfId="1" applyFont="1" applyProtection="1">
      <protection locked="0"/>
    </xf>
    <xf numFmtId="165" fontId="27" fillId="0" borderId="2" xfId="1" applyNumberFormat="1" applyFont="1" applyBorder="1" applyAlignment="1" applyProtection="1">
      <alignment horizontal="center" vertical="center"/>
      <protection locked="0"/>
    </xf>
    <xf numFmtId="0" fontId="18" fillId="0" borderId="6" xfId="1" applyFont="1" applyBorder="1" applyAlignment="1">
      <alignment vertical="center" wrapText="1"/>
    </xf>
    <xf numFmtId="0" fontId="18" fillId="0" borderId="7" xfId="1" applyFont="1" applyBorder="1" applyAlignment="1">
      <alignment vertical="center" wrapText="1"/>
    </xf>
    <xf numFmtId="0" fontId="18" fillId="0" borderId="8" xfId="1" applyFont="1" applyBorder="1" applyAlignment="1">
      <alignment horizontal="right" vertical="center" wrapText="1"/>
    </xf>
    <xf numFmtId="0" fontId="18" fillId="0" borderId="9" xfId="1" applyFont="1" applyBorder="1"/>
    <xf numFmtId="0" fontId="9" fillId="5" borderId="0" xfId="5" applyFont="1" applyFill="1" applyProtection="1">
      <protection locked="0"/>
    </xf>
    <xf numFmtId="11" fontId="27" fillId="0" borderId="2" xfId="1" applyNumberFormat="1" applyFont="1" applyBorder="1" applyAlignment="1" applyProtection="1">
      <alignment horizontal="center" vertical="center"/>
      <protection locked="0"/>
    </xf>
    <xf numFmtId="0" fontId="18" fillId="0" borderId="10" xfId="1" applyFont="1" applyBorder="1" applyAlignment="1">
      <alignment horizontal="right" vertical="center" wrapText="1"/>
    </xf>
    <xf numFmtId="0" fontId="18" fillId="0" borderId="0" xfId="1" applyFont="1" applyAlignment="1" applyProtection="1">
      <alignment wrapText="1"/>
      <protection locked="0"/>
    </xf>
    <xf numFmtId="0" fontId="20" fillId="0" borderId="0" xfId="3" applyFont="1" applyAlignment="1" applyProtection="1">
      <alignment vertical="center" wrapText="1"/>
      <protection locked="0"/>
    </xf>
    <xf numFmtId="0" fontId="28" fillId="0" borderId="0" xfId="1" applyFont="1" applyProtection="1">
      <protection locked="0"/>
    </xf>
    <xf numFmtId="0" fontId="20" fillId="0" borderId="0" xfId="4" applyFont="1" applyAlignment="1" applyProtection="1">
      <alignment vertical="center" wrapText="1"/>
      <protection locked="0"/>
    </xf>
    <xf numFmtId="0" fontId="29" fillId="2" borderId="0" xfId="1" applyFont="1" applyFill="1" applyProtection="1">
      <protection locked="0"/>
    </xf>
    <xf numFmtId="0" fontId="7" fillId="2" borderId="0" xfId="1" applyFont="1" applyFill="1" applyProtection="1">
      <protection locked="0"/>
    </xf>
    <xf numFmtId="0" fontId="7" fillId="0" borderId="0" xfId="1" applyFont="1" applyProtection="1">
      <protection locked="0"/>
    </xf>
    <xf numFmtId="2" fontId="7" fillId="0" borderId="0" xfId="1" applyNumberFormat="1" applyFont="1" applyProtection="1">
      <protection locked="0"/>
    </xf>
    <xf numFmtId="0" fontId="15" fillId="5" borderId="0" xfId="1" applyFont="1" applyFill="1" applyAlignment="1" applyProtection="1">
      <alignment horizontal="center" vertical="top"/>
      <protection locked="0"/>
    </xf>
    <xf numFmtId="0" fontId="30" fillId="5" borderId="1" xfId="1" applyFont="1" applyFill="1" applyBorder="1" applyAlignment="1" applyProtection="1">
      <alignment horizontal="center"/>
      <protection locked="0"/>
    </xf>
    <xf numFmtId="0" fontId="18" fillId="5" borderId="0" xfId="1" applyFont="1" applyFill="1" applyProtection="1">
      <protection locked="0"/>
    </xf>
    <xf numFmtId="0" fontId="31" fillId="0" borderId="0" xfId="1" applyFont="1" applyAlignment="1" applyProtection="1">
      <alignment horizontal="left" vertical="center"/>
      <protection locked="0"/>
    </xf>
    <xf numFmtId="0" fontId="25" fillId="0" borderId="0" xfId="1" applyFont="1" applyAlignment="1" applyProtection="1">
      <alignment vertical="top"/>
      <protection locked="0"/>
    </xf>
    <xf numFmtId="0" fontId="16" fillId="0" borderId="0" xfId="1" applyFont="1" applyAlignment="1" applyProtection="1">
      <alignment horizontal="center"/>
      <protection locked="0"/>
    </xf>
    <xf numFmtId="0" fontId="25" fillId="0" borderId="0" xfId="3" applyFont="1" applyAlignment="1" applyProtection="1">
      <alignment vertical="center" wrapText="1"/>
      <protection locked="0"/>
    </xf>
    <xf numFmtId="0" fontId="20" fillId="0" borderId="0" xfId="3" applyFont="1"/>
    <xf numFmtId="0" fontId="20" fillId="0" borderId="0" xfId="7" applyFont="1" applyProtection="1">
      <protection locked="0"/>
    </xf>
    <xf numFmtId="0" fontId="20" fillId="5" borderId="0" xfId="4" applyFont="1" applyFill="1" applyProtection="1">
      <protection locked="0"/>
    </xf>
    <xf numFmtId="0" fontId="20" fillId="5" borderId="0" xfId="3" applyFont="1" applyFill="1" applyProtection="1">
      <protection locked="0"/>
    </xf>
    <xf numFmtId="0" fontId="20" fillId="0" borderId="6" xfId="3" applyFont="1" applyBorder="1" applyAlignment="1" applyProtection="1">
      <alignment vertical="center" wrapText="1"/>
      <protection locked="0"/>
    </xf>
    <xf numFmtId="0" fontId="20" fillId="0" borderId="7" xfId="3" applyFont="1" applyBorder="1" applyAlignment="1" applyProtection="1">
      <alignment vertical="center" wrapText="1"/>
      <protection locked="0"/>
    </xf>
    <xf numFmtId="0" fontId="20" fillId="0" borderId="11" xfId="3" applyFont="1" applyBorder="1" applyAlignment="1" applyProtection="1">
      <alignment vertical="center" wrapText="1"/>
      <protection locked="0"/>
    </xf>
    <xf numFmtId="0" fontId="25" fillId="0" borderId="11" xfId="3" applyFont="1" applyBorder="1" applyAlignment="1" applyProtection="1">
      <alignment horizontal="left" vertical="center"/>
      <protection locked="0"/>
    </xf>
    <xf numFmtId="0" fontId="25" fillId="0" borderId="12" xfId="3" applyFont="1" applyBorder="1" applyAlignment="1" applyProtection="1">
      <alignment horizontal="left" vertical="center"/>
      <protection locked="0"/>
    </xf>
    <xf numFmtId="1" fontId="21" fillId="0" borderId="0" xfId="8" applyNumberFormat="1" applyFont="1" applyAlignment="1" applyProtection="1">
      <alignment horizontal="center"/>
      <protection locked="0"/>
    </xf>
    <xf numFmtId="0" fontId="13" fillId="0" borderId="3" xfId="1" applyFont="1" applyBorder="1" applyAlignment="1" applyProtection="1">
      <alignment horizontal="center" vertical="center"/>
      <protection locked="0"/>
    </xf>
    <xf numFmtId="1" fontId="22" fillId="6" borderId="2" xfId="1" applyNumberFormat="1" applyFont="1" applyFill="1" applyBorder="1" applyAlignment="1" applyProtection="1">
      <alignment horizontal="center" vertical="center"/>
      <protection locked="0"/>
    </xf>
    <xf numFmtId="164" fontId="22" fillId="0" borderId="2" xfId="1" applyNumberFormat="1" applyFont="1" applyBorder="1" applyAlignment="1" applyProtection="1">
      <alignment horizontal="center" vertical="center"/>
      <protection locked="0"/>
    </xf>
    <xf numFmtId="0" fontId="20" fillId="0" borderId="0" xfId="3" applyFont="1" applyAlignment="1">
      <alignment vertical="center" wrapText="1"/>
    </xf>
    <xf numFmtId="0" fontId="20" fillId="5" borderId="0" xfId="4" applyFont="1" applyFill="1" applyAlignment="1" applyProtection="1">
      <alignment vertical="center" wrapText="1"/>
      <protection locked="0"/>
    </xf>
    <xf numFmtId="0" fontId="20" fillId="5" borderId="0" xfId="3" applyFont="1" applyFill="1" applyAlignment="1" applyProtection="1">
      <alignment vertical="center" wrapText="1"/>
      <protection locked="0"/>
    </xf>
    <xf numFmtId="0" fontId="10" fillId="0" borderId="13" xfId="2" applyBorder="1" applyProtection="1">
      <protection locked="0"/>
    </xf>
    <xf numFmtId="0" fontId="33" fillId="0" borderId="11" xfId="3" applyFont="1" applyBorder="1" applyAlignment="1" applyProtection="1">
      <alignment horizontal="center"/>
      <protection locked="0"/>
    </xf>
    <xf numFmtId="0" fontId="20" fillId="0" borderId="11" xfId="3" applyFont="1" applyBorder="1" applyProtection="1">
      <protection locked="0"/>
    </xf>
    <xf numFmtId="1" fontId="20" fillId="0" borderId="11" xfId="8" applyNumberFormat="1" applyFont="1" applyBorder="1" applyAlignment="1" applyProtection="1">
      <alignment horizontal="right"/>
      <protection locked="0"/>
    </xf>
    <xf numFmtId="0" fontId="21" fillId="0" borderId="11" xfId="3" applyFont="1" applyBorder="1" applyProtection="1">
      <protection locked="0"/>
    </xf>
    <xf numFmtId="0" fontId="20" fillId="0" borderId="12" xfId="3" applyFont="1" applyBorder="1" applyProtection="1">
      <protection locked="0"/>
    </xf>
    <xf numFmtId="0" fontId="21" fillId="0" borderId="0" xfId="3" applyFont="1"/>
    <xf numFmtId="0" fontId="10" fillId="0" borderId="14" xfId="2" applyBorder="1" applyProtection="1">
      <protection locked="0"/>
    </xf>
    <xf numFmtId="0" fontId="33" fillId="0" borderId="0" xfId="3" applyFont="1" applyAlignment="1" applyProtection="1">
      <alignment horizontal="center"/>
      <protection locked="0"/>
    </xf>
    <xf numFmtId="1" fontId="20" fillId="0" borderId="0" xfId="8" applyNumberFormat="1" applyFont="1" applyAlignment="1" applyProtection="1">
      <alignment horizontal="right"/>
      <protection locked="0"/>
    </xf>
    <xf numFmtId="0" fontId="21" fillId="0" borderId="0" xfId="3" applyFont="1" applyProtection="1">
      <protection locked="0"/>
    </xf>
    <xf numFmtId="0" fontId="20" fillId="0" borderId="15" xfId="3" applyFont="1" applyBorder="1" applyProtection="1">
      <protection locked="0"/>
    </xf>
    <xf numFmtId="1" fontId="22" fillId="0" borderId="2" xfId="1" applyNumberFormat="1" applyFont="1" applyBorder="1" applyAlignment="1" applyProtection="1">
      <alignment horizontal="center" vertical="center"/>
      <protection locked="0"/>
    </xf>
    <xf numFmtId="0" fontId="21" fillId="0" borderId="15" xfId="3" applyFont="1" applyBorder="1" applyProtection="1">
      <protection locked="0"/>
    </xf>
    <xf numFmtId="0" fontId="12" fillId="0" borderId="0" xfId="3" applyFont="1" applyProtection="1">
      <protection locked="0"/>
    </xf>
    <xf numFmtId="164" fontId="23" fillId="0" borderId="2" xfId="3" applyNumberFormat="1" applyFont="1" applyBorder="1" applyAlignment="1" applyProtection="1">
      <alignment horizontal="center" vertical="center"/>
      <protection locked="0"/>
    </xf>
    <xf numFmtId="1" fontId="23" fillId="6" borderId="2" xfId="3" applyNumberFormat="1" applyFont="1" applyFill="1" applyBorder="1" applyAlignment="1" applyProtection="1">
      <alignment horizontal="center" vertical="center"/>
      <protection locked="0"/>
    </xf>
    <xf numFmtId="0" fontId="21" fillId="0" borderId="0" xfId="4" applyFont="1" applyProtection="1">
      <protection locked="0"/>
    </xf>
    <xf numFmtId="0" fontId="20" fillId="0" borderId="0" xfId="3" applyFont="1" applyAlignment="1" applyProtection="1">
      <alignment wrapText="1"/>
      <protection locked="0"/>
    </xf>
    <xf numFmtId="0" fontId="34" fillId="0" borderId="0" xfId="2" applyFont="1" applyFill="1" applyProtection="1"/>
    <xf numFmtId="0" fontId="25" fillId="0" borderId="0" xfId="1" applyFont="1" applyAlignment="1" applyProtection="1">
      <alignment horizontal="right" vertical="center"/>
      <protection locked="0"/>
    </xf>
    <xf numFmtId="0" fontId="21" fillId="0" borderId="0" xfId="3" applyFont="1" applyAlignment="1" applyProtection="1">
      <alignment horizontal="right"/>
      <protection locked="0"/>
    </xf>
    <xf numFmtId="0" fontId="12" fillId="5" borderId="0" xfId="3" applyFont="1" applyFill="1" applyAlignment="1" applyProtection="1">
      <alignment horizontal="center"/>
      <protection locked="0"/>
    </xf>
    <xf numFmtId="0" fontId="13" fillId="5" borderId="1" xfId="1" applyFont="1" applyFill="1" applyBorder="1" applyAlignment="1" applyProtection="1">
      <alignment horizontal="center"/>
      <protection locked="0"/>
    </xf>
    <xf numFmtId="0" fontId="4" fillId="5" borderId="0" xfId="1" applyFill="1" applyProtection="1">
      <protection locked="0"/>
    </xf>
    <xf numFmtId="0" fontId="20" fillId="5" borderId="0" xfId="3" applyFont="1" applyFill="1" applyAlignment="1" applyProtection="1">
      <alignment horizontal="right" vertical="center"/>
      <protection locked="0"/>
    </xf>
    <xf numFmtId="11" fontId="20" fillId="5" borderId="0" xfId="3" applyNumberFormat="1" applyFont="1" applyFill="1" applyProtection="1">
      <protection locked="0"/>
    </xf>
    <xf numFmtId="0" fontId="21" fillId="5" borderId="0" xfId="3" applyFont="1" applyFill="1" applyProtection="1">
      <protection locked="0"/>
    </xf>
    <xf numFmtId="0" fontId="18" fillId="0" borderId="15" xfId="1" applyFont="1" applyBorder="1" applyProtection="1">
      <protection locked="0"/>
    </xf>
    <xf numFmtId="0" fontId="4" fillId="0" borderId="0" xfId="1" applyAlignment="1" applyProtection="1">
      <alignment wrapText="1"/>
      <protection locked="0"/>
    </xf>
    <xf numFmtId="0" fontId="18" fillId="0" borderId="0" xfId="5" applyFont="1" applyProtection="1">
      <protection locked="0"/>
    </xf>
    <xf numFmtId="0" fontId="35" fillId="0" borderId="0" xfId="4" applyFont="1" applyProtection="1">
      <protection locked="0"/>
    </xf>
    <xf numFmtId="0" fontId="18" fillId="5" borderId="0" xfId="5" applyFont="1" applyFill="1" applyProtection="1">
      <protection locked="0"/>
    </xf>
    <xf numFmtId="0" fontId="19" fillId="0" borderId="0" xfId="1" applyFont="1" applyAlignment="1" applyProtection="1">
      <alignment horizontal="right" wrapText="1"/>
      <protection locked="0"/>
    </xf>
    <xf numFmtId="0" fontId="26" fillId="0" borderId="2" xfId="5" applyFont="1" applyBorder="1" applyAlignment="1" applyProtection="1">
      <alignment horizontal="left" wrapText="1"/>
      <protection locked="0"/>
    </xf>
    <xf numFmtId="0" fontId="36" fillId="0" borderId="2" xfId="9" applyBorder="1" applyAlignment="1" applyProtection="1">
      <alignment horizontal="left"/>
      <protection locked="0"/>
    </xf>
    <xf numFmtId="0" fontId="26" fillId="0" borderId="0" xfId="1" applyFont="1" applyAlignment="1" applyProtection="1">
      <alignment wrapText="1"/>
      <protection locked="0"/>
    </xf>
    <xf numFmtId="0" fontId="4" fillId="0" borderId="2" xfId="1" applyBorder="1" applyProtection="1">
      <protection locked="0"/>
    </xf>
    <xf numFmtId="0" fontId="19" fillId="0" borderId="2" xfId="1" applyFont="1" applyBorder="1" applyProtection="1">
      <protection locked="0"/>
    </xf>
    <xf numFmtId="0" fontId="37" fillId="0" borderId="16" xfId="9" applyFont="1" applyBorder="1" applyAlignment="1" applyProtection="1">
      <alignment horizontal="center"/>
      <protection locked="0"/>
    </xf>
    <xf numFmtId="0" fontId="16" fillId="0" borderId="0" xfId="1" applyFont="1" applyAlignment="1" applyProtection="1">
      <alignment wrapText="1"/>
      <protection locked="0"/>
    </xf>
    <xf numFmtId="3" fontId="19" fillId="0" borderId="2" xfId="1" applyNumberFormat="1" applyFont="1" applyBorder="1" applyProtection="1">
      <protection locked="0"/>
    </xf>
    <xf numFmtId="0" fontId="13" fillId="5" borderId="0" xfId="1" applyFont="1" applyFill="1" applyAlignment="1" applyProtection="1">
      <alignment horizontal="center"/>
      <protection locked="0"/>
    </xf>
    <xf numFmtId="0" fontId="25" fillId="5" borderId="0" xfId="1" applyFont="1" applyFill="1" applyProtection="1">
      <protection locked="0"/>
    </xf>
    <xf numFmtId="0" fontId="18" fillId="0" borderId="0" xfId="1" applyFont="1" applyAlignment="1" applyProtection="1">
      <alignment horizontal="right"/>
      <protection locked="0"/>
    </xf>
    <xf numFmtId="0" fontId="18" fillId="0" borderId="2" xfId="1" applyFont="1" applyBorder="1" applyProtection="1">
      <protection locked="0"/>
    </xf>
    <xf numFmtId="0" fontId="18" fillId="0" borderId="14" xfId="1" applyFont="1" applyBorder="1" applyProtection="1">
      <protection locked="0"/>
    </xf>
    <xf numFmtId="0" fontId="10" fillId="0" borderId="17" xfId="2" applyBorder="1" applyProtection="1">
      <protection locked="0"/>
    </xf>
    <xf numFmtId="0" fontId="18" fillId="0" borderId="18" xfId="1" applyFont="1" applyBorder="1" applyProtection="1">
      <protection locked="0"/>
    </xf>
    <xf numFmtId="0" fontId="18" fillId="0" borderId="18" xfId="3" applyFont="1" applyBorder="1" applyAlignment="1" applyProtection="1">
      <alignment horizontal="center" vertical="center"/>
      <protection locked="0"/>
    </xf>
    <xf numFmtId="0" fontId="18" fillId="0" borderId="19" xfId="1" applyFont="1" applyBorder="1" applyProtection="1">
      <protection locked="0"/>
    </xf>
    <xf numFmtId="0" fontId="26" fillId="0" borderId="3" xfId="5" applyFont="1" applyBorder="1" applyAlignment="1" applyProtection="1">
      <alignment horizontal="right" vertical="center"/>
      <protection locked="0"/>
    </xf>
    <xf numFmtId="0" fontId="36" fillId="0" borderId="20" xfId="9" applyBorder="1" applyAlignment="1" applyProtection="1">
      <alignment horizontal="center" vertical="center"/>
      <protection locked="0"/>
    </xf>
    <xf numFmtId="0" fontId="10" fillId="0" borderId="0" xfId="2" applyBorder="1" applyProtection="1">
      <protection locked="0"/>
    </xf>
    <xf numFmtId="0" fontId="38" fillId="0" borderId="0" xfId="3" applyFont="1" applyAlignment="1" applyProtection="1">
      <alignment horizontal="center"/>
      <protection locked="0"/>
    </xf>
    <xf numFmtId="0" fontId="9" fillId="0" borderId="0" xfId="3" applyFont="1" applyAlignment="1" applyProtection="1">
      <alignment horizontal="center" vertical="center"/>
      <protection locked="0"/>
    </xf>
    <xf numFmtId="172" fontId="19" fillId="0" borderId="2" xfId="1" applyNumberFormat="1" applyFont="1" applyBorder="1" applyProtection="1">
      <protection locked="0"/>
    </xf>
    <xf numFmtId="0" fontId="19" fillId="0" borderId="0" xfId="1" applyFont="1" applyProtection="1">
      <protection locked="0"/>
    </xf>
    <xf numFmtId="0" fontId="39" fillId="0" borderId="0" xfId="3" applyFont="1" applyAlignment="1" applyProtection="1">
      <alignment horizontal="right"/>
      <protection locked="0"/>
    </xf>
    <xf numFmtId="0" fontId="39" fillId="7" borderId="2" xfId="3" applyFont="1" applyFill="1" applyBorder="1" applyProtection="1">
      <protection locked="0"/>
    </xf>
    <xf numFmtId="0" fontId="39" fillId="0" borderId="0" xfId="3" applyFont="1" applyProtection="1">
      <protection locked="0"/>
    </xf>
    <xf numFmtId="0" fontId="39" fillId="8" borderId="2" xfId="3" applyFont="1" applyFill="1" applyBorder="1" applyProtection="1">
      <protection locked="0"/>
    </xf>
    <xf numFmtId="0" fontId="37" fillId="0" borderId="3" xfId="9" applyFont="1" applyBorder="1" applyAlignment="1" applyProtection="1">
      <alignment horizontal="right" vertical="center"/>
      <protection locked="0"/>
    </xf>
    <xf numFmtId="0" fontId="12" fillId="5" borderId="0" xfId="3" applyFont="1" applyFill="1" applyProtection="1">
      <protection locked="0"/>
    </xf>
    <xf numFmtId="0" fontId="40" fillId="0" borderId="0" xfId="10" applyFont="1" applyFill="1" applyProtection="1">
      <protection locked="0"/>
    </xf>
    <xf numFmtId="0" fontId="37" fillId="0" borderId="3" xfId="9" applyFont="1" applyBorder="1" applyAlignment="1" applyProtection="1">
      <alignment horizontal="center" vertical="center"/>
      <protection locked="0"/>
    </xf>
    <xf numFmtId="0" fontId="37" fillId="0" borderId="20" xfId="9" applyFont="1" applyBorder="1" applyAlignment="1" applyProtection="1">
      <alignment horizontal="center" vertical="center"/>
      <protection locked="0"/>
    </xf>
    <xf numFmtId="1" fontId="39" fillId="0" borderId="0" xfId="8" applyNumberFormat="1" applyFont="1" applyAlignment="1" applyProtection="1">
      <alignment horizontal="center" wrapText="1"/>
      <protection locked="0"/>
    </xf>
    <xf numFmtId="0" fontId="41" fillId="0" borderId="0" xfId="10" applyFont="1" applyFill="1" applyProtection="1">
      <protection locked="0"/>
    </xf>
    <xf numFmtId="1" fontId="21" fillId="0" borderId="0" xfId="8" applyNumberFormat="1" applyFont="1" applyAlignment="1" applyProtection="1">
      <alignment horizontal="center" wrapText="1"/>
      <protection locked="0"/>
    </xf>
    <xf numFmtId="0" fontId="42" fillId="9" borderId="0" xfId="3" applyFont="1" applyFill="1" applyProtection="1">
      <protection locked="0"/>
    </xf>
    <xf numFmtId="0" fontId="43" fillId="9" borderId="0" xfId="10" applyFont="1" applyFill="1" applyProtection="1">
      <protection locked="0"/>
    </xf>
    <xf numFmtId="0" fontId="44" fillId="9" borderId="0" xfId="3" applyFont="1" applyFill="1" applyAlignment="1" applyProtection="1">
      <alignment horizontal="center"/>
      <protection locked="0"/>
    </xf>
    <xf numFmtId="0" fontId="45" fillId="9" borderId="0" xfId="3" applyFont="1" applyFill="1" applyProtection="1">
      <protection locked="0"/>
    </xf>
    <xf numFmtId="1" fontId="46" fillId="9" borderId="0" xfId="8" applyNumberFormat="1" applyFont="1" applyFill="1" applyAlignment="1" applyProtection="1">
      <alignment horizontal="center" wrapText="1"/>
      <protection locked="0"/>
    </xf>
    <xf numFmtId="0" fontId="47" fillId="9" borderId="0" xfId="3" applyFont="1" applyFill="1" applyAlignment="1" applyProtection="1">
      <alignment horizontal="center"/>
      <protection locked="0"/>
    </xf>
    <xf numFmtId="0" fontId="15" fillId="5" borderId="0" xfId="3" applyFont="1" applyFill="1" applyAlignment="1" applyProtection="1">
      <alignment horizontal="right"/>
      <protection locked="0"/>
    </xf>
    <xf numFmtId="0" fontId="15" fillId="5" borderId="0" xfId="3" applyFont="1" applyFill="1" applyAlignment="1">
      <alignment horizontal="right"/>
    </xf>
    <xf numFmtId="0" fontId="38" fillId="5" borderId="0" xfId="3" applyFont="1" applyFill="1" applyAlignment="1" applyProtection="1">
      <alignment horizontal="left"/>
      <protection locked="0"/>
    </xf>
    <xf numFmtId="0" fontId="38" fillId="5" borderId="0" xfId="3" applyFont="1" applyFill="1" applyAlignment="1" applyProtection="1">
      <alignment horizontal="center"/>
      <protection locked="0"/>
    </xf>
    <xf numFmtId="0" fontId="39" fillId="5" borderId="0" xfId="3" applyFont="1" applyFill="1" applyProtection="1">
      <protection locked="0"/>
    </xf>
    <xf numFmtId="0" fontId="9" fillId="5" borderId="0" xfId="1" applyFont="1" applyFill="1" applyAlignment="1" applyProtection="1">
      <alignment wrapText="1"/>
      <protection locked="0"/>
    </xf>
    <xf numFmtId="0" fontId="48" fillId="5" borderId="0" xfId="1" applyFont="1" applyFill="1" applyAlignment="1" applyProtection="1">
      <alignment horizontal="center"/>
      <protection locked="0"/>
    </xf>
    <xf numFmtId="0" fontId="18" fillId="0" borderId="0" xfId="3" applyFont="1" applyProtection="1">
      <protection locked="0"/>
    </xf>
    <xf numFmtId="0" fontId="18" fillId="0" borderId="0" xfId="3" applyFont="1"/>
    <xf numFmtId="0" fontId="17" fillId="10" borderId="0" xfId="3" applyFont="1" applyFill="1" applyAlignment="1" applyProtection="1">
      <alignment horizontal="center" vertical="center"/>
      <protection locked="0"/>
    </xf>
    <xf numFmtId="0" fontId="35" fillId="0" borderId="0" xfId="3" applyFont="1" applyProtection="1">
      <protection locked="0"/>
    </xf>
    <xf numFmtId="0" fontId="25" fillId="0" borderId="0" xfId="3" applyFont="1" applyProtection="1">
      <protection locked="0"/>
    </xf>
    <xf numFmtId="0" fontId="25" fillId="0" borderId="0" xfId="1" applyFont="1"/>
    <xf numFmtId="0" fontId="25" fillId="0" borderId="0" xfId="1" applyFont="1" applyAlignment="1" applyProtection="1">
      <alignment horizontal="center" vertical="center" wrapText="1"/>
      <protection locked="0"/>
    </xf>
    <xf numFmtId="0" fontId="25" fillId="0" borderId="0" xfId="1" applyFont="1" applyAlignment="1" applyProtection="1">
      <alignment horizontal="left" vertical="center"/>
      <protection locked="0"/>
    </xf>
    <xf numFmtId="0" fontId="25" fillId="0" borderId="0" xfId="1" applyFont="1" applyAlignment="1" applyProtection="1">
      <alignment horizontal="left" vertical="center" wrapText="1"/>
      <protection locked="0"/>
    </xf>
    <xf numFmtId="0" fontId="49" fillId="11" borderId="18" xfId="1" applyFont="1" applyFill="1" applyBorder="1" applyAlignment="1" applyProtection="1">
      <alignment horizontal="center" vertical="center" wrapText="1"/>
      <protection locked="0"/>
    </xf>
    <xf numFmtId="0" fontId="49" fillId="0" borderId="18" xfId="1" applyFont="1" applyBorder="1" applyAlignment="1" applyProtection="1">
      <alignment horizontal="left" vertical="center" wrapText="1"/>
      <protection locked="0"/>
    </xf>
    <xf numFmtId="0" fontId="49" fillId="12" borderId="18" xfId="1" applyFont="1" applyFill="1" applyBorder="1" applyAlignment="1" applyProtection="1">
      <alignment horizontal="left" vertical="center" wrapText="1"/>
      <protection locked="0"/>
    </xf>
    <xf numFmtId="0" fontId="49" fillId="0" borderId="18" xfId="1" applyFont="1" applyBorder="1" applyAlignment="1" applyProtection="1">
      <alignment horizontal="left" vertical="center"/>
      <protection locked="0"/>
    </xf>
    <xf numFmtId="0" fontId="20" fillId="0" borderId="18" xfId="3" applyFont="1" applyBorder="1" applyAlignment="1" applyProtection="1">
      <alignment horizontal="left" vertical="center"/>
      <protection locked="0"/>
    </xf>
    <xf numFmtId="0" fontId="49" fillId="0" borderId="0" xfId="1" applyFont="1" applyAlignment="1" applyProtection="1">
      <alignment horizontal="left" vertical="center"/>
      <protection locked="0"/>
    </xf>
    <xf numFmtId="0" fontId="20" fillId="0" borderId="0" xfId="3" applyFont="1" applyAlignment="1" applyProtection="1">
      <alignment horizontal="left" vertical="center"/>
      <protection locked="0"/>
    </xf>
    <xf numFmtId="0" fontId="20" fillId="0" borderId="0" xfId="3" applyFont="1" applyAlignment="1" applyProtection="1">
      <alignment horizontal="left" vertical="center" wrapText="1"/>
      <protection locked="0"/>
    </xf>
    <xf numFmtId="0" fontId="25" fillId="0" borderId="0" xfId="8" applyFont="1" applyAlignment="1">
      <alignment horizontal="left" vertical="center" wrapText="1"/>
    </xf>
    <xf numFmtId="0" fontId="20" fillId="0" borderId="0" xfId="8" applyFont="1" applyAlignment="1" applyProtection="1">
      <alignment horizontal="left" vertical="center" wrapText="1"/>
      <protection locked="0"/>
    </xf>
    <xf numFmtId="0" fontId="25" fillId="0" borderId="0" xfId="11" applyFont="1" applyAlignment="1" applyProtection="1">
      <alignment horizontal="left" vertical="center" wrapText="1"/>
      <protection locked="0"/>
    </xf>
    <xf numFmtId="0" fontId="25" fillId="0" borderId="0" xfId="8" applyFont="1" applyAlignment="1" applyProtection="1">
      <alignment horizontal="left" vertical="center" wrapText="1"/>
      <protection locked="0"/>
    </xf>
    <xf numFmtId="0" fontId="50" fillId="7" borderId="21" xfId="1" applyFont="1" applyFill="1" applyBorder="1"/>
    <xf numFmtId="0" fontId="18" fillId="13" borderId="2" xfId="1" applyFont="1" applyFill="1" applyBorder="1" applyProtection="1">
      <protection locked="0"/>
    </xf>
    <xf numFmtId="0" fontId="10" fillId="14" borderId="21" xfId="2" quotePrefix="1" applyFill="1" applyBorder="1" applyProtection="1">
      <protection locked="0"/>
    </xf>
    <xf numFmtId="0" fontId="50" fillId="14" borderId="21" xfId="1" applyFont="1" applyFill="1" applyBorder="1" applyProtection="1">
      <protection locked="0"/>
    </xf>
    <xf numFmtId="1" fontId="50" fillId="13" borderId="21" xfId="1" applyNumberFormat="1" applyFont="1" applyFill="1" applyBorder="1" applyAlignment="1" applyProtection="1">
      <alignment horizontal="center"/>
      <protection locked="0"/>
    </xf>
    <xf numFmtId="0" fontId="18" fillId="13" borderId="2" xfId="3" applyFont="1" applyFill="1" applyBorder="1" applyProtection="1">
      <protection locked="0"/>
    </xf>
    <xf numFmtId="11" fontId="50" fillId="13" borderId="2" xfId="1" applyNumberFormat="1" applyFont="1" applyFill="1" applyBorder="1" applyProtection="1">
      <protection locked="0"/>
    </xf>
    <xf numFmtId="0" fontId="50" fillId="13" borderId="10" xfId="1" applyFont="1" applyFill="1" applyBorder="1" applyAlignment="1" applyProtection="1">
      <alignment horizontal="right" indent="1"/>
      <protection locked="0"/>
    </xf>
    <xf numFmtId="168" fontId="21" fillId="13" borderId="10" xfId="3" applyNumberFormat="1" applyFont="1" applyFill="1" applyBorder="1" applyProtection="1">
      <protection locked="0"/>
    </xf>
    <xf numFmtId="0" fontId="50" fillId="7" borderId="10" xfId="1" applyFont="1" applyFill="1" applyBorder="1" applyProtection="1">
      <protection locked="0"/>
    </xf>
    <xf numFmtId="0" fontId="50" fillId="13" borderId="10" xfId="1" applyFont="1" applyFill="1" applyBorder="1" applyProtection="1">
      <protection locked="0"/>
    </xf>
    <xf numFmtId="0" fontId="50" fillId="13" borderId="2" xfId="1" applyFont="1" applyFill="1" applyBorder="1" applyProtection="1">
      <protection locked="0"/>
    </xf>
    <xf numFmtId="0" fontId="18" fillId="8" borderId="2" xfId="1" applyFont="1" applyFill="1" applyBorder="1" applyAlignment="1" applyProtection="1">
      <alignment wrapText="1"/>
      <protection locked="0"/>
    </xf>
    <xf numFmtId="173" fontId="50" fillId="7" borderId="21" xfId="6" applyNumberFormat="1" applyFont="1" applyFill="1" applyBorder="1" applyProtection="1"/>
    <xf numFmtId="2" fontId="18" fillId="7" borderId="2" xfId="4" applyNumberFormat="1" applyFont="1" applyFill="1" applyBorder="1"/>
    <xf numFmtId="168" fontId="50" fillId="7" borderId="21" xfId="1" applyNumberFormat="1" applyFont="1" applyFill="1" applyBorder="1"/>
    <xf numFmtId="168" fontId="50" fillId="7" borderId="21" xfId="1" applyNumberFormat="1" applyFont="1" applyFill="1" applyBorder="1" applyProtection="1">
      <protection locked="0"/>
    </xf>
    <xf numFmtId="168" fontId="50" fillId="15" borderId="2" xfId="1" applyNumberFormat="1" applyFont="1" applyFill="1" applyBorder="1" applyProtection="1">
      <protection locked="0"/>
    </xf>
    <xf numFmtId="168" fontId="50" fillId="16" borderId="21" xfId="1" applyNumberFormat="1" applyFont="1" applyFill="1" applyBorder="1" applyProtection="1">
      <protection locked="0"/>
    </xf>
    <xf numFmtId="168" fontId="50" fillId="0" borderId="22" xfId="1" applyNumberFormat="1" applyFont="1" applyBorder="1" applyProtection="1">
      <protection locked="0"/>
    </xf>
    <xf numFmtId="168" fontId="21" fillId="13" borderId="2" xfId="3" applyNumberFormat="1" applyFont="1" applyFill="1" applyBorder="1" applyProtection="1">
      <protection locked="0"/>
    </xf>
    <xf numFmtId="168" fontId="50" fillId="0" borderId="0" xfId="1" applyNumberFormat="1" applyFont="1" applyProtection="1">
      <protection locked="0"/>
    </xf>
    <xf numFmtId="2" fontId="50" fillId="13" borderId="2" xfId="1" applyNumberFormat="1" applyFont="1" applyFill="1" applyBorder="1" applyProtection="1">
      <protection locked="0"/>
    </xf>
    <xf numFmtId="11" fontId="21" fillId="13" borderId="2" xfId="12" applyNumberFormat="1" applyFont="1" applyFill="1" applyBorder="1" applyProtection="1">
      <protection locked="0"/>
    </xf>
    <xf numFmtId="1" fontId="18" fillId="13" borderId="2" xfId="8" applyNumberFormat="1" applyFont="1" applyFill="1" applyBorder="1" applyAlignment="1" applyProtection="1">
      <alignment horizontal="center"/>
      <protection locked="0"/>
    </xf>
    <xf numFmtId="0" fontId="21" fillId="13" borderId="2" xfId="3" applyFont="1" applyFill="1" applyBorder="1" applyProtection="1">
      <protection locked="0"/>
    </xf>
    <xf numFmtId="0" fontId="21" fillId="13" borderId="2" xfId="12" applyFont="1" applyFill="1" applyBorder="1" applyProtection="1">
      <protection locked="0"/>
    </xf>
    <xf numFmtId="10" fontId="21" fillId="13" borderId="2" xfId="12" applyNumberFormat="1" applyFont="1" applyFill="1" applyBorder="1" applyProtection="1">
      <protection locked="0"/>
    </xf>
    <xf numFmtId="0" fontId="51" fillId="7" borderId="2" xfId="1" applyFont="1" applyFill="1" applyBorder="1"/>
    <xf numFmtId="0" fontId="25" fillId="0" borderId="0" xfId="3" applyFont="1" applyAlignment="1" applyProtection="1">
      <alignment horizontal="right"/>
      <protection locked="0"/>
    </xf>
    <xf numFmtId="167" fontId="25" fillId="7" borderId="2" xfId="3" applyNumberFormat="1" applyFont="1" applyFill="1" applyBorder="1" applyAlignment="1">
      <alignment horizontal="center"/>
    </xf>
    <xf numFmtId="169" fontId="25" fillId="7" borderId="2" xfId="3" applyNumberFormat="1" applyFont="1" applyFill="1" applyBorder="1" applyAlignment="1">
      <alignment horizontal="center"/>
    </xf>
    <xf numFmtId="43" fontId="25" fillId="7" borderId="2" xfId="3" applyNumberFormat="1" applyFont="1" applyFill="1" applyBorder="1" applyAlignment="1">
      <alignment horizontal="center"/>
    </xf>
    <xf numFmtId="0" fontId="25" fillId="5" borderId="0" xfId="3" applyFont="1" applyFill="1" applyAlignment="1" applyProtection="1">
      <alignment horizontal="right"/>
      <protection locked="0"/>
    </xf>
    <xf numFmtId="167" fontId="25" fillId="17" borderId="23" xfId="3" applyNumberFormat="1" applyFont="1" applyFill="1" applyBorder="1" applyAlignment="1" applyProtection="1">
      <alignment horizontal="center"/>
      <protection locked="0"/>
    </xf>
    <xf numFmtId="0" fontId="52" fillId="0" borderId="0" xfId="3" applyFont="1" applyAlignment="1" applyProtection="1">
      <alignment vertical="center" wrapText="1"/>
      <protection locked="0"/>
    </xf>
    <xf numFmtId="0" fontId="18" fillId="10" borderId="24" xfId="3" applyFont="1" applyFill="1" applyBorder="1" applyAlignment="1" applyProtection="1">
      <alignment horizontal="center" vertical="center" wrapText="1"/>
      <protection locked="0"/>
    </xf>
    <xf numFmtId="0" fontId="18" fillId="10" borderId="25" xfId="3" applyFont="1" applyFill="1" applyBorder="1" applyAlignment="1" applyProtection="1">
      <alignment horizontal="center" vertical="center" wrapText="1"/>
      <protection locked="0"/>
    </xf>
    <xf numFmtId="0" fontId="18" fillId="10" borderId="26" xfId="3" applyFont="1" applyFill="1" applyBorder="1" applyAlignment="1" applyProtection="1">
      <alignment horizontal="center" vertical="center" wrapText="1"/>
      <protection locked="0"/>
    </xf>
    <xf numFmtId="0" fontId="53" fillId="0" borderId="0" xfId="1" applyFont="1"/>
    <xf numFmtId="0" fontId="18" fillId="0" borderId="0" xfId="3" applyFont="1" applyAlignment="1" applyProtection="1">
      <alignment horizontal="right"/>
      <protection locked="0"/>
    </xf>
    <xf numFmtId="167" fontId="18" fillId="7" borderId="2" xfId="3" applyNumberFormat="1" applyFont="1" applyFill="1" applyBorder="1" applyAlignment="1">
      <alignment horizontal="center"/>
    </xf>
    <xf numFmtId="0" fontId="21" fillId="8" borderId="2" xfId="3" applyFont="1" applyFill="1" applyBorder="1" applyAlignment="1" applyProtection="1">
      <alignment horizontal="center"/>
      <protection locked="0"/>
    </xf>
    <xf numFmtId="0" fontId="4" fillId="0" borderId="0" xfId="1"/>
    <xf numFmtId="0" fontId="18" fillId="5" borderId="0" xfId="3" applyFont="1" applyFill="1" applyAlignment="1" applyProtection="1">
      <alignment horizontal="right"/>
      <protection locked="0"/>
    </xf>
    <xf numFmtId="167" fontId="18" fillId="17" borderId="2" xfId="3" applyNumberFormat="1" applyFont="1" applyFill="1" applyBorder="1" applyAlignment="1" applyProtection="1">
      <alignment horizontal="center"/>
      <protection locked="0"/>
    </xf>
    <xf numFmtId="0" fontId="52" fillId="0" borderId="0" xfId="3" applyFont="1" applyAlignment="1" applyProtection="1">
      <alignment vertical="center"/>
      <protection locked="0"/>
    </xf>
    <xf numFmtId="0" fontId="18" fillId="10" borderId="27" xfId="3" applyFont="1" applyFill="1" applyBorder="1" applyAlignment="1" applyProtection="1">
      <alignment horizontal="center" vertical="center" wrapText="1"/>
      <protection locked="0"/>
    </xf>
    <xf numFmtId="0" fontId="18" fillId="10" borderId="0" xfId="3" applyFont="1" applyFill="1" applyAlignment="1" applyProtection="1">
      <alignment horizontal="center" vertical="center" wrapText="1"/>
      <protection locked="0"/>
    </xf>
    <xf numFmtId="0" fontId="18" fillId="10" borderId="3" xfId="3" applyFont="1" applyFill="1" applyBorder="1" applyAlignment="1" applyProtection="1">
      <alignment horizontal="center" vertical="center" wrapText="1"/>
      <protection locked="0"/>
    </xf>
    <xf numFmtId="0" fontId="4" fillId="8" borderId="2" xfId="1" applyFill="1" applyBorder="1" applyAlignment="1">
      <alignment horizontal="center" vertical="center"/>
    </xf>
    <xf numFmtId="0" fontId="21" fillId="0" borderId="0" xfId="3" applyFont="1" applyAlignment="1" applyProtection="1">
      <alignment horizontal="right" vertical="center"/>
      <protection locked="0"/>
    </xf>
    <xf numFmtId="0" fontId="21" fillId="0" borderId="3" xfId="3" applyFont="1" applyBorder="1" applyAlignment="1" applyProtection="1">
      <alignment horizontal="right" vertical="center"/>
      <protection locked="0"/>
    </xf>
    <xf numFmtId="0" fontId="21" fillId="16" borderId="2" xfId="3" applyFont="1" applyFill="1" applyBorder="1" applyAlignment="1" applyProtection="1">
      <alignment horizontal="center"/>
      <protection locked="0"/>
    </xf>
    <xf numFmtId="0" fontId="34" fillId="0" borderId="0" xfId="2" applyFont="1" applyBorder="1" applyAlignment="1" applyProtection="1">
      <alignment horizontal="left" indent="1"/>
      <protection locked="0"/>
    </xf>
    <xf numFmtId="0" fontId="34" fillId="0" borderId="0" xfId="2" applyFont="1" applyBorder="1" applyAlignment="1" applyProtection="1">
      <alignment horizontal="left" indent="1"/>
    </xf>
    <xf numFmtId="1" fontId="18" fillId="7" borderId="2" xfId="3" applyNumberFormat="1" applyFont="1" applyFill="1" applyBorder="1" applyAlignment="1">
      <alignment horizontal="center"/>
    </xf>
    <xf numFmtId="0" fontId="20" fillId="0" borderId="0" xfId="3" applyFont="1" applyAlignment="1" applyProtection="1">
      <alignment horizontal="left"/>
      <protection locked="0"/>
    </xf>
    <xf numFmtId="0" fontId="21" fillId="10" borderId="24" xfId="3" applyFont="1" applyFill="1" applyBorder="1" applyProtection="1">
      <protection locked="0"/>
    </xf>
    <xf numFmtId="0" fontId="21" fillId="10" borderId="25" xfId="3" applyFont="1" applyFill="1" applyBorder="1" applyProtection="1">
      <protection locked="0"/>
    </xf>
    <xf numFmtId="0" fontId="21" fillId="10" borderId="26" xfId="3" applyFont="1" applyFill="1" applyBorder="1" applyProtection="1">
      <protection locked="0"/>
    </xf>
    <xf numFmtId="0" fontId="18" fillId="10" borderId="28" xfId="3" applyFont="1" applyFill="1" applyBorder="1" applyAlignment="1" applyProtection="1">
      <alignment horizontal="center" vertical="center" wrapText="1"/>
      <protection locked="0"/>
    </xf>
    <xf numFmtId="0" fontId="18" fillId="10" borderId="1" xfId="3" applyFont="1" applyFill="1" applyBorder="1" applyAlignment="1" applyProtection="1">
      <alignment horizontal="center" vertical="center" wrapText="1"/>
      <protection locked="0"/>
    </xf>
    <xf numFmtId="0" fontId="18" fillId="10" borderId="5" xfId="3" applyFont="1" applyFill="1" applyBorder="1" applyAlignment="1" applyProtection="1">
      <alignment horizontal="center" vertical="center" wrapText="1"/>
      <protection locked="0"/>
    </xf>
    <xf numFmtId="0" fontId="20" fillId="0" borderId="0" xfId="3" applyFont="1" applyAlignment="1" applyProtection="1">
      <alignment horizontal="center" vertical="center"/>
      <protection locked="0"/>
    </xf>
    <xf numFmtId="0" fontId="21" fillId="10" borderId="27" xfId="3" applyFont="1" applyFill="1" applyBorder="1" applyProtection="1">
      <protection locked="0"/>
    </xf>
    <xf numFmtId="0" fontId="21" fillId="10" borderId="0" xfId="3" applyFont="1" applyFill="1" applyProtection="1">
      <protection locked="0"/>
    </xf>
    <xf numFmtId="0" fontId="21" fillId="10" borderId="3" xfId="3" applyFont="1" applyFill="1" applyBorder="1" applyProtection="1">
      <protection locked="0"/>
    </xf>
    <xf numFmtId="0" fontId="18" fillId="16" borderId="2" xfId="3" applyFont="1" applyFill="1" applyBorder="1" applyProtection="1">
      <protection locked="0"/>
    </xf>
    <xf numFmtId="0" fontId="18" fillId="0" borderId="0" xfId="2" applyFont="1" applyBorder="1" applyAlignment="1" applyProtection="1">
      <alignment horizontal="left"/>
      <protection locked="0"/>
    </xf>
    <xf numFmtId="0" fontId="18" fillId="0" borderId="0" xfId="2" applyFont="1" applyBorder="1" applyAlignment="1" applyProtection="1">
      <alignment horizontal="left"/>
    </xf>
    <xf numFmtId="0" fontId="21" fillId="8" borderId="2" xfId="3" applyFont="1" applyFill="1" applyBorder="1" applyAlignment="1" applyProtection="1">
      <alignment horizontal="center" vertical="center"/>
      <protection locked="0"/>
    </xf>
    <xf numFmtId="0" fontId="21" fillId="10" borderId="28" xfId="3" applyFont="1" applyFill="1" applyBorder="1" applyProtection="1">
      <protection locked="0"/>
    </xf>
    <xf numFmtId="0" fontId="21" fillId="10" borderId="1" xfId="3" applyFont="1" applyFill="1" applyBorder="1" applyProtection="1">
      <protection locked="0"/>
    </xf>
    <xf numFmtId="0" fontId="21" fillId="10" borderId="5" xfId="3" applyFont="1" applyFill="1" applyBorder="1" applyProtection="1">
      <protection locked="0"/>
    </xf>
    <xf numFmtId="0" fontId="42" fillId="9" borderId="0" xfId="3" applyFont="1" applyFill="1"/>
    <xf numFmtId="0" fontId="47" fillId="0" borderId="0" xfId="3" applyFont="1" applyProtection="1">
      <protection locked="0"/>
    </xf>
    <xf numFmtId="0" fontId="15" fillId="5" borderId="0" xfId="3" applyFont="1" applyFill="1" applyProtection="1">
      <protection locked="0"/>
    </xf>
    <xf numFmtId="0" fontId="39" fillId="5" borderId="0" xfId="3" applyFont="1" applyFill="1" applyAlignment="1" applyProtection="1">
      <alignment wrapText="1"/>
      <protection locked="0"/>
    </xf>
    <xf numFmtId="0" fontId="54" fillId="5" borderId="0" xfId="3" applyFont="1" applyFill="1" applyProtection="1">
      <protection locked="0"/>
    </xf>
    <xf numFmtId="0" fontId="55" fillId="5" borderId="0" xfId="1" applyFont="1" applyFill="1" applyProtection="1">
      <protection locked="0"/>
    </xf>
    <xf numFmtId="0" fontId="25" fillId="0" borderId="0" xfId="3" applyFont="1" applyAlignment="1" applyProtection="1">
      <alignment horizontal="left" vertical="center"/>
      <protection locked="0"/>
    </xf>
    <xf numFmtId="0" fontId="25" fillId="0" borderId="0" xfId="3" applyFont="1" applyAlignment="1" applyProtection="1">
      <alignment horizontal="center" vertical="center" wrapText="1"/>
      <protection locked="0"/>
    </xf>
    <xf numFmtId="0" fontId="25" fillId="0" borderId="0" xfId="8" applyFont="1" applyAlignment="1" applyProtection="1">
      <alignment horizontal="left" vertical="center"/>
      <protection locked="0"/>
    </xf>
    <xf numFmtId="0" fontId="25" fillId="0" borderId="0" xfId="8" applyFont="1" applyAlignment="1" applyProtection="1">
      <alignment horizontal="center" vertical="center" wrapText="1"/>
      <protection locked="0"/>
    </xf>
    <xf numFmtId="0" fontId="49" fillId="13" borderId="18" xfId="1" applyFont="1" applyFill="1" applyBorder="1" applyAlignment="1" applyProtection="1">
      <alignment horizontal="center" vertical="center" wrapText="1"/>
      <protection locked="0"/>
    </xf>
    <xf numFmtId="0" fontId="49" fillId="7" borderId="18" xfId="1" applyFont="1" applyFill="1" applyBorder="1" applyAlignment="1" applyProtection="1">
      <alignment horizontal="left" vertical="center" wrapText="1"/>
      <protection locked="0"/>
    </xf>
    <xf numFmtId="0" fontId="20" fillId="5" borderId="0" xfId="3" applyFont="1" applyFill="1" applyAlignment="1" applyProtection="1">
      <alignment horizontal="left" vertical="center"/>
      <protection locked="0"/>
    </xf>
    <xf numFmtId="168" fontId="50" fillId="15" borderId="21" xfId="1" applyNumberFormat="1" applyFont="1" applyFill="1" applyBorder="1" applyProtection="1">
      <protection locked="0"/>
    </xf>
    <xf numFmtId="0" fontId="25" fillId="0" borderId="0" xfId="3" applyFont="1" applyAlignment="1" applyProtection="1">
      <alignment horizontal="right" wrapText="1"/>
      <protection locked="0"/>
    </xf>
    <xf numFmtId="0" fontId="18" fillId="0" borderId="0" xfId="3" applyFont="1" applyAlignment="1" applyProtection="1">
      <alignment horizontal="right" wrapText="1"/>
      <protection locked="0"/>
    </xf>
    <xf numFmtId="167" fontId="25" fillId="17" borderId="2" xfId="3" applyNumberFormat="1" applyFont="1" applyFill="1" applyBorder="1" applyAlignment="1" applyProtection="1">
      <alignment horizontal="center"/>
      <protection locked="0"/>
    </xf>
    <xf numFmtId="0" fontId="21" fillId="0" borderId="3" xfId="3" applyFont="1" applyBorder="1" applyAlignment="1" applyProtection="1">
      <alignment horizontal="right" vertical="center"/>
      <protection locked="0"/>
    </xf>
    <xf numFmtId="0" fontId="21" fillId="0" borderId="0" xfId="3" applyFont="1" applyAlignment="1" applyProtection="1">
      <alignment horizontal="right" wrapText="1"/>
      <protection locked="0"/>
    </xf>
    <xf numFmtId="174" fontId="18" fillId="7" borderId="2" xfId="3" applyNumberFormat="1" applyFont="1" applyFill="1" applyBorder="1"/>
    <xf numFmtId="0" fontId="21" fillId="0" borderId="0" xfId="3" applyFont="1" applyAlignment="1" applyProtection="1">
      <alignment wrapText="1"/>
      <protection locked="0"/>
    </xf>
    <xf numFmtId="175" fontId="50" fillId="13" borderId="2" xfId="6" applyNumberFormat="1" applyFont="1" applyFill="1" applyBorder="1" applyProtection="1">
      <protection locked="0"/>
    </xf>
    <xf numFmtId="175" fontId="21" fillId="13" borderId="2" xfId="6" applyNumberFormat="1" applyFont="1" applyFill="1" applyBorder="1" applyProtection="1">
      <protection locked="0"/>
    </xf>
    <xf numFmtId="0" fontId="18" fillId="0" borderId="0" xfId="3" applyFont="1" applyAlignment="1" applyProtection="1">
      <alignment horizontal="center"/>
      <protection locked="0"/>
    </xf>
    <xf numFmtId="0" fontId="15" fillId="5" borderId="0" xfId="3" applyFont="1" applyFill="1" applyAlignment="1" applyProtection="1">
      <alignment horizontal="center"/>
      <protection locked="0"/>
    </xf>
    <xf numFmtId="0" fontId="21" fillId="5" borderId="0" xfId="3" applyFont="1" applyFill="1" applyAlignment="1" applyProtection="1">
      <alignment wrapText="1"/>
      <protection locked="0"/>
    </xf>
    <xf numFmtId="175" fontId="21" fillId="13" borderId="2" xfId="6" applyNumberFormat="1" applyFont="1" applyFill="1" applyBorder="1" applyAlignment="1" applyProtection="1">
      <alignment vertical="center"/>
      <protection locked="0"/>
    </xf>
    <xf numFmtId="3" fontId="21" fillId="13" borderId="2" xfId="3" applyNumberFormat="1" applyFont="1" applyFill="1" applyBorder="1" applyProtection="1">
      <protection locked="0"/>
    </xf>
    <xf numFmtId="0" fontId="18" fillId="10" borderId="24" xfId="7" applyFont="1" applyFill="1" applyBorder="1" applyAlignment="1" applyProtection="1">
      <alignment horizontal="center" vertical="center" wrapText="1"/>
      <protection locked="0"/>
    </xf>
    <xf numFmtId="0" fontId="18" fillId="10" borderId="25" xfId="7" applyFont="1" applyFill="1" applyBorder="1" applyAlignment="1" applyProtection="1">
      <alignment horizontal="center" vertical="center" wrapText="1"/>
      <protection locked="0"/>
    </xf>
    <xf numFmtId="0" fontId="18" fillId="10" borderId="26" xfId="7" applyFont="1" applyFill="1" applyBorder="1" applyAlignment="1" applyProtection="1">
      <alignment horizontal="center" vertical="center" wrapText="1"/>
      <protection locked="0"/>
    </xf>
    <xf numFmtId="0" fontId="18" fillId="10" borderId="27" xfId="7" applyFont="1" applyFill="1" applyBorder="1" applyAlignment="1" applyProtection="1">
      <alignment horizontal="center" vertical="center" wrapText="1"/>
      <protection locked="0"/>
    </xf>
    <xf numFmtId="0" fontId="18" fillId="10" borderId="0" xfId="7" applyFont="1" applyFill="1" applyAlignment="1" applyProtection="1">
      <alignment horizontal="center" vertical="center" wrapText="1"/>
      <protection locked="0"/>
    </xf>
    <xf numFmtId="0" fontId="18" fillId="10" borderId="3" xfId="7" applyFont="1" applyFill="1" applyBorder="1" applyAlignment="1" applyProtection="1">
      <alignment horizontal="center" vertical="center" wrapText="1"/>
      <protection locked="0"/>
    </xf>
    <xf numFmtId="0" fontId="18" fillId="10" borderId="28" xfId="7" applyFont="1" applyFill="1" applyBorder="1" applyAlignment="1" applyProtection="1">
      <alignment horizontal="center" vertical="center" wrapText="1"/>
      <protection locked="0"/>
    </xf>
    <xf numFmtId="0" fontId="18" fillId="10" borderId="1" xfId="7" applyFont="1" applyFill="1" applyBorder="1" applyAlignment="1" applyProtection="1">
      <alignment horizontal="center" vertical="center" wrapText="1"/>
      <protection locked="0"/>
    </xf>
    <xf numFmtId="0" fontId="18" fillId="10" borderId="5" xfId="7" applyFont="1" applyFill="1" applyBorder="1" applyAlignment="1" applyProtection="1">
      <alignment horizontal="center" vertical="center" wrapText="1"/>
      <protection locked="0"/>
    </xf>
    <xf numFmtId="0" fontId="33" fillId="5" borderId="0" xfId="3" applyFont="1" applyFill="1" applyAlignment="1" applyProtection="1">
      <alignment horizontal="center"/>
      <protection locked="0"/>
    </xf>
    <xf numFmtId="0" fontId="50" fillId="13" borderId="21" xfId="1" applyFont="1" applyFill="1" applyBorder="1" applyProtection="1">
      <protection locked="0"/>
    </xf>
    <xf numFmtId="0" fontId="56" fillId="13" borderId="2" xfId="1" applyFont="1" applyFill="1" applyBorder="1"/>
    <xf numFmtId="1" fontId="50" fillId="13" borderId="2" xfId="1" applyNumberFormat="1" applyFont="1" applyFill="1" applyBorder="1" applyAlignment="1" applyProtection="1">
      <alignment horizontal="center"/>
      <protection locked="0"/>
    </xf>
    <xf numFmtId="11" fontId="50" fillId="13" borderId="2" xfId="1" applyNumberFormat="1" applyFont="1" applyFill="1" applyBorder="1"/>
    <xf numFmtId="0" fontId="50" fillId="13" borderId="2" xfId="1" applyFont="1" applyFill="1" applyBorder="1" applyAlignment="1" applyProtection="1">
      <alignment horizontal="right" indent="1"/>
      <protection locked="0"/>
    </xf>
    <xf numFmtId="43" fontId="21" fillId="13" borderId="2" xfId="3" applyNumberFormat="1" applyFont="1" applyFill="1" applyBorder="1" applyProtection="1">
      <protection locked="0"/>
    </xf>
    <xf numFmtId="0" fontId="50" fillId="7" borderId="2" xfId="1" applyFont="1" applyFill="1" applyBorder="1" applyProtection="1">
      <protection locked="0"/>
    </xf>
    <xf numFmtId="11" fontId="50" fillId="13" borderId="2" xfId="6" applyNumberFormat="1" applyFont="1" applyFill="1" applyBorder="1" applyProtection="1">
      <protection locked="0"/>
    </xf>
    <xf numFmtId="2" fontId="21" fillId="13" borderId="2" xfId="3" applyNumberFormat="1" applyFont="1" applyFill="1" applyBorder="1" applyProtection="1">
      <protection locked="0"/>
    </xf>
    <xf numFmtId="11" fontId="21" fillId="13" borderId="2" xfId="3" applyNumberFormat="1" applyFont="1" applyFill="1" applyBorder="1" applyProtection="1">
      <protection locked="0"/>
    </xf>
    <xf numFmtId="0" fontId="21" fillId="13" borderId="2" xfId="3" applyFont="1" applyFill="1" applyBorder="1" applyAlignment="1" applyProtection="1">
      <alignment horizontal="right" indent="1"/>
      <protection locked="0"/>
    </xf>
    <xf numFmtId="1" fontId="18" fillId="13" borderId="2" xfId="13" applyNumberFormat="1" applyFont="1" applyFill="1" applyBorder="1" applyAlignment="1" applyProtection="1">
      <alignment horizontal="center"/>
      <protection locked="0"/>
    </xf>
    <xf numFmtId="0" fontId="18" fillId="13" borderId="2" xfId="1" applyFont="1" applyFill="1" applyBorder="1"/>
    <xf numFmtId="0" fontId="25" fillId="7" borderId="2" xfId="3" applyFont="1" applyFill="1" applyBorder="1" applyAlignment="1">
      <alignment horizontal="center"/>
    </xf>
    <xf numFmtId="43" fontId="20" fillId="0" borderId="0" xfId="3" applyNumberFormat="1" applyFont="1" applyProtection="1">
      <protection locked="0"/>
    </xf>
    <xf numFmtId="43" fontId="21" fillId="0" borderId="0" xfId="3" applyNumberFormat="1" applyFont="1" applyProtection="1">
      <protection locked="0"/>
    </xf>
    <xf numFmtId="0" fontId="54" fillId="0" borderId="0" xfId="3" applyFont="1" applyProtection="1">
      <protection locked="0"/>
    </xf>
    <xf numFmtId="0" fontId="55" fillId="0" borderId="0" xfId="1" applyFont="1" applyProtection="1">
      <protection locked="0"/>
    </xf>
    <xf numFmtId="0" fontId="18" fillId="5" borderId="0" xfId="1" applyFont="1" applyFill="1" applyAlignment="1" applyProtection="1">
      <alignment wrapText="1"/>
      <protection locked="0"/>
    </xf>
    <xf numFmtId="43" fontId="50" fillId="13" borderId="2" xfId="1" applyNumberFormat="1" applyFont="1" applyFill="1" applyBorder="1" applyProtection="1">
      <protection locked="0"/>
    </xf>
    <xf numFmtId="0" fontId="50" fillId="11" borderId="2" xfId="1" applyFont="1" applyFill="1" applyBorder="1" applyProtection="1">
      <protection locked="0"/>
    </xf>
    <xf numFmtId="0" fontId="50" fillId="11" borderId="10" xfId="1" applyFont="1" applyFill="1" applyBorder="1" applyProtection="1">
      <protection locked="0"/>
    </xf>
    <xf numFmtId="0" fontId="10" fillId="13" borderId="2" xfId="2" applyFill="1" applyBorder="1" applyProtection="1">
      <protection locked="0"/>
    </xf>
    <xf numFmtId="0" fontId="50" fillId="14" borderId="2" xfId="1" applyFont="1" applyFill="1" applyBorder="1" applyProtection="1">
      <protection locked="0"/>
    </xf>
    <xf numFmtId="0" fontId="9" fillId="0" borderId="0" xfId="1" applyFont="1"/>
    <xf numFmtId="0" fontId="9" fillId="0" borderId="0" xfId="1" applyFont="1" applyAlignment="1" applyProtection="1">
      <alignment wrapText="1"/>
      <protection locked="0"/>
    </xf>
    <xf numFmtId="0" fontId="57" fillId="9" borderId="0" xfId="1" applyFont="1" applyFill="1" applyProtection="1">
      <protection locked="0"/>
    </xf>
    <xf numFmtId="0" fontId="57" fillId="9" borderId="0" xfId="1" applyFont="1" applyFill="1"/>
    <xf numFmtId="0" fontId="58" fillId="9" borderId="0" xfId="1" applyFont="1" applyFill="1" applyProtection="1">
      <protection locked="0"/>
    </xf>
    <xf numFmtId="0" fontId="58" fillId="9" borderId="0" xfId="1" applyFont="1" applyFill="1" applyAlignment="1" applyProtection="1">
      <alignment wrapText="1"/>
      <protection locked="0"/>
    </xf>
    <xf numFmtId="0" fontId="50" fillId="0" borderId="0" xfId="1" applyFont="1" applyProtection="1">
      <protection locked="0"/>
    </xf>
    <xf numFmtId="0" fontId="21" fillId="0" borderId="0" xfId="3" applyFont="1" applyAlignment="1" applyProtection="1">
      <alignment horizontal="right" vertical="center"/>
      <protection locked="0"/>
    </xf>
    <xf numFmtId="0" fontId="20" fillId="0" borderId="0" xfId="3" applyFont="1" applyAlignment="1">
      <alignment horizontal="center" vertical="center"/>
    </xf>
    <xf numFmtId="0" fontId="49" fillId="0" borderId="0" xfId="1" applyFont="1" applyAlignment="1" applyProtection="1">
      <alignment horizontal="center" vertical="center"/>
      <protection locked="0"/>
    </xf>
    <xf numFmtId="176" fontId="21" fillId="13" borderId="2" xfId="3" applyNumberFormat="1" applyFont="1" applyFill="1" applyBorder="1" applyProtection="1">
      <protection locked="0"/>
    </xf>
    <xf numFmtId="177" fontId="50" fillId="13" borderId="2" xfId="1" applyNumberFormat="1" applyFont="1" applyFill="1" applyBorder="1" applyProtection="1">
      <protection locked="0"/>
    </xf>
    <xf numFmtId="9" fontId="50" fillId="13" borderId="2" xfId="1" applyNumberFormat="1" applyFont="1" applyFill="1" applyBorder="1" applyProtection="1">
      <protection locked="0"/>
    </xf>
    <xf numFmtId="11" fontId="50" fillId="13" borderId="2" xfId="1" applyNumberFormat="1" applyFont="1" applyFill="1" applyBorder="1" applyAlignment="1">
      <alignment horizontal="right" vertical="center"/>
    </xf>
    <xf numFmtId="0" fontId="50" fillId="13" borderId="10" xfId="1" applyFont="1" applyFill="1" applyBorder="1" applyAlignment="1" applyProtection="1">
      <alignment horizontal="right"/>
      <protection locked="0"/>
    </xf>
    <xf numFmtId="167" fontId="50" fillId="13" borderId="2" xfId="1" applyNumberFormat="1" applyFont="1" applyFill="1" applyBorder="1" applyProtection="1">
      <protection locked="0"/>
    </xf>
    <xf numFmtId="11" fontId="21" fillId="13" borderId="2" xfId="1" applyNumberFormat="1" applyFont="1" applyFill="1" applyBorder="1" applyAlignment="1">
      <alignment horizontal="right" vertical="center"/>
    </xf>
    <xf numFmtId="11" fontId="1" fillId="13" borderId="2" xfId="14" applyNumberFormat="1" applyFill="1" applyBorder="1"/>
    <xf numFmtId="0" fontId="59" fillId="13" borderId="2" xfId="14" applyFont="1" applyFill="1" applyBorder="1"/>
    <xf numFmtId="1" fontId="36" fillId="13" borderId="21" xfId="1" applyNumberFormat="1" applyFont="1" applyFill="1" applyBorder="1" applyAlignment="1" applyProtection="1">
      <alignment horizontal="center"/>
      <protection locked="0"/>
    </xf>
    <xf numFmtId="0" fontId="59" fillId="13" borderId="2" xfId="14" applyFont="1" applyFill="1" applyBorder="1" applyAlignment="1">
      <alignment horizontal="left" vertical="center"/>
    </xf>
    <xf numFmtId="1" fontId="4" fillId="13" borderId="2" xfId="8" applyNumberFormat="1" applyFont="1" applyFill="1" applyBorder="1" applyAlignment="1" applyProtection="1">
      <alignment horizontal="center"/>
      <protection locked="0"/>
    </xf>
    <xf numFmtId="0" fontId="10" fillId="14" borderId="21" xfId="2" applyFill="1" applyBorder="1" applyProtection="1">
      <protection locked="0"/>
    </xf>
    <xf numFmtId="11" fontId="18" fillId="13" borderId="2" xfId="1" applyNumberFormat="1" applyFont="1" applyFill="1" applyBorder="1" applyProtection="1">
      <protection locked="0"/>
    </xf>
    <xf numFmtId="11" fontId="18" fillId="13" borderId="2" xfId="1" applyNumberFormat="1" applyFont="1" applyFill="1" applyBorder="1"/>
    <xf numFmtId="0" fontId="4" fillId="13" borderId="0" xfId="1" applyFill="1"/>
    <xf numFmtId="0" fontId="60" fillId="13" borderId="2" xfId="1" applyFont="1" applyFill="1" applyBorder="1"/>
    <xf numFmtId="0" fontId="18" fillId="13" borderId="2" xfId="1" applyFont="1" applyFill="1" applyBorder="1" applyAlignment="1" applyProtection="1">
      <alignment horizontal="right"/>
      <protection locked="0"/>
    </xf>
    <xf numFmtId="0" fontId="10" fillId="13" borderId="2" xfId="2" applyFill="1" applyBorder="1"/>
    <xf numFmtId="0" fontId="18" fillId="13" borderId="2" xfId="1" applyFont="1" applyFill="1" applyBorder="1" applyAlignment="1" applyProtection="1">
      <alignment horizontal="right" indent="1"/>
      <protection locked="0"/>
    </xf>
    <xf numFmtId="43" fontId="18" fillId="13" borderId="2" xfId="1" applyNumberFormat="1" applyFont="1" applyFill="1" applyBorder="1"/>
    <xf numFmtId="0" fontId="50" fillId="11" borderId="10" xfId="1" applyFont="1" applyFill="1" applyBorder="1" applyAlignment="1" applyProtection="1">
      <alignment horizontal="right" indent="1"/>
      <protection locked="0"/>
    </xf>
    <xf numFmtId="0" fontId="61" fillId="5" borderId="0" xfId="1" applyFont="1" applyFill="1" applyProtection="1">
      <protection locked="0"/>
    </xf>
    <xf numFmtId="0" fontId="62" fillId="5" borderId="0" xfId="1" applyFont="1" applyFill="1" applyAlignment="1" applyProtection="1">
      <alignment horizontal="center"/>
      <protection locked="0"/>
    </xf>
    <xf numFmtId="0" fontId="63" fillId="5" borderId="0" xfId="1" applyFont="1" applyFill="1" applyProtection="1">
      <protection locked="0"/>
    </xf>
    <xf numFmtId="0" fontId="63" fillId="5" borderId="0" xfId="1" applyFont="1" applyFill="1" applyAlignment="1" applyProtection="1">
      <alignment wrapText="1"/>
      <protection locked="0"/>
    </xf>
    <xf numFmtId="0" fontId="50" fillId="0" borderId="0" xfId="1" applyFont="1"/>
    <xf numFmtId="0" fontId="64" fillId="0" borderId="0" xfId="1" applyFont="1" applyAlignment="1" applyProtection="1">
      <alignment horizontal="center"/>
      <protection locked="0"/>
    </xf>
    <xf numFmtId="0" fontId="50" fillId="0" borderId="0" xfId="1" applyFont="1" applyAlignment="1" applyProtection="1">
      <alignment wrapText="1"/>
      <protection locked="0"/>
    </xf>
    <xf numFmtId="0" fontId="49" fillId="0" borderId="0" xfId="1" applyFont="1" applyProtection="1">
      <protection locked="0"/>
    </xf>
    <xf numFmtId="0" fontId="21" fillId="8" borderId="4" xfId="3" applyFont="1" applyFill="1" applyBorder="1" applyAlignment="1" applyProtection="1">
      <alignment horizontal="center" vertical="center"/>
      <protection locked="0"/>
    </xf>
    <xf numFmtId="0" fontId="21" fillId="0" borderId="25" xfId="3" applyFont="1" applyBorder="1" applyAlignment="1" applyProtection="1">
      <alignment horizontal="center" vertical="center"/>
      <protection locked="0"/>
    </xf>
    <xf numFmtId="164" fontId="18" fillId="13" borderId="2" xfId="1" applyNumberFormat="1" applyFont="1" applyFill="1" applyBorder="1"/>
    <xf numFmtId="0" fontId="49" fillId="0" borderId="0" xfId="1" applyFont="1" applyAlignment="1">
      <alignment horizontal="center" vertical="center"/>
    </xf>
    <xf numFmtId="0" fontId="38" fillId="5" borderId="0" xfId="3" applyFont="1" applyFill="1" applyAlignment="1" applyProtection="1">
      <alignment horizontal="left" vertical="center"/>
      <protection locked="0"/>
    </xf>
    <xf numFmtId="178" fontId="50" fillId="13" borderId="2" xfId="6" applyNumberFormat="1" applyFont="1" applyFill="1" applyBorder="1" applyProtection="1">
      <protection locked="0"/>
    </xf>
    <xf numFmtId="11" fontId="50" fillId="11" borderId="2" xfId="1" applyNumberFormat="1" applyFont="1" applyFill="1" applyBorder="1" applyAlignment="1">
      <alignment horizontal="right" vertical="center"/>
    </xf>
    <xf numFmtId="9" fontId="21" fillId="13" borderId="2" xfId="3" applyNumberFormat="1" applyFont="1" applyFill="1" applyBorder="1" applyProtection="1">
      <protection locked="0"/>
    </xf>
    <xf numFmtId="0" fontId="10" fillId="0" borderId="0" xfId="2" applyAlignment="1" applyProtection="1">
      <alignment horizontal="left" indent="1"/>
      <protection locked="0"/>
    </xf>
    <xf numFmtId="0" fontId="57" fillId="2" borderId="0" xfId="1" applyFont="1" applyFill="1" applyProtection="1">
      <protection locked="0"/>
    </xf>
    <xf numFmtId="0" fontId="7" fillId="2" borderId="0" xfId="1" applyFont="1" applyFill="1" applyAlignment="1" applyProtection="1">
      <alignment wrapText="1"/>
      <protection locked="0"/>
    </xf>
    <xf numFmtId="0" fontId="65" fillId="18" borderId="0" xfId="1" applyFont="1" applyFill="1" applyProtection="1">
      <protection locked="0"/>
    </xf>
    <xf numFmtId="0" fontId="66" fillId="18" borderId="0" xfId="1" applyFont="1" applyFill="1" applyProtection="1">
      <protection locked="0"/>
    </xf>
    <xf numFmtId="0" fontId="7" fillId="19" borderId="0" xfId="1" applyFont="1" applyFill="1"/>
    <xf numFmtId="10" fontId="7" fillId="19" borderId="29" xfId="1" applyNumberFormat="1" applyFont="1" applyFill="1" applyBorder="1"/>
    <xf numFmtId="0" fontId="15" fillId="0" borderId="0" xfId="1" applyFont="1" applyProtection="1">
      <protection locked="0"/>
    </xf>
    <xf numFmtId="0" fontId="7" fillId="2" borderId="0" xfId="1" applyFont="1" applyFill="1"/>
    <xf numFmtId="0" fontId="9" fillId="20" borderId="30" xfId="1" applyFont="1" applyFill="1" applyBorder="1" applyProtection="1">
      <protection locked="0"/>
    </xf>
    <xf numFmtId="179" fontId="9" fillId="20" borderId="30" xfId="1" applyNumberFormat="1" applyFont="1" applyFill="1" applyBorder="1" applyProtection="1">
      <protection locked="0"/>
    </xf>
    <xf numFmtId="0" fontId="7" fillId="19" borderId="2" xfId="1" applyFont="1" applyFill="1" applyBorder="1"/>
    <xf numFmtId="10" fontId="7" fillId="19" borderId="2" xfId="1" applyNumberFormat="1" applyFont="1" applyFill="1" applyBorder="1"/>
    <xf numFmtId="0" fontId="67" fillId="6" borderId="0" xfId="1" quotePrefix="1" applyFont="1" applyFill="1" applyAlignment="1" applyProtection="1">
      <alignment horizontal="left"/>
      <protection locked="0"/>
    </xf>
    <xf numFmtId="0" fontId="68" fillId="18" borderId="0" xfId="1" applyFont="1" applyFill="1" applyAlignment="1" applyProtection="1">
      <alignment horizontal="center" vertical="center" wrapText="1"/>
      <protection locked="0"/>
    </xf>
    <xf numFmtId="0" fontId="9" fillId="0" borderId="0" xfId="1" applyFont="1" applyAlignment="1" applyProtection="1">
      <alignment horizontal="center" vertical="center"/>
      <protection locked="0"/>
    </xf>
    <xf numFmtId="0" fontId="68" fillId="21" borderId="2" xfId="1" applyFont="1" applyFill="1" applyBorder="1" applyAlignment="1" applyProtection="1">
      <alignment horizontal="center" vertical="center" wrapText="1"/>
      <protection locked="0"/>
    </xf>
    <xf numFmtId="0" fontId="15" fillId="6" borderId="0" xfId="1" applyFont="1" applyFill="1" applyAlignment="1" applyProtection="1">
      <alignment horizontal="center" vertical="center" wrapText="1"/>
      <protection locked="0"/>
    </xf>
    <xf numFmtId="0" fontId="9" fillId="0" borderId="0" xfId="1" applyFont="1" applyAlignment="1" applyProtection="1">
      <alignment horizontal="right"/>
      <protection locked="0"/>
    </xf>
    <xf numFmtId="9" fontId="9" fillId="13" borderId="2" xfId="1" applyNumberFormat="1" applyFont="1" applyFill="1" applyBorder="1" applyProtection="1">
      <protection locked="0"/>
    </xf>
    <xf numFmtId="0" fontId="69" fillId="0" borderId="0" xfId="1" applyFont="1" applyAlignment="1" applyProtection="1">
      <alignment horizontal="center"/>
      <protection locked="0"/>
    </xf>
    <xf numFmtId="180" fontId="9" fillId="22" borderId="30" xfId="1" applyNumberFormat="1" applyFont="1" applyFill="1" applyBorder="1" applyProtection="1">
      <protection locked="0"/>
    </xf>
    <xf numFmtId="180" fontId="9" fillId="23" borderId="30" xfId="1" applyNumberFormat="1" applyFont="1" applyFill="1" applyBorder="1" applyProtection="1">
      <protection locked="0"/>
    </xf>
    <xf numFmtId="3" fontId="9" fillId="7" borderId="2" xfId="1" applyNumberFormat="1" applyFont="1" applyFill="1" applyBorder="1" applyProtection="1">
      <protection locked="0"/>
    </xf>
    <xf numFmtId="10" fontId="9" fillId="13" borderId="2" xfId="1" applyNumberFormat="1" applyFont="1" applyFill="1" applyBorder="1" applyProtection="1">
      <protection locked="0"/>
    </xf>
    <xf numFmtId="9" fontId="9" fillId="24" borderId="2" xfId="1" applyNumberFormat="1" applyFont="1" applyFill="1" applyBorder="1" applyProtection="1">
      <protection locked="0"/>
    </xf>
    <xf numFmtId="0" fontId="9" fillId="0" borderId="0" xfId="1" quotePrefix="1" applyFont="1" applyAlignment="1" applyProtection="1">
      <alignment horizontal="right"/>
      <protection locked="0"/>
    </xf>
    <xf numFmtId="1" fontId="9" fillId="25" borderId="2" xfId="1" applyNumberFormat="1" applyFont="1" applyFill="1" applyBorder="1" applyProtection="1">
      <protection locked="0"/>
    </xf>
    <xf numFmtId="0" fontId="9" fillId="10" borderId="0" xfId="1" applyFont="1" applyFill="1" applyProtection="1">
      <protection locked="0"/>
    </xf>
    <xf numFmtId="0" fontId="9" fillId="6" borderId="0" xfId="1" applyFont="1" applyFill="1" applyAlignment="1" applyProtection="1">
      <alignment horizontal="right"/>
      <protection locked="0"/>
    </xf>
    <xf numFmtId="0" fontId="9" fillId="6" borderId="0" xfId="1" quotePrefix="1" applyFont="1" applyFill="1" applyAlignment="1" applyProtection="1">
      <alignment horizontal="right"/>
      <protection locked="0"/>
    </xf>
    <xf numFmtId="179" fontId="9" fillId="6" borderId="0" xfId="1" applyNumberFormat="1" applyFont="1" applyFill="1" applyProtection="1">
      <protection locked="0"/>
    </xf>
    <xf numFmtId="0" fontId="9" fillId="6" borderId="0" xfId="1" applyFont="1" applyFill="1" applyProtection="1">
      <protection locked="0"/>
    </xf>
    <xf numFmtId="0" fontId="68" fillId="18" borderId="0" xfId="1" applyFont="1" applyFill="1" applyAlignment="1" applyProtection="1">
      <alignment horizontal="center" wrapText="1"/>
      <protection locked="0"/>
    </xf>
    <xf numFmtId="0" fontId="9" fillId="25" borderId="2" xfId="1" applyFont="1" applyFill="1" applyBorder="1" applyProtection="1">
      <protection locked="0"/>
    </xf>
    <xf numFmtId="10" fontId="9" fillId="19" borderId="30" xfId="1" applyNumberFormat="1" applyFont="1" applyFill="1" applyBorder="1" applyProtection="1">
      <protection locked="0"/>
    </xf>
    <xf numFmtId="10" fontId="9" fillId="20" borderId="30" xfId="1" applyNumberFormat="1" applyFont="1" applyFill="1" applyBorder="1" applyProtection="1">
      <protection locked="0"/>
    </xf>
    <xf numFmtId="168" fontId="9" fillId="23" borderId="30" xfId="6" applyFont="1" applyFill="1" applyBorder="1" applyProtection="1">
      <protection locked="0"/>
    </xf>
    <xf numFmtId="0" fontId="9" fillId="23" borderId="30" xfId="1" applyFont="1" applyFill="1" applyBorder="1" applyProtection="1">
      <protection locked="0"/>
    </xf>
    <xf numFmtId="0" fontId="9" fillId="0" borderId="0" xfId="1" applyFont="1" applyAlignment="1" applyProtection="1">
      <alignment horizontal="left"/>
      <protection locked="0"/>
    </xf>
    <xf numFmtId="0" fontId="9" fillId="19" borderId="30" xfId="1" applyFont="1" applyFill="1" applyBorder="1" applyProtection="1">
      <protection locked="0"/>
    </xf>
    <xf numFmtId="0" fontId="67" fillId="6" borderId="1" xfId="1" applyFont="1" applyFill="1" applyBorder="1" applyAlignment="1" applyProtection="1">
      <alignment horizontal="left" wrapText="1"/>
      <protection locked="0"/>
    </xf>
    <xf numFmtId="0" fontId="15" fillId="7" borderId="2" xfId="1" applyFont="1" applyFill="1" applyBorder="1" applyAlignment="1">
      <alignment horizontal="center"/>
    </xf>
    <xf numFmtId="0" fontId="68" fillId="19" borderId="2" xfId="1" applyFont="1" applyFill="1" applyBorder="1" applyAlignment="1">
      <alignment horizontal="center" vertical="center" wrapText="1"/>
    </xf>
    <xf numFmtId="168" fontId="9" fillId="23" borderId="2" xfId="6" applyFont="1" applyFill="1" applyBorder="1" applyProtection="1">
      <protection locked="0"/>
    </xf>
    <xf numFmtId="179" fontId="9" fillId="19" borderId="31" xfId="1" applyNumberFormat="1" applyFont="1" applyFill="1" applyBorder="1"/>
  </cellXfs>
  <cellStyles count="15">
    <cellStyle name="Comma 2" xfId="6" xr:uid="{D7538F0E-88F4-4EEC-9C3C-4F48175E9ECC}"/>
    <cellStyle name="Hyperlink 2" xfId="2" xr:uid="{ADB56E54-48B0-4CA6-8CCB-FADAA9722E4F}"/>
    <cellStyle name="Hyperlink 2 2" xfId="10" xr:uid="{08A3311F-23AA-4F2E-8186-3DE4848DAD79}"/>
    <cellStyle name="Normal" xfId="0" builtinId="0"/>
    <cellStyle name="Normal 14" xfId="14" xr:uid="{CD2C8759-2B8F-4E7B-BFB9-8612C8E07C7C}"/>
    <cellStyle name="Normal 2" xfId="1" xr:uid="{73B471C9-620E-45F4-8310-E763B5032526}"/>
    <cellStyle name="Normal 2 2" xfId="8" xr:uid="{2BF22B87-9621-44AD-B098-7CD56466E27A}"/>
    <cellStyle name="Normal 2 2 2" xfId="11" xr:uid="{23F418F8-4339-43AF-9480-F5AF335F8E06}"/>
    <cellStyle name="Normal 2 2 2 2" xfId="13" xr:uid="{2CD319BF-0C30-41D3-BA0E-3E60DC5627ED}"/>
    <cellStyle name="Normal 3 3" xfId="5" xr:uid="{CAE8F58F-1EAD-4E92-B2C0-70A65B4EE699}"/>
    <cellStyle name="Normal 6" xfId="3" xr:uid="{79869B49-6214-409F-AE17-6BABE1D3BB28}"/>
    <cellStyle name="Normal 6 2 2 2" xfId="7" xr:uid="{3187F9FE-902B-407A-9331-620639316796}"/>
    <cellStyle name="Normal 6 3" xfId="4" xr:uid="{95CF0D1A-F420-4C44-8E03-6D66A1C78000}"/>
    <cellStyle name="Normal 6 6" xfId="12" xr:uid="{7A1E3C9C-E4B0-4F76-B9D6-41848AB467D6}"/>
    <cellStyle name="Normal 7" xfId="9" xr:uid="{478C5923-3F9D-4114-9D73-514AC8D95240}"/>
  </cellStyles>
  <dxfs count="125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eetMetadata" Target="metadata.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22422</xdr:rowOff>
    </xdr:from>
    <xdr:to>
      <xdr:col>10</xdr:col>
      <xdr:colOff>403225</xdr:colOff>
      <xdr:row>14</xdr:row>
      <xdr:rowOff>0</xdr:rowOff>
    </xdr:to>
    <xdr:sp macro="" textlink="">
      <xdr:nvSpPr>
        <xdr:cNvPr id="2" name="TextBox 1">
          <a:extLst>
            <a:ext uri="{FF2B5EF4-FFF2-40B4-BE49-F238E27FC236}">
              <a16:creationId xmlns:a16="http://schemas.microsoft.com/office/drawing/2014/main" id="{2BE1EB4D-0930-4244-A6CC-40C859AF95DE}"/>
            </a:ext>
          </a:extLst>
        </xdr:cNvPr>
        <xdr:cNvSpPr txBox="1"/>
      </xdr:nvSpPr>
      <xdr:spPr>
        <a:xfrm>
          <a:off x="0" y="1689297"/>
          <a:ext cx="16767175" cy="11682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prstClr val="black"/>
              </a:solidFill>
              <a:effectLst/>
              <a:uLnTx/>
              <a:uFillTx/>
              <a:latin typeface="+mn-lt"/>
              <a:ea typeface="+mn-ea"/>
              <a:cs typeface="Arial" panose="020B0604020202020204" pitchFamily="34" charset="0"/>
            </a:rPr>
            <a:t>Description of Calculations/Inputs:
</a:t>
          </a:r>
          <a:r>
            <a:rPr kumimoji="0" lang="en-US" sz="1400" b="0" i="0" u="none" strike="noStrike" kern="0" cap="none" spc="0" normalizeH="0" baseline="0" noProof="0">
              <a:ln>
                <a:noFill/>
              </a:ln>
              <a:solidFill>
                <a:prstClr val="black"/>
              </a:solidFill>
              <a:effectLst/>
              <a:uLnTx/>
              <a:uFillTx/>
              <a:latin typeface="+mn-lt"/>
              <a:ea typeface="+mn-ea"/>
              <a:cs typeface="Arial" panose="020B0604020202020204" pitchFamily="34" charset="0"/>
            </a:rPr>
            <a:t>This page is very important and should be used extensively.  It is where you will collect all of your relevant data from the peer reviewed literature.  This page contains meta-analyses that can be used to formulate mean, low, and high estimates contained on the "Advanced Controls" page. You can use this sheet for common factoring needs for variables used in First Cost and Operating Cost Factoring.  </a:t>
          </a:r>
          <a:endParaRPr lang="en-US" sz="1100" b="0">
            <a:latin typeface="+mn-lt"/>
          </a:endParaRPr>
        </a:p>
      </xdr:txBody>
    </xdr:sp>
    <xdr:clientData/>
  </xdr:twoCellAnchor>
  <xdr:twoCellAnchor>
    <xdr:from>
      <xdr:col>0</xdr:col>
      <xdr:colOff>0</xdr:colOff>
      <xdr:row>1973</xdr:row>
      <xdr:rowOff>0</xdr:rowOff>
    </xdr:from>
    <xdr:to>
      <xdr:col>10</xdr:col>
      <xdr:colOff>403225</xdr:colOff>
      <xdr:row>1974</xdr:row>
      <xdr:rowOff>38100</xdr:rowOff>
    </xdr:to>
    <xdr:sp macro="" textlink="">
      <xdr:nvSpPr>
        <xdr:cNvPr id="3" name="TextBox 2">
          <a:extLst>
            <a:ext uri="{FF2B5EF4-FFF2-40B4-BE49-F238E27FC236}">
              <a16:creationId xmlns:a16="http://schemas.microsoft.com/office/drawing/2014/main" id="{4ADF967D-BC5E-4F52-98F7-5768264B1075}"/>
            </a:ext>
          </a:extLst>
        </xdr:cNvPr>
        <xdr:cNvSpPr txBox="1"/>
      </xdr:nvSpPr>
      <xdr:spPr>
        <a:xfrm>
          <a:off x="0" y="392344275"/>
          <a:ext cx="1676717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Decription of Calculations/Inputs:</a:t>
          </a:r>
          <a:r>
            <a:rPr lang="en-US" sz="1100" b="0"/>
            <a:t>
Using multiple data points from literature review you can enter in cumulative adoption data that correlate with price/cost and calculate a learning rate to use in Advanced Controls for First Cost or a factoring variable
</a:t>
          </a:r>
          <a:r>
            <a:rPr lang="en-US" sz="1100" b="1"/>
            <a:t>
</a:t>
          </a:r>
          <a:endParaRPr lang="en-US" sz="1100"/>
        </a:p>
      </xdr:txBody>
    </xdr:sp>
    <xdr:clientData/>
  </xdr:twoCellAnchor>
  <xdr:twoCellAnchor>
    <xdr:from>
      <xdr:col>7</xdr:col>
      <xdr:colOff>402981</xdr:colOff>
      <xdr:row>1978</xdr:row>
      <xdr:rowOff>12212</xdr:rowOff>
    </xdr:from>
    <xdr:to>
      <xdr:col>11</xdr:col>
      <xdr:colOff>280866</xdr:colOff>
      <xdr:row>1988</xdr:row>
      <xdr:rowOff>0</xdr:rowOff>
    </xdr:to>
    <xdr:sp macro="" textlink="">
      <xdr:nvSpPr>
        <xdr:cNvPr id="4" name="TextBox 3">
          <a:extLst>
            <a:ext uri="{FF2B5EF4-FFF2-40B4-BE49-F238E27FC236}">
              <a16:creationId xmlns:a16="http://schemas.microsoft.com/office/drawing/2014/main" id="{47A386AB-BF8B-4802-AB43-57E10191B5E4}"/>
            </a:ext>
          </a:extLst>
        </xdr:cNvPr>
        <xdr:cNvSpPr txBox="1"/>
      </xdr:nvSpPr>
      <xdr:spPr>
        <a:xfrm>
          <a:off x="13928481" y="393604262"/>
          <a:ext cx="6069135" cy="190231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twoCellAnchor>
    <xdr:from>
      <xdr:col>4</xdr:col>
      <xdr:colOff>635000</xdr:colOff>
      <xdr:row>2026</xdr:row>
      <xdr:rowOff>122116</xdr:rowOff>
    </xdr:from>
    <xdr:to>
      <xdr:col>6</xdr:col>
      <xdr:colOff>512884</xdr:colOff>
      <xdr:row>2049</xdr:row>
      <xdr:rowOff>91099</xdr:rowOff>
    </xdr:to>
    <xdr:sp macro="" textlink="">
      <xdr:nvSpPr>
        <xdr:cNvPr id="5" name="TextBox 4">
          <a:extLst>
            <a:ext uri="{FF2B5EF4-FFF2-40B4-BE49-F238E27FC236}">
              <a16:creationId xmlns:a16="http://schemas.microsoft.com/office/drawing/2014/main" id="{29E61A42-8296-4002-94C1-AC9512DE024E}"/>
            </a:ext>
          </a:extLst>
        </xdr:cNvPr>
        <xdr:cNvSpPr txBox="1"/>
      </xdr:nvSpPr>
      <xdr:spPr>
        <a:xfrm>
          <a:off x="9178925" y="403420141"/>
          <a:ext cx="3430709" cy="459813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twoCellAnchor>
    <xdr:from>
      <xdr:col>0</xdr:col>
      <xdr:colOff>2362200</xdr:colOff>
      <xdr:row>39</xdr:row>
      <xdr:rowOff>152400</xdr:rowOff>
    </xdr:from>
    <xdr:to>
      <xdr:col>10</xdr:col>
      <xdr:colOff>25400</xdr:colOff>
      <xdr:row>42</xdr:row>
      <xdr:rowOff>554567</xdr:rowOff>
    </xdr:to>
    <xdr:sp macro="" textlink="">
      <xdr:nvSpPr>
        <xdr:cNvPr id="6" name="Down Arrow Callout 6">
          <a:extLst>
            <a:ext uri="{FF2B5EF4-FFF2-40B4-BE49-F238E27FC236}">
              <a16:creationId xmlns:a16="http://schemas.microsoft.com/office/drawing/2014/main" id="{B542321D-6FB7-48C8-8731-ECF19443149E}"/>
            </a:ext>
          </a:extLst>
        </xdr:cNvPr>
        <xdr:cNvSpPr/>
      </xdr:nvSpPr>
      <xdr:spPr>
        <a:xfrm>
          <a:off x="2152650" y="8134350"/>
          <a:ext cx="14236700" cy="992717"/>
        </a:xfrm>
        <a:prstGeom prst="downArrowCallout">
          <a:avLst>
            <a:gd name="adj1" fmla="val 20031"/>
            <a:gd name="adj2" fmla="val 34869"/>
            <a:gd name="adj3" fmla="val 24530"/>
            <a:gd name="adj4" fmla="val 52100"/>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800" b="1"/>
            <a:t>ENTER VARIABLE DATA FROM SOURCES HERE. BE</a:t>
          </a:r>
          <a:r>
            <a:rPr lang="en-US" sz="1800" b="1" baseline="0"/>
            <a:t> SURE TO COMPLETE EVERY FIELD!</a:t>
          </a:r>
          <a:endParaRPr lang="en-US" sz="1800" b="1"/>
        </a:p>
      </xdr:txBody>
    </xdr:sp>
    <xdr:clientData/>
  </xdr:twoCellAnchor>
  <xdr:twoCellAnchor editAs="oneCell">
    <xdr:from>
      <xdr:col>5</xdr:col>
      <xdr:colOff>0</xdr:colOff>
      <xdr:row>1</xdr:row>
      <xdr:rowOff>0</xdr:rowOff>
    </xdr:from>
    <xdr:to>
      <xdr:col>6</xdr:col>
      <xdr:colOff>524164</xdr:colOff>
      <xdr:row>6</xdr:row>
      <xdr:rowOff>103620</xdr:rowOff>
    </xdr:to>
    <xdr:pic>
      <xdr:nvPicPr>
        <xdr:cNvPr id="7" name="Picture 6">
          <a:extLst>
            <a:ext uri="{FF2B5EF4-FFF2-40B4-BE49-F238E27FC236}">
              <a16:creationId xmlns:a16="http://schemas.microsoft.com/office/drawing/2014/main" id="{2DC4B318-26CE-423C-90CC-912E904336B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44175" y="295275"/>
          <a:ext cx="2076739" cy="1084695"/>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xdr:from>
          <xdr:col>12</xdr:col>
          <xdr:colOff>152400</xdr:colOff>
          <xdr:row>3</xdr:row>
          <xdr:rowOff>38100</xdr:rowOff>
        </xdr:from>
        <xdr:to>
          <xdr:col>14</xdr:col>
          <xdr:colOff>876300</xdr:colOff>
          <xdr:row>6</xdr:row>
          <xdr:rowOff>76200</xdr:rowOff>
        </xdr:to>
        <xdr:sp macro="" textlink="">
          <xdr:nvSpPr>
            <xdr:cNvPr id="1025" name="Button 1" hidden="1">
              <a:extLst>
                <a:ext uri="{63B3BB69-23CF-44E3-9099-C40C66FF867C}">
                  <a14:compatExt spid="_x0000_s1025"/>
                </a:ext>
                <a:ext uri="{FF2B5EF4-FFF2-40B4-BE49-F238E27FC236}">
                  <a16:creationId xmlns:a16="http://schemas.microsoft.com/office/drawing/2014/main" id="{4DB683A4-7D86-4AB3-AB71-782DFEA058B3}"/>
                </a:ext>
              </a:extLst>
            </xdr:cNvPr>
            <xdr:cNvSpPr/>
          </xdr:nvSpPr>
          <xdr:spPr bwMode="auto">
            <a:xfrm>
              <a:off x="0" y="0"/>
              <a:ext cx="0" cy="0"/>
            </a:xfrm>
            <a:prstGeom prst="rect">
              <a:avLst/>
            </a:prstGeom>
            <a:noFill/>
            <a:ln w="9525">
              <a:miter lim="800000"/>
              <a:headEnd/>
              <a:tailEnd/>
            </a:ln>
          </xdr:spPr>
          <xdr:txBody>
            <a:bodyPr vertOverflow="clip" wrap="square" lIns="45720" tIns="36576" rIns="45720" bIns="36576" anchor="ctr" upright="1"/>
            <a:lstStyle/>
            <a:p>
              <a:pPr algn="ctr" rtl="0">
                <a:defRPr sz="1000"/>
              </a:pPr>
              <a:r>
                <a:rPr lang="en-US" sz="1800" b="0" i="0" u="none" strike="noStrike" baseline="0">
                  <a:solidFill>
                    <a:srgbClr val="000000"/>
                  </a:solidFill>
                  <a:latin typeface="Arial"/>
                  <a:cs typeface="Arial"/>
                </a:rPr>
                <a:t>Summarize Variables Below</a:t>
              </a:r>
            </a:p>
          </xdr:txBody>
        </xdr:sp>
        <xdr:clientData fPrintsWithSheet="0"/>
      </xdr:twoCellAnchor>
    </mc:Choice>
    <mc:Fallback/>
  </mc:AlternateContent>
  <xdr:twoCellAnchor>
    <xdr:from>
      <xdr:col>9</xdr:col>
      <xdr:colOff>294408</xdr:colOff>
      <xdr:row>1991</xdr:row>
      <xdr:rowOff>53397</xdr:rowOff>
    </xdr:from>
    <xdr:to>
      <xdr:col>12</xdr:col>
      <xdr:colOff>122671</xdr:colOff>
      <xdr:row>2012</xdr:row>
      <xdr:rowOff>53398</xdr:rowOff>
    </xdr:to>
    <xdr:sp macro="" textlink="">
      <xdr:nvSpPr>
        <xdr:cNvPr id="9" name="TextBox 8">
          <a:extLst>
            <a:ext uri="{FF2B5EF4-FFF2-40B4-BE49-F238E27FC236}">
              <a16:creationId xmlns:a16="http://schemas.microsoft.com/office/drawing/2014/main" id="{2D15C370-C08B-4289-B084-6E04BD9C68CB}"/>
            </a:ext>
          </a:extLst>
        </xdr:cNvPr>
        <xdr:cNvSpPr txBox="1"/>
      </xdr:nvSpPr>
      <xdr:spPr>
        <a:xfrm>
          <a:off x="15667758" y="396169572"/>
          <a:ext cx="6248113" cy="445770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twoCellAnchor editAs="oneCell">
    <xdr:from>
      <xdr:col>6</xdr:col>
      <xdr:colOff>0</xdr:colOff>
      <xdr:row>2015</xdr:row>
      <xdr:rowOff>0</xdr:rowOff>
    </xdr:from>
    <xdr:to>
      <xdr:col>7</xdr:col>
      <xdr:colOff>673388</xdr:colOff>
      <xdr:row>2020</xdr:row>
      <xdr:rowOff>171883</xdr:rowOff>
    </xdr:to>
    <xdr:pic>
      <xdr:nvPicPr>
        <xdr:cNvPr id="10" name="Picture 9">
          <a:extLst>
            <a:ext uri="{FF2B5EF4-FFF2-40B4-BE49-F238E27FC236}">
              <a16:creationId xmlns:a16="http://schemas.microsoft.com/office/drawing/2014/main" id="{0998BCC0-DF20-4081-A7A2-C0A20D99DDD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0" y="401183475"/>
          <a:ext cx="2102138" cy="1143433"/>
        </a:xfrm>
        <a:prstGeom prst="rect">
          <a:avLst/>
        </a:prstGeom>
        <a:noFill/>
        <a:ln>
          <a:noFill/>
        </a:ln>
      </xdr:spPr>
    </xdr:pic>
    <xdr:clientData/>
  </xdr:twoCellAnchor>
  <xdr:twoCellAnchor editAs="oneCell">
    <xdr:from>
      <xdr:col>0</xdr:col>
      <xdr:colOff>142875</xdr:colOff>
      <xdr:row>1981</xdr:row>
      <xdr:rowOff>71437</xdr:rowOff>
    </xdr:from>
    <xdr:to>
      <xdr:col>1</xdr:col>
      <xdr:colOff>288</xdr:colOff>
      <xdr:row>1987</xdr:row>
      <xdr:rowOff>49645</xdr:rowOff>
    </xdr:to>
    <xdr:pic>
      <xdr:nvPicPr>
        <xdr:cNvPr id="11" name="Picture 10">
          <a:extLst>
            <a:ext uri="{FF2B5EF4-FFF2-40B4-BE49-F238E27FC236}">
              <a16:creationId xmlns:a16="http://schemas.microsoft.com/office/drawing/2014/main" id="{DE2435AA-5BBC-4A1F-86E3-4A5982FC988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394244512"/>
          <a:ext cx="2010063" cy="1121208"/>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arge_vma.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Furness/Documents/Professional%20Initiatives/Drawdown%20Project/RRS%20Solutions/00%20-%20Book%20Models/Materials%20Book%20Models/MATERIALS%20-%20Final%20Book%20Ed1/Recycling-HH&amp;C-v0.6.2.2050-26Jan2017-FINAL.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rg/Library/Containers/com.apple.mail/Data/Library/Mail%20Downloads/CEFA7293-5C69-490C-9E70-848D52C4D6D2/Group-Regroup%20Tool%20v1.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rg/Library/Containers/com.apple.mail/Data/Library/Mail%20Downloads/BEBDB814-CB91-4B8B-AB01-925E2539DAF5/Group-Regroup_Tool_2020Upd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Users/mrg/Desktop/drawdown/Group-Regroup_Tool_v1.45-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Welcome"/>
      <sheetName val="Basic Controls"/>
      <sheetName val="Advanced Controls"/>
      <sheetName val="AutoResults"/>
      <sheetName val="Detailed Results"/>
      <sheetName val="Variable Summary"/>
      <sheetName val="Variable Meta-analysis-Open-old"/>
      <sheetName val="TAM Data"/>
      <sheetName val="Adoption Data"/>
      <sheetName val="Data Interpolator"/>
      <sheetName val="ScenarioRecord"/>
      <sheetName val="Carbon Price Analysis"/>
      <sheetName val="Operating Cost"/>
      <sheetName val="Net Profit Margin"/>
      <sheetName val="First Cost"/>
      <sheetName val="Variable Meta-analysis"/>
      <sheetName val="CO2 Calcs"/>
      <sheetName val="Unit Adoption Calculations"/>
      <sheetName val="Helper Tables"/>
      <sheetName val="Emissions Factors"/>
      <sheetName val="CH4 Calcs"/>
      <sheetName val="Custom PDS Adoption"/>
      <sheetName val="Custom REF Adoption"/>
      <sheetName val="S-Curve Adoption"/>
      <sheetName val="FamPlanning"/>
      <sheetName val="XLLang"/>
      <sheetName val="Regions-Countries Sorting"/>
      <sheetName val="ADD SHEETS --&gt;"/>
      <sheetName val="surplus"/>
      <sheetName val="TAM (kg of protein)"/>
      <sheetName val="FAO food supply"/>
      <sheetName val="conversions"/>
      <sheetName val="rations"/>
      <sheetName val="GHGsources"/>
      <sheetName val="LinearAdoptionWeight"/>
    </sheetNames>
    <sheetDataSet>
      <sheetData sheetId="0"/>
      <sheetData sheetId="1"/>
      <sheetData sheetId="2"/>
      <sheetData sheetId="3">
        <row r="40">
          <cell r="C40" t="str">
            <v>Improved Cattle Feed Quality</v>
          </cell>
        </row>
        <row r="41">
          <cell r="C41" t="str">
            <v>kg of protein</v>
          </cell>
        </row>
        <row r="42">
          <cell r="C42" t="str">
            <v>kg of protein</v>
          </cell>
        </row>
        <row r="98">
          <cell r="E98">
            <v>20</v>
          </cell>
          <cell r="H98">
            <v>9.4807993421052608</v>
          </cell>
        </row>
        <row r="99">
          <cell r="B99" t="str">
            <v>US$2014 to acquire+install per kg of protein</v>
          </cell>
          <cell r="H99" t="str">
            <v>US$2014 per kg of protein</v>
          </cell>
        </row>
        <row r="113">
          <cell r="E113">
            <v>20</v>
          </cell>
          <cell r="F113">
            <v>1</v>
          </cell>
          <cell r="H113">
            <v>13.378231787202401</v>
          </cell>
          <cell r="I113">
            <v>-8.5387747577451503</v>
          </cell>
        </row>
        <row r="144">
          <cell r="H144">
            <v>0</v>
          </cell>
        </row>
        <row r="157">
          <cell r="I157" t="str">
            <v>CH4-CO2eq Tons Reduced</v>
          </cell>
          <cell r="J157" t="str">
            <v>N2O-CO2eq Tons Reduced</v>
          </cell>
        </row>
        <row r="158">
          <cell r="I158" t="str">
            <v>t CH4-CO2eq per kg of protein</v>
          </cell>
          <cell r="J158" t="str">
            <v>t N2O-CO2eq per kg of protein</v>
          </cell>
        </row>
        <row r="159">
          <cell r="F159">
            <v>2.39050541237412E-2</v>
          </cell>
        </row>
        <row r="169">
          <cell r="F169" t="str">
            <v>Functional</v>
          </cell>
        </row>
      </sheetData>
      <sheetData sheetId="4"/>
      <sheetData sheetId="5">
        <row r="3">
          <cell r="E3">
            <v>2020</v>
          </cell>
          <cell r="G3">
            <v>2050</v>
          </cell>
        </row>
        <row r="41">
          <cell r="S41">
            <v>0</v>
          </cell>
        </row>
      </sheetData>
      <sheetData sheetId="6"/>
      <sheetData sheetId="7"/>
      <sheetData sheetId="8"/>
      <sheetData sheetId="9"/>
      <sheetData sheetId="10"/>
      <sheetData sheetId="11"/>
      <sheetData sheetId="12"/>
      <sheetData sheetId="13">
        <row r="9">
          <cell r="A9" t="str">
            <v>OPERATING COST | SAVING CALCULATION</v>
          </cell>
        </row>
        <row r="68">
          <cell r="B68" t="str">
            <v>Solution Operating Costs/Savings</v>
          </cell>
        </row>
        <row r="120">
          <cell r="A120" t="str">
            <v>LIFETIME COST | SAVINGS AND PAYBACK FORECAST</v>
          </cell>
        </row>
        <row r="254">
          <cell r="A254" t="str">
            <v>LIFETIME COST | SAVINGS FACTORING - PDS/SOLUTION ONLY</v>
          </cell>
        </row>
        <row r="527">
          <cell r="A527" t="str">
            <v>OPERATING COST FACTORING</v>
          </cell>
        </row>
      </sheetData>
      <sheetData sheetId="14"/>
      <sheetData sheetId="15">
        <row r="8">
          <cell r="A8" t="str">
            <v>FIRST COST FORECAST</v>
          </cell>
        </row>
        <row r="15">
          <cell r="F15">
            <v>1</v>
          </cell>
        </row>
        <row r="19">
          <cell r="A19" t="str">
            <v>Learning Rate</v>
          </cell>
        </row>
        <row r="91">
          <cell r="A91" t="str">
            <v>FIRST COST FACTORING</v>
          </cell>
        </row>
      </sheetData>
      <sheetData sheetId="16"/>
      <sheetData sheetId="17">
        <row r="7">
          <cell r="A7" t="str">
            <v>CO2 MMT Reduced</v>
          </cell>
        </row>
        <row r="61">
          <cell r="A61" t="str">
            <v>CO2-eq MMT Reduced</v>
          </cell>
        </row>
        <row r="64">
          <cell r="B64" t="str">
            <v>World</v>
          </cell>
        </row>
        <row r="116">
          <cell r="A116" t="str">
            <v>CO2 PPM CALCULATOR</v>
          </cell>
        </row>
        <row r="169">
          <cell r="A169" t="str">
            <v>CO2-eq PPM CALCULATOR</v>
          </cell>
        </row>
        <row r="171">
          <cell r="B171" t="str">
            <v>CO2-eq PPM</v>
          </cell>
        </row>
      </sheetData>
      <sheetData sheetId="18">
        <row r="14">
          <cell r="A14" t="str">
            <v>REF TAM</v>
          </cell>
          <cell r="P14" t="str">
            <v xml:space="preserve">Population Scenario 1 REF </v>
          </cell>
          <cell r="AB14" t="str">
            <v xml:space="preserve">GDP Scenario 1 REF </v>
          </cell>
          <cell r="AN14" t="str">
            <v>GDP Per Capita (REF)</v>
          </cell>
          <cell r="BM14" t="str">
            <v>TAM per [GDP Per Capita] (REF)</v>
          </cell>
        </row>
        <row r="17">
          <cell r="A17">
            <v>2014</v>
          </cell>
          <cell r="B17">
            <v>43923560212.966324</v>
          </cell>
        </row>
        <row r="66">
          <cell r="A66" t="str">
            <v xml:space="preserve">PDS TAM </v>
          </cell>
          <cell r="P66" t="str">
            <v>Population PDS</v>
          </cell>
          <cell r="AB66" t="str">
            <v xml:space="preserve">GDP Scenario 2 PDS </v>
          </cell>
          <cell r="AN66" t="str">
            <v>GDP Per Capita (PDS)</v>
          </cell>
          <cell r="BM66" t="str">
            <v>TAM per [GDP Per Capita] (PDS)</v>
          </cell>
        </row>
        <row r="69">
          <cell r="B69">
            <v>43923560212.966324</v>
          </cell>
        </row>
        <row r="124">
          <cell r="A124" t="str">
            <v>Annual Functional Units Adopted - Solution PDS</v>
          </cell>
          <cell r="Q124" t="str">
            <v>Cumulative Functional Units Utilized PDS</v>
          </cell>
        </row>
        <row r="134">
          <cell r="AG134" t="str">
            <v>New implementation units Required PDS (Includes replacement Units)</v>
          </cell>
          <cell r="AX134" t="str">
            <v>Total Solution Implementation units Required PDS</v>
          </cell>
        </row>
        <row r="135">
          <cell r="C135">
            <v>9134560880.3101997</v>
          </cell>
        </row>
        <row r="136">
          <cell r="AY136">
            <v>9134560880.3101997</v>
          </cell>
          <cell r="AZ136">
            <v>6236702146.8902903</v>
          </cell>
        </row>
        <row r="186">
          <cell r="A186" t="str">
            <v>Annual Functional Units Adopted - Solution REF</v>
          </cell>
          <cell r="Q186" t="str">
            <v>Cumulative Operational Units Utilized REF</v>
          </cell>
        </row>
        <row r="196">
          <cell r="AG196" t="str">
            <v>New implementation units Required REF</v>
          </cell>
          <cell r="AX196" t="str">
            <v>Total Solution Implementation units Required REF</v>
          </cell>
        </row>
        <row r="198">
          <cell r="C198">
            <v>9134560880.3101997</v>
          </cell>
        </row>
        <row r="249">
          <cell r="A249" t="str">
            <v>Net Annual Functional Units Adopted - Conventional/Solution</v>
          </cell>
          <cell r="Q249" t="str">
            <v>Total CONVENTIONAL Implementation Units (REF)</v>
          </cell>
          <cell r="AG249" t="str">
            <v>Total New IMPLEMENTATION Conventional Units</v>
          </cell>
        </row>
        <row r="305">
          <cell r="A305" t="str">
            <v>Net Grid Electricity Units Saved</v>
          </cell>
          <cell r="AD305" t="str">
            <v>Fuel Units Avoided</v>
          </cell>
          <cell r="AT305" t="str">
            <v>Direct CO2 Emissions Saved</v>
          </cell>
        </row>
      </sheetData>
      <sheetData sheetId="19">
        <row r="8">
          <cell r="Q8">
            <v>9.9999999999999999E+306</v>
          </cell>
        </row>
        <row r="13">
          <cell r="A13" t="str">
            <v>Default REF Interpolation Adoption</v>
          </cell>
        </row>
        <row r="27">
          <cell r="C27">
            <v>9134560880.3101997</v>
          </cell>
        </row>
        <row r="63">
          <cell r="C63">
            <v>11988437012.930237</v>
          </cell>
        </row>
        <row r="77">
          <cell r="A77" t="str">
            <v>Custom PDS Adoption</v>
          </cell>
        </row>
        <row r="91">
          <cell r="C91">
            <v>9134560880.3101997</v>
          </cell>
        </row>
        <row r="92">
          <cell r="C92">
            <v>9880060056.0267372</v>
          </cell>
        </row>
        <row r="93">
          <cell r="C93">
            <v>10625559231.743271</v>
          </cell>
        </row>
        <row r="94">
          <cell r="C94">
            <v>11371058407.459732</v>
          </cell>
        </row>
        <row r="95">
          <cell r="C95">
            <v>12116557583.1763</v>
          </cell>
        </row>
        <row r="96">
          <cell r="C96">
            <v>12862056758.892826</v>
          </cell>
        </row>
        <row r="97">
          <cell r="C97">
            <v>13607555934.609364</v>
          </cell>
        </row>
        <row r="98">
          <cell r="C98">
            <v>14353055110.325851</v>
          </cell>
        </row>
        <row r="99">
          <cell r="C99">
            <v>15098554286.042376</v>
          </cell>
        </row>
        <row r="100">
          <cell r="C100">
            <v>15844053461.758881</v>
          </cell>
        </row>
        <row r="101">
          <cell r="C101">
            <v>16589552637.475407</v>
          </cell>
        </row>
        <row r="102">
          <cell r="C102">
            <v>17335051813.191902</v>
          </cell>
        </row>
        <row r="103">
          <cell r="C103">
            <v>18080550988.908474</v>
          </cell>
        </row>
        <row r="104">
          <cell r="C104">
            <v>18826050164.624969</v>
          </cell>
        </row>
        <row r="105">
          <cell r="C105">
            <v>19571549340.341522</v>
          </cell>
        </row>
        <row r="106">
          <cell r="C106">
            <v>20317048516.058022</v>
          </cell>
        </row>
        <row r="107">
          <cell r="C107">
            <v>21062547691.774551</v>
          </cell>
        </row>
        <row r="108">
          <cell r="C108">
            <v>21808046867.491062</v>
          </cell>
        </row>
        <row r="109">
          <cell r="C109">
            <v>22553546043.207512</v>
          </cell>
        </row>
        <row r="110">
          <cell r="C110">
            <v>23299045218.924099</v>
          </cell>
        </row>
        <row r="111">
          <cell r="C111">
            <v>24044544394.640594</v>
          </cell>
        </row>
        <row r="112">
          <cell r="C112">
            <v>24790043570.357109</v>
          </cell>
        </row>
        <row r="113">
          <cell r="C113">
            <v>25535542746.073654</v>
          </cell>
        </row>
        <row r="114">
          <cell r="C114">
            <v>26281041921.790169</v>
          </cell>
        </row>
        <row r="115">
          <cell r="C115">
            <v>27026541097.506691</v>
          </cell>
        </row>
        <row r="116">
          <cell r="C116">
            <v>27772040273.223217</v>
          </cell>
        </row>
        <row r="117">
          <cell r="C117">
            <v>28517539448.939732</v>
          </cell>
        </row>
        <row r="118">
          <cell r="C118">
            <v>29263038624.656239</v>
          </cell>
        </row>
        <row r="119">
          <cell r="C119">
            <v>30008537800.372704</v>
          </cell>
        </row>
        <row r="120">
          <cell r="C120">
            <v>30754036976.089287</v>
          </cell>
        </row>
        <row r="121">
          <cell r="C121">
            <v>31499536151.80584</v>
          </cell>
        </row>
        <row r="122">
          <cell r="C122">
            <v>32245035327.522358</v>
          </cell>
        </row>
        <row r="123">
          <cell r="C123">
            <v>32990534503.238838</v>
          </cell>
        </row>
        <row r="124">
          <cell r="C124">
            <v>33736033678.955368</v>
          </cell>
        </row>
        <row r="125">
          <cell r="C125">
            <v>34481532854.671883</v>
          </cell>
        </row>
        <row r="126">
          <cell r="C126">
            <v>35227032030.388382</v>
          </cell>
        </row>
        <row r="127">
          <cell r="C127">
            <v>35972531206.104919</v>
          </cell>
        </row>
        <row r="128">
          <cell r="C128">
            <v>36718030381.821404</v>
          </cell>
        </row>
        <row r="129">
          <cell r="C129">
            <v>37463529557.537918</v>
          </cell>
        </row>
        <row r="130">
          <cell r="C130">
            <v>38209028733.254471</v>
          </cell>
        </row>
        <row r="131">
          <cell r="C131">
            <v>38954527908.971046</v>
          </cell>
        </row>
        <row r="132">
          <cell r="C132">
            <v>39700027084.687515</v>
          </cell>
        </row>
        <row r="133">
          <cell r="C133">
            <v>40445526260.404022</v>
          </cell>
        </row>
        <row r="134">
          <cell r="C134">
            <v>41191025436.120537</v>
          </cell>
        </row>
        <row r="135">
          <cell r="C135">
            <v>41936524611.837067</v>
          </cell>
        </row>
        <row r="136">
          <cell r="C136">
            <v>42682023787.553581</v>
          </cell>
        </row>
        <row r="137">
          <cell r="C137">
            <v>43427522963.270103</v>
          </cell>
        </row>
        <row r="157">
          <cell r="A157" t="str">
            <v>Using Polynomials</v>
          </cell>
        </row>
      </sheetData>
      <sheetData sheetId="20">
        <row r="9">
          <cell r="A9" t="str">
            <v>REF Grid EFs kg CO2-eq per kwh</v>
          </cell>
        </row>
        <row r="20">
          <cell r="Q20" t="str">
            <v>Fuel</v>
          </cell>
          <cell r="R20" t="str">
            <v>Default</v>
          </cell>
          <cell r="S20" t="str">
            <v>Lower</v>
          </cell>
          <cell r="T20" t="str">
            <v>Upper</v>
          </cell>
          <cell r="U20" t="str">
            <v>tCO2-eq/TJ or Liter</v>
          </cell>
        </row>
        <row r="21">
          <cell r="Q21" t="str">
            <v>Motor Gasoline</v>
          </cell>
          <cell r="R21">
            <v>2.273941593E-3</v>
          </cell>
          <cell r="S21">
            <v>2.2382102250000004E-3</v>
          </cell>
          <cell r="T21">
            <v>2.50534368E-3</v>
          </cell>
          <cell r="U21" t="str">
            <v>Liter</v>
          </cell>
        </row>
        <row r="22">
          <cell r="Q22" t="str">
            <v>Gas/ Diesel Oil</v>
          </cell>
          <cell r="R22">
            <v>2.6889185700000001E-3</v>
          </cell>
          <cell r="S22">
            <v>2.5364595959999998E-3</v>
          </cell>
          <cell r="T22">
            <v>3.2950581840000001E-3</v>
          </cell>
          <cell r="U22" t="str">
            <v>Liter</v>
          </cell>
        </row>
        <row r="23">
          <cell r="Q23" t="str">
            <v>Liquefied Petroleum Gases</v>
          </cell>
          <cell r="R23">
            <v>1.9641078359999998E-3</v>
          </cell>
          <cell r="S23">
            <v>1.7111341500000001E-3</v>
          </cell>
          <cell r="T23">
            <v>2.1780971520000002E-3</v>
          </cell>
          <cell r="U23" t="str">
            <v>Liter</v>
          </cell>
        </row>
        <row r="24">
          <cell r="Q24" t="str">
            <v>Kerosene</v>
          </cell>
          <cell r="R24">
            <v>1.7733703679999999E-3</v>
          </cell>
          <cell r="S24">
            <v>1.6347340799999998E-3</v>
          </cell>
          <cell r="T24">
            <v>1.8805248000000002E-3</v>
          </cell>
          <cell r="U24" t="str">
            <v>Liter</v>
          </cell>
        </row>
        <row r="25">
          <cell r="Q25" t="str">
            <v>Natural Gas (industry)</v>
          </cell>
          <cell r="R25">
            <v>56.1</v>
          </cell>
          <cell r="S25">
            <v>54.29999999999999</v>
          </cell>
          <cell r="T25">
            <v>58.29999999999999</v>
          </cell>
          <cell r="U25" t="str">
            <v>TJ</v>
          </cell>
        </row>
        <row r="26">
          <cell r="Q26" t="str">
            <v>Natural Gas (household)</v>
          </cell>
          <cell r="R26">
            <v>56.1</v>
          </cell>
          <cell r="S26">
            <v>54.29999999999999</v>
          </cell>
          <cell r="T26">
            <v>58.29999999999999</v>
          </cell>
          <cell r="U26" t="str">
            <v>TJ</v>
          </cell>
        </row>
        <row r="27">
          <cell r="Q27" t="str">
            <v>Liquefied Natural Gas</v>
          </cell>
          <cell r="R27">
            <v>64.2</v>
          </cell>
          <cell r="S27">
            <v>58.29999999999999</v>
          </cell>
          <cell r="T27">
            <v>70.400000000000006</v>
          </cell>
          <cell r="U27" t="str">
            <v>TJ</v>
          </cell>
        </row>
        <row r="28">
          <cell r="Q28" t="str">
            <v>Coal</v>
          </cell>
          <cell r="R28">
            <v>211.11111111111114</v>
          </cell>
          <cell r="S28">
            <v>186.11111111111111</v>
          </cell>
          <cell r="T28">
            <v>241.66666666666669</v>
          </cell>
          <cell r="U28" t="str">
            <v>TJ</v>
          </cell>
        </row>
        <row r="29">
          <cell r="Q29" t="str">
            <v>Oil</v>
          </cell>
          <cell r="R29">
            <v>73.099999999999994</v>
          </cell>
          <cell r="S29">
            <v>71.499999999999986</v>
          </cell>
          <cell r="T29">
            <v>74.666666666666671</v>
          </cell>
          <cell r="U29" t="str">
            <v>TJ</v>
          </cell>
        </row>
        <row r="30">
          <cell r="Q30" t="str">
            <v>Conventional Grid Generation (weighted average of Coal, Oil, NG)</v>
          </cell>
          <cell r="R30">
            <v>149.1745638130248</v>
          </cell>
          <cell r="U30" t="str">
            <v>TJ</v>
          </cell>
        </row>
        <row r="31">
          <cell r="Q31" t="str">
            <v>Electricity to Consumer</v>
          </cell>
          <cell r="R31" t="str">
            <v>see Grid Emissions Factors</v>
          </cell>
          <cell r="S31" t="str">
            <v>see Grid Emissions Factors</v>
          </cell>
          <cell r="T31" t="str">
            <v>see Grid Emissions Factors</v>
          </cell>
        </row>
        <row r="32">
          <cell r="Q32" t="str">
            <v>Current CHP Mix</v>
          </cell>
          <cell r="R32">
            <v>109.31435918256869</v>
          </cell>
          <cell r="U32" t="str">
            <v>TJ</v>
          </cell>
        </row>
        <row r="33">
          <cell r="Q33" t="str">
            <v>Space Heating &amp; Cooling (weighted average)</v>
          </cell>
          <cell r="R33">
            <v>61.051339971807074</v>
          </cell>
          <cell r="U33" t="str">
            <v>TJ</v>
          </cell>
        </row>
        <row r="34">
          <cell r="Q34" t="str">
            <v>Water heating CONV (weighted average)</v>
          </cell>
          <cell r="R34">
            <v>83.014470418203686</v>
          </cell>
          <cell r="U34" t="str">
            <v>TJ</v>
          </cell>
        </row>
        <row r="35">
          <cell r="Q35" t="str">
            <v>Solid Biofuels</v>
          </cell>
          <cell r="R35">
            <v>108</v>
          </cell>
          <cell r="S35">
            <v>91.566666666666663</v>
          </cell>
          <cell r="T35">
            <v>127</v>
          </cell>
          <cell r="U35" t="str">
            <v>TJ</v>
          </cell>
        </row>
        <row r="36">
          <cell r="Q36" t="str">
            <v>Gas Biomass</v>
          </cell>
          <cell r="R36">
            <v>102.43333333333334</v>
          </cell>
          <cell r="S36">
            <v>86.8</v>
          </cell>
          <cell r="T36">
            <v>119.66666666666667</v>
          </cell>
          <cell r="U36" t="str">
            <v>TJ</v>
          </cell>
        </row>
        <row r="37">
          <cell r="Q37" t="str">
            <v>Landfill Gas</v>
          </cell>
          <cell r="R37">
            <v>54.6</v>
          </cell>
          <cell r="S37">
            <v>46.2</v>
          </cell>
          <cell r="T37">
            <v>66</v>
          </cell>
          <cell r="U37" t="str">
            <v>TJ</v>
          </cell>
        </row>
        <row r="38">
          <cell r="Q38" t="str">
            <v>Biogas (sludge and other)</v>
          </cell>
          <cell r="R38">
            <v>54.6</v>
          </cell>
          <cell r="S38">
            <v>46.2</v>
          </cell>
          <cell r="T38">
            <v>66</v>
          </cell>
          <cell r="U38" t="str">
            <v>TJ</v>
          </cell>
        </row>
        <row r="64">
          <cell r="A64" t="str">
            <v>REF Grid EFs kg CO2 per kwh</v>
          </cell>
        </row>
        <row r="120">
          <cell r="A120" t="str">
            <v>PDS Grid EFs kg CO2-eq per kwh</v>
          </cell>
        </row>
        <row r="177">
          <cell r="A177" t="str">
            <v>PDS Grid EFs kg CO2 per kwh</v>
          </cell>
        </row>
      </sheetData>
      <sheetData sheetId="21">
        <row r="7">
          <cell r="A7" t="str">
            <v>CH4 Tons Reduced</v>
          </cell>
        </row>
        <row r="62">
          <cell r="A62" t="str">
            <v>CH4 PPB CALCULATOR</v>
          </cell>
        </row>
      </sheetData>
      <sheetData sheetId="22">
        <row r="77">
          <cell r="A77" t="str">
            <v>Scenario 1</v>
          </cell>
          <cell r="B77" t="str">
            <v>LimitedAdoption26%</v>
          </cell>
        </row>
        <row r="78">
          <cell r="A78" t="str">
            <v>Year</v>
          </cell>
          <cell r="B78" t="str">
            <v>World</v>
          </cell>
        </row>
        <row r="79">
          <cell r="A79">
            <v>2012</v>
          </cell>
        </row>
        <row r="80">
          <cell r="A80">
            <v>2013</v>
          </cell>
        </row>
        <row r="81">
          <cell r="A81">
            <v>2014</v>
          </cell>
          <cell r="B81">
            <v>9134560880.3102417</v>
          </cell>
        </row>
        <row r="82">
          <cell r="A82">
            <v>2015</v>
          </cell>
          <cell r="B82">
            <v>9289320572.8695068</v>
          </cell>
        </row>
        <row r="83">
          <cell r="A83">
            <v>2016</v>
          </cell>
          <cell r="B83">
            <v>9444080265.428772</v>
          </cell>
        </row>
        <row r="84">
          <cell r="A84">
            <v>2017</v>
          </cell>
          <cell r="B84">
            <v>9598839957.9880371</v>
          </cell>
        </row>
        <row r="85">
          <cell r="A85">
            <v>2018</v>
          </cell>
          <cell r="B85">
            <v>9753599650.5473022</v>
          </cell>
        </row>
        <row r="86">
          <cell r="A86">
            <v>2019</v>
          </cell>
          <cell r="B86">
            <v>9908359343.1065063</v>
          </cell>
        </row>
        <row r="87">
          <cell r="A87">
            <v>2020</v>
          </cell>
          <cell r="B87">
            <v>10063119035.665771</v>
          </cell>
        </row>
        <row r="88">
          <cell r="A88">
            <v>2021</v>
          </cell>
          <cell r="B88">
            <v>10217878728.225037</v>
          </cell>
        </row>
        <row r="89">
          <cell r="A89">
            <v>2022</v>
          </cell>
          <cell r="B89">
            <v>10372638420.784302</v>
          </cell>
        </row>
        <row r="90">
          <cell r="A90">
            <v>2023</v>
          </cell>
          <cell r="B90">
            <v>10527398113.343567</v>
          </cell>
        </row>
        <row r="91">
          <cell r="A91">
            <v>2024</v>
          </cell>
          <cell r="B91">
            <v>10682157805.902832</v>
          </cell>
        </row>
        <row r="92">
          <cell r="A92">
            <v>2025</v>
          </cell>
          <cell r="B92">
            <v>10836917498.462036</v>
          </cell>
        </row>
        <row r="93">
          <cell r="A93">
            <v>2026</v>
          </cell>
          <cell r="B93">
            <v>10991677191.021301</v>
          </cell>
        </row>
        <row r="94">
          <cell r="A94">
            <v>2027</v>
          </cell>
          <cell r="B94">
            <v>11146436883.580566</v>
          </cell>
        </row>
        <row r="95">
          <cell r="A95">
            <v>2028</v>
          </cell>
          <cell r="B95">
            <v>11301196576.139832</v>
          </cell>
        </row>
        <row r="96">
          <cell r="A96">
            <v>2029</v>
          </cell>
          <cell r="B96">
            <v>11455956268.699097</v>
          </cell>
        </row>
        <row r="97">
          <cell r="A97">
            <v>2030</v>
          </cell>
          <cell r="B97">
            <v>11610715961.258362</v>
          </cell>
        </row>
        <row r="98">
          <cell r="A98">
            <v>2031</v>
          </cell>
          <cell r="B98">
            <v>11765475653.817627</v>
          </cell>
        </row>
        <row r="99">
          <cell r="A99">
            <v>2032</v>
          </cell>
          <cell r="B99">
            <v>11920235346.376831</v>
          </cell>
        </row>
        <row r="100">
          <cell r="A100">
            <v>2033</v>
          </cell>
          <cell r="B100">
            <v>12074995038.936096</v>
          </cell>
        </row>
        <row r="101">
          <cell r="A101">
            <v>2034</v>
          </cell>
          <cell r="B101">
            <v>12229754731.495361</v>
          </cell>
        </row>
        <row r="102">
          <cell r="A102">
            <v>2035</v>
          </cell>
          <cell r="B102">
            <v>12384514424.054626</v>
          </cell>
        </row>
        <row r="103">
          <cell r="A103">
            <v>2036</v>
          </cell>
          <cell r="B103">
            <v>12539274116.613892</v>
          </cell>
        </row>
        <row r="104">
          <cell r="A104">
            <v>2037</v>
          </cell>
          <cell r="B104">
            <v>12694033809.173157</v>
          </cell>
        </row>
        <row r="105">
          <cell r="A105">
            <v>2038</v>
          </cell>
          <cell r="B105">
            <v>12848793501.732422</v>
          </cell>
        </row>
        <row r="106">
          <cell r="A106">
            <v>2039</v>
          </cell>
          <cell r="B106">
            <v>13003553194.291626</v>
          </cell>
        </row>
        <row r="107">
          <cell r="A107">
            <v>2040</v>
          </cell>
          <cell r="B107">
            <v>13158312886.850891</v>
          </cell>
        </row>
        <row r="108">
          <cell r="A108">
            <v>2041</v>
          </cell>
          <cell r="B108">
            <v>13313072579.410156</v>
          </cell>
        </row>
        <row r="109">
          <cell r="A109">
            <v>2042</v>
          </cell>
          <cell r="B109">
            <v>13467832271.969421</v>
          </cell>
        </row>
        <row r="110">
          <cell r="A110">
            <v>2043</v>
          </cell>
          <cell r="B110">
            <v>13622591964.528687</v>
          </cell>
        </row>
        <row r="111">
          <cell r="A111">
            <v>2044</v>
          </cell>
          <cell r="B111">
            <v>13777351657.087952</v>
          </cell>
        </row>
        <row r="112">
          <cell r="A112">
            <v>2045</v>
          </cell>
          <cell r="B112">
            <v>13932111349.647156</v>
          </cell>
        </row>
        <row r="113">
          <cell r="A113">
            <v>2046</v>
          </cell>
          <cell r="B113">
            <v>14086871042.206421</v>
          </cell>
        </row>
        <row r="114">
          <cell r="A114">
            <v>2047</v>
          </cell>
          <cell r="B114">
            <v>14241630734.765686</v>
          </cell>
        </row>
        <row r="115">
          <cell r="A115">
            <v>2048</v>
          </cell>
          <cell r="B115">
            <v>14396390427.324951</v>
          </cell>
        </row>
        <row r="116">
          <cell r="A116">
            <v>2049</v>
          </cell>
          <cell r="B116">
            <v>14551150119.884216</v>
          </cell>
        </row>
        <row r="117">
          <cell r="A117">
            <v>2050</v>
          </cell>
          <cell r="B117">
            <v>14705909812.443481</v>
          </cell>
        </row>
        <row r="118">
          <cell r="A118">
            <v>2051</v>
          </cell>
          <cell r="B118">
            <v>14860669505.002747</v>
          </cell>
        </row>
        <row r="119">
          <cell r="A119">
            <v>2052</v>
          </cell>
          <cell r="B119">
            <v>15015429197.561951</v>
          </cell>
        </row>
        <row r="120">
          <cell r="A120">
            <v>2053</v>
          </cell>
          <cell r="B120">
            <v>15170188890.121216</v>
          </cell>
        </row>
        <row r="121">
          <cell r="A121">
            <v>2054</v>
          </cell>
          <cell r="B121">
            <v>15324948582.680481</v>
          </cell>
        </row>
        <row r="122">
          <cell r="A122">
            <v>2055</v>
          </cell>
          <cell r="B122">
            <v>15479708275.239746</v>
          </cell>
        </row>
        <row r="123">
          <cell r="A123">
            <v>2056</v>
          </cell>
          <cell r="B123">
            <v>15634467967.799011</v>
          </cell>
        </row>
        <row r="124">
          <cell r="A124">
            <v>2057</v>
          </cell>
          <cell r="B124">
            <v>15789227660.358276</v>
          </cell>
        </row>
        <row r="125">
          <cell r="A125">
            <v>2058</v>
          </cell>
          <cell r="B125">
            <v>15943987352.91748</v>
          </cell>
        </row>
        <row r="126">
          <cell r="A126">
            <v>2059</v>
          </cell>
          <cell r="B126">
            <v>16098747045.476746</v>
          </cell>
        </row>
        <row r="127">
          <cell r="A127">
            <v>2060</v>
          </cell>
          <cell r="B127">
            <v>16253506738.036011</v>
          </cell>
        </row>
        <row r="128">
          <cell r="A128" t="str">
            <v>Back to top</v>
          </cell>
        </row>
        <row r="131">
          <cell r="A131" t="str">
            <v>Scenario 2</v>
          </cell>
          <cell r="B131" t="str">
            <v>LimitedAdoption31%</v>
          </cell>
        </row>
        <row r="132">
          <cell r="A132" t="str">
            <v>Year</v>
          </cell>
          <cell r="B132" t="str">
            <v>World</v>
          </cell>
        </row>
        <row r="133">
          <cell r="A133">
            <v>2012</v>
          </cell>
        </row>
        <row r="134">
          <cell r="A134">
            <v>2013</v>
          </cell>
        </row>
        <row r="135">
          <cell r="A135">
            <v>2014</v>
          </cell>
          <cell r="B135">
            <v>9134560880.3102417</v>
          </cell>
        </row>
        <row r="136">
          <cell r="A136">
            <v>2015</v>
          </cell>
          <cell r="B136">
            <v>9370767857.6066895</v>
          </cell>
        </row>
        <row r="137">
          <cell r="A137">
            <v>2016</v>
          </cell>
          <cell r="B137">
            <v>9606974834.9031372</v>
          </cell>
        </row>
        <row r="138">
          <cell r="A138">
            <v>2017</v>
          </cell>
          <cell r="B138">
            <v>9843181812.199585</v>
          </cell>
        </row>
        <row r="139">
          <cell r="A139">
            <v>2018</v>
          </cell>
          <cell r="B139">
            <v>10079388789.496033</v>
          </cell>
        </row>
        <row r="140">
          <cell r="A140">
            <v>2019</v>
          </cell>
          <cell r="B140">
            <v>10315595766.79248</v>
          </cell>
        </row>
        <row r="141">
          <cell r="A141">
            <v>2020</v>
          </cell>
          <cell r="B141">
            <v>10551802744.088928</v>
          </cell>
        </row>
        <row r="142">
          <cell r="A142">
            <v>2021</v>
          </cell>
          <cell r="B142">
            <v>10788009721.385315</v>
          </cell>
        </row>
        <row r="143">
          <cell r="A143">
            <v>2022</v>
          </cell>
          <cell r="B143">
            <v>11024216698.681763</v>
          </cell>
        </row>
        <row r="144">
          <cell r="A144">
            <v>2023</v>
          </cell>
          <cell r="B144">
            <v>11260423675.97821</v>
          </cell>
        </row>
        <row r="145">
          <cell r="A145">
            <v>2024</v>
          </cell>
          <cell r="B145">
            <v>11496630653.274658</v>
          </cell>
        </row>
        <row r="146">
          <cell r="A146">
            <v>2025</v>
          </cell>
          <cell r="B146">
            <v>11732837630.571106</v>
          </cell>
        </row>
        <row r="147">
          <cell r="A147">
            <v>2026</v>
          </cell>
          <cell r="B147">
            <v>11969044607.867554</v>
          </cell>
        </row>
        <row r="148">
          <cell r="A148">
            <v>2027</v>
          </cell>
          <cell r="B148">
            <v>12205251585.164001</v>
          </cell>
        </row>
        <row r="149">
          <cell r="A149">
            <v>2028</v>
          </cell>
          <cell r="B149">
            <v>12441458562.460449</v>
          </cell>
        </row>
        <row r="150">
          <cell r="A150">
            <v>2029</v>
          </cell>
          <cell r="B150">
            <v>12677665539.756897</v>
          </cell>
        </row>
        <row r="151">
          <cell r="A151">
            <v>2030</v>
          </cell>
          <cell r="B151">
            <v>12913872517.053345</v>
          </cell>
        </row>
        <row r="152">
          <cell r="A152">
            <v>2031</v>
          </cell>
          <cell r="B152">
            <v>13150079494.349792</v>
          </cell>
        </row>
        <row r="153">
          <cell r="A153">
            <v>2032</v>
          </cell>
          <cell r="B153">
            <v>13386286471.646179</v>
          </cell>
        </row>
        <row r="154">
          <cell r="A154">
            <v>2033</v>
          </cell>
          <cell r="B154">
            <v>13622493448.942627</v>
          </cell>
        </row>
        <row r="155">
          <cell r="A155">
            <v>2034</v>
          </cell>
          <cell r="B155">
            <v>13858700426.239075</v>
          </cell>
        </row>
        <row r="156">
          <cell r="A156">
            <v>2035</v>
          </cell>
          <cell r="B156">
            <v>14094907403.535522</v>
          </cell>
        </row>
        <row r="157">
          <cell r="A157">
            <v>2036</v>
          </cell>
          <cell r="B157">
            <v>14331114380.83197</v>
          </cell>
        </row>
        <row r="158">
          <cell r="A158">
            <v>2037</v>
          </cell>
          <cell r="B158">
            <v>14567321358.128418</v>
          </cell>
        </row>
        <row r="159">
          <cell r="A159">
            <v>2038</v>
          </cell>
          <cell r="B159">
            <v>14803528335.424866</v>
          </cell>
        </row>
        <row r="160">
          <cell r="A160">
            <v>2039</v>
          </cell>
          <cell r="B160">
            <v>15039735312.721313</v>
          </cell>
        </row>
        <row r="161">
          <cell r="A161">
            <v>2040</v>
          </cell>
          <cell r="B161">
            <v>15275942290.017761</v>
          </cell>
        </row>
        <row r="162">
          <cell r="A162">
            <v>2041</v>
          </cell>
          <cell r="B162">
            <v>15512149267.314209</v>
          </cell>
        </row>
        <row r="163">
          <cell r="A163">
            <v>2042</v>
          </cell>
          <cell r="B163">
            <v>15748356244.610657</v>
          </cell>
        </row>
        <row r="164">
          <cell r="A164">
            <v>2043</v>
          </cell>
          <cell r="B164">
            <v>15984563221.907043</v>
          </cell>
        </row>
        <row r="165">
          <cell r="A165">
            <v>2044</v>
          </cell>
          <cell r="B165">
            <v>16220770199.203491</v>
          </cell>
        </row>
        <row r="166">
          <cell r="A166">
            <v>2045</v>
          </cell>
          <cell r="B166">
            <v>16456977176.499939</v>
          </cell>
        </row>
        <row r="167">
          <cell r="A167">
            <v>2046</v>
          </cell>
          <cell r="B167">
            <v>16693184153.796387</v>
          </cell>
        </row>
        <row r="168">
          <cell r="A168">
            <v>2047</v>
          </cell>
          <cell r="B168">
            <v>16929391131.092834</v>
          </cell>
        </row>
        <row r="169">
          <cell r="A169">
            <v>2048</v>
          </cell>
          <cell r="B169">
            <v>17165598108.389282</v>
          </cell>
        </row>
        <row r="170">
          <cell r="A170">
            <v>2049</v>
          </cell>
          <cell r="B170">
            <v>17401805085.68573</v>
          </cell>
        </row>
        <row r="171">
          <cell r="A171">
            <v>2050</v>
          </cell>
          <cell r="B171">
            <v>17638012062.982178</v>
          </cell>
        </row>
        <row r="172">
          <cell r="A172">
            <v>2051</v>
          </cell>
          <cell r="B172">
            <v>17874219040.278625</v>
          </cell>
        </row>
        <row r="173">
          <cell r="A173">
            <v>2052</v>
          </cell>
          <cell r="B173">
            <v>18110426017.575073</v>
          </cell>
        </row>
        <row r="174">
          <cell r="A174">
            <v>2053</v>
          </cell>
          <cell r="B174">
            <v>18346632994.871521</v>
          </cell>
        </row>
        <row r="175">
          <cell r="A175">
            <v>2054</v>
          </cell>
          <cell r="B175">
            <v>18582839972.167908</v>
          </cell>
        </row>
        <row r="176">
          <cell r="A176">
            <v>2055</v>
          </cell>
          <cell r="B176">
            <v>18819046949.464355</v>
          </cell>
        </row>
        <row r="177">
          <cell r="A177">
            <v>2056</v>
          </cell>
          <cell r="B177">
            <v>19055253926.760803</v>
          </cell>
        </row>
        <row r="178">
          <cell r="A178">
            <v>2057</v>
          </cell>
          <cell r="B178">
            <v>19291460904.057251</v>
          </cell>
        </row>
        <row r="179">
          <cell r="A179">
            <v>2058</v>
          </cell>
          <cell r="B179">
            <v>19527667881.353699</v>
          </cell>
        </row>
        <row r="180">
          <cell r="A180">
            <v>2059</v>
          </cell>
          <cell r="B180">
            <v>19763874858.650146</v>
          </cell>
        </row>
        <row r="181">
          <cell r="A181">
            <v>2060</v>
          </cell>
          <cell r="B181">
            <v>20000081835.946594</v>
          </cell>
        </row>
        <row r="182">
          <cell r="A182" t="str">
            <v>Back to top</v>
          </cell>
        </row>
        <row r="185">
          <cell r="A185" t="str">
            <v>Scenario 3</v>
          </cell>
          <cell r="B185" t="str">
            <v>MediumAdoption35%</v>
          </cell>
        </row>
        <row r="186">
          <cell r="A186" t="str">
            <v>Year</v>
          </cell>
          <cell r="B186" t="str">
            <v>World</v>
          </cell>
        </row>
        <row r="187">
          <cell r="A187">
            <v>2012</v>
          </cell>
        </row>
        <row r="188">
          <cell r="A188">
            <v>2013</v>
          </cell>
        </row>
        <row r="189">
          <cell r="A189">
            <v>2014</v>
          </cell>
          <cell r="B189">
            <v>9134560880.3101807</v>
          </cell>
        </row>
        <row r="190">
          <cell r="A190">
            <v>2015</v>
          </cell>
          <cell r="B190">
            <v>9446272560.1833496</v>
          </cell>
        </row>
        <row r="191">
          <cell r="A191">
            <v>2016</v>
          </cell>
          <cell r="B191">
            <v>9757984240.0565186</v>
          </cell>
        </row>
        <row r="192">
          <cell r="A192">
            <v>2017</v>
          </cell>
          <cell r="B192">
            <v>10069695919.929565</v>
          </cell>
        </row>
        <row r="193">
          <cell r="A193">
            <v>2018</v>
          </cell>
          <cell r="B193">
            <v>10381407599.802734</v>
          </cell>
        </row>
        <row r="194">
          <cell r="A194">
            <v>2019</v>
          </cell>
          <cell r="B194">
            <v>10693119279.675903</v>
          </cell>
        </row>
        <row r="195">
          <cell r="A195">
            <v>2020</v>
          </cell>
          <cell r="B195">
            <v>11004830959.549072</v>
          </cell>
        </row>
        <row r="196">
          <cell r="A196">
            <v>2021</v>
          </cell>
          <cell r="B196">
            <v>11316542639.422119</v>
          </cell>
        </row>
        <row r="197">
          <cell r="A197">
            <v>2022</v>
          </cell>
          <cell r="B197">
            <v>11628254319.295288</v>
          </cell>
        </row>
        <row r="198">
          <cell r="A198">
            <v>2023</v>
          </cell>
          <cell r="B198">
            <v>11939965999.168457</v>
          </cell>
        </row>
        <row r="199">
          <cell r="A199">
            <v>2024</v>
          </cell>
          <cell r="B199">
            <v>12251677679.041504</v>
          </cell>
        </row>
        <row r="200">
          <cell r="A200">
            <v>2025</v>
          </cell>
          <cell r="B200">
            <v>12563389358.914673</v>
          </cell>
        </row>
        <row r="201">
          <cell r="A201">
            <v>2026</v>
          </cell>
          <cell r="B201">
            <v>12875101038.787842</v>
          </cell>
        </row>
        <row r="202">
          <cell r="A202">
            <v>2027</v>
          </cell>
          <cell r="B202">
            <v>13186812718.661011</v>
          </cell>
        </row>
        <row r="203">
          <cell r="A203">
            <v>2028</v>
          </cell>
          <cell r="B203">
            <v>13498524398.534058</v>
          </cell>
        </row>
        <row r="204">
          <cell r="A204">
            <v>2029</v>
          </cell>
          <cell r="B204">
            <v>13810236078.407227</v>
          </cell>
        </row>
        <row r="205">
          <cell r="A205">
            <v>2030</v>
          </cell>
          <cell r="B205">
            <v>14121947758.280396</v>
          </cell>
        </row>
        <row r="206">
          <cell r="A206">
            <v>2031</v>
          </cell>
          <cell r="B206">
            <v>14433659438.153564</v>
          </cell>
        </row>
        <row r="207">
          <cell r="A207">
            <v>2032</v>
          </cell>
          <cell r="B207">
            <v>14745371118.026611</v>
          </cell>
        </row>
        <row r="208">
          <cell r="A208">
            <v>2033</v>
          </cell>
          <cell r="B208">
            <v>15057082797.89978</v>
          </cell>
        </row>
        <row r="209">
          <cell r="A209">
            <v>2034</v>
          </cell>
          <cell r="B209">
            <v>15368794477.772949</v>
          </cell>
        </row>
        <row r="210">
          <cell r="A210">
            <v>2035</v>
          </cell>
          <cell r="B210">
            <v>15680506157.645996</v>
          </cell>
        </row>
        <row r="211">
          <cell r="A211">
            <v>2036</v>
          </cell>
          <cell r="B211">
            <v>15992217837.519165</v>
          </cell>
        </row>
        <row r="212">
          <cell r="A212">
            <v>2037</v>
          </cell>
          <cell r="B212">
            <v>16303929517.392334</v>
          </cell>
        </row>
        <row r="213">
          <cell r="A213">
            <v>2038</v>
          </cell>
          <cell r="B213">
            <v>16615641197.265503</v>
          </cell>
        </row>
        <row r="214">
          <cell r="A214">
            <v>2039</v>
          </cell>
          <cell r="B214">
            <v>16927352877.13855</v>
          </cell>
        </row>
        <row r="215">
          <cell r="A215">
            <v>2040</v>
          </cell>
          <cell r="B215">
            <v>17239064557.011719</v>
          </cell>
        </row>
        <row r="216">
          <cell r="A216">
            <v>2041</v>
          </cell>
          <cell r="B216">
            <v>17550776236.884888</v>
          </cell>
        </row>
        <row r="217">
          <cell r="A217">
            <v>2042</v>
          </cell>
          <cell r="B217">
            <v>17862487916.758057</v>
          </cell>
        </row>
        <row r="218">
          <cell r="A218">
            <v>2043</v>
          </cell>
          <cell r="B218">
            <v>18174199596.631104</v>
          </cell>
        </row>
        <row r="219">
          <cell r="A219">
            <v>2044</v>
          </cell>
          <cell r="B219">
            <v>18485911276.504272</v>
          </cell>
        </row>
        <row r="220">
          <cell r="A220">
            <v>2045</v>
          </cell>
          <cell r="B220">
            <v>18797622956.377441</v>
          </cell>
        </row>
        <row r="221">
          <cell r="A221">
            <v>2046</v>
          </cell>
          <cell r="B221">
            <v>19109334636.25061</v>
          </cell>
        </row>
        <row r="222">
          <cell r="A222">
            <v>2047</v>
          </cell>
          <cell r="B222">
            <v>19421046316.123657</v>
          </cell>
        </row>
        <row r="223">
          <cell r="A223">
            <v>2048</v>
          </cell>
          <cell r="B223">
            <v>19732757995.996826</v>
          </cell>
        </row>
        <row r="224">
          <cell r="A224">
            <v>2049</v>
          </cell>
          <cell r="B224">
            <v>20044469675.869995</v>
          </cell>
        </row>
        <row r="225">
          <cell r="A225">
            <v>2050</v>
          </cell>
          <cell r="B225">
            <v>20356181355.743042</v>
          </cell>
        </row>
        <row r="226">
          <cell r="A226">
            <v>2051</v>
          </cell>
          <cell r="B226">
            <v>20667893035.616211</v>
          </cell>
        </row>
        <row r="227">
          <cell r="A227">
            <v>2052</v>
          </cell>
          <cell r="B227">
            <v>20979604715.48938</v>
          </cell>
        </row>
        <row r="228">
          <cell r="A228">
            <v>2053</v>
          </cell>
          <cell r="B228">
            <v>21291316395.362549</v>
          </cell>
        </row>
        <row r="229">
          <cell r="A229">
            <v>2054</v>
          </cell>
          <cell r="B229">
            <v>21603028075.235596</v>
          </cell>
        </row>
        <row r="230">
          <cell r="A230">
            <v>2055</v>
          </cell>
          <cell r="B230">
            <v>21914739755.108765</v>
          </cell>
        </row>
        <row r="231">
          <cell r="A231">
            <v>2056</v>
          </cell>
          <cell r="B231">
            <v>22226451434.981934</v>
          </cell>
        </row>
        <row r="232">
          <cell r="A232">
            <v>2057</v>
          </cell>
          <cell r="B232">
            <v>22538163114.855103</v>
          </cell>
        </row>
        <row r="233">
          <cell r="A233">
            <v>2058</v>
          </cell>
          <cell r="B233">
            <v>22849874794.728149</v>
          </cell>
        </row>
        <row r="234">
          <cell r="A234">
            <v>2059</v>
          </cell>
          <cell r="B234">
            <v>23161586474.601318</v>
          </cell>
        </row>
        <row r="235">
          <cell r="A235">
            <v>2060</v>
          </cell>
          <cell r="B235">
            <v>23473298154.474487</v>
          </cell>
        </row>
        <row r="236">
          <cell r="A236" t="str">
            <v>Back to top</v>
          </cell>
        </row>
        <row r="239">
          <cell r="A239" t="str">
            <v>Scenario 4</v>
          </cell>
          <cell r="B239" t="str">
            <v>MediumAdoption45%</v>
          </cell>
        </row>
        <row r="240">
          <cell r="A240" t="str">
            <v>Year</v>
          </cell>
          <cell r="B240" t="str">
            <v>World</v>
          </cell>
        </row>
        <row r="241">
          <cell r="A241">
            <v>2012</v>
          </cell>
        </row>
        <row r="242">
          <cell r="A242">
            <v>2013</v>
          </cell>
        </row>
        <row r="243">
          <cell r="A243">
            <v>2014</v>
          </cell>
          <cell r="B243">
            <v>9134560880.3101807</v>
          </cell>
        </row>
        <row r="244">
          <cell r="A244">
            <v>2015</v>
          </cell>
          <cell r="B244">
            <v>9600247854.8674316</v>
          </cell>
        </row>
        <row r="245">
          <cell r="A245">
            <v>2016</v>
          </cell>
          <cell r="B245">
            <v>10065934829.424683</v>
          </cell>
        </row>
        <row r="246">
          <cell r="A246">
            <v>2017</v>
          </cell>
          <cell r="B246">
            <v>10531621803.981934</v>
          </cell>
        </row>
        <row r="247">
          <cell r="A247">
            <v>2018</v>
          </cell>
          <cell r="B247">
            <v>10997308778.539185</v>
          </cell>
        </row>
        <row r="248">
          <cell r="A248">
            <v>2019</v>
          </cell>
          <cell r="B248">
            <v>11462995753.096436</v>
          </cell>
        </row>
        <row r="249">
          <cell r="A249">
            <v>2020</v>
          </cell>
          <cell r="B249">
            <v>11928682727.653687</v>
          </cell>
        </row>
        <row r="250">
          <cell r="A250">
            <v>2021</v>
          </cell>
          <cell r="B250">
            <v>12394369702.210938</v>
          </cell>
        </row>
        <row r="251">
          <cell r="A251">
            <v>2022</v>
          </cell>
          <cell r="B251">
            <v>12860056676.768188</v>
          </cell>
        </row>
        <row r="252">
          <cell r="A252">
            <v>2023</v>
          </cell>
          <cell r="B252">
            <v>13325743651.325439</v>
          </cell>
        </row>
        <row r="253">
          <cell r="A253">
            <v>2024</v>
          </cell>
          <cell r="B253">
            <v>13791430625.88269</v>
          </cell>
        </row>
        <row r="254">
          <cell r="A254">
            <v>2025</v>
          </cell>
          <cell r="B254">
            <v>14257117600.439941</v>
          </cell>
        </row>
        <row r="255">
          <cell r="A255">
            <v>2026</v>
          </cell>
          <cell r="B255">
            <v>14722804574.997192</v>
          </cell>
        </row>
        <row r="256">
          <cell r="A256">
            <v>2027</v>
          </cell>
          <cell r="B256">
            <v>15188491549.554443</v>
          </cell>
        </row>
        <row r="257">
          <cell r="A257">
            <v>2028</v>
          </cell>
          <cell r="B257">
            <v>15654178524.111694</v>
          </cell>
        </row>
        <row r="258">
          <cell r="A258">
            <v>2029</v>
          </cell>
          <cell r="B258">
            <v>16119865498.668945</v>
          </cell>
        </row>
        <row r="259">
          <cell r="A259">
            <v>2030</v>
          </cell>
          <cell r="B259">
            <v>16585552473.226196</v>
          </cell>
        </row>
        <row r="260">
          <cell r="A260">
            <v>2031</v>
          </cell>
          <cell r="B260">
            <v>17051239447.783447</v>
          </cell>
        </row>
        <row r="261">
          <cell r="A261">
            <v>2032</v>
          </cell>
          <cell r="B261">
            <v>17516926422.340698</v>
          </cell>
        </row>
        <row r="262">
          <cell r="A262">
            <v>2033</v>
          </cell>
          <cell r="B262">
            <v>17982613396.897827</v>
          </cell>
        </row>
        <row r="263">
          <cell r="A263">
            <v>2034</v>
          </cell>
          <cell r="B263">
            <v>18448300371.455078</v>
          </cell>
        </row>
        <row r="264">
          <cell r="A264">
            <v>2035</v>
          </cell>
          <cell r="B264">
            <v>18913987346.012329</v>
          </cell>
        </row>
        <row r="265">
          <cell r="A265">
            <v>2036</v>
          </cell>
          <cell r="B265">
            <v>19379674320.56958</v>
          </cell>
        </row>
        <row r="266">
          <cell r="A266">
            <v>2037</v>
          </cell>
          <cell r="B266">
            <v>19845361295.126831</v>
          </cell>
        </row>
        <row r="267">
          <cell r="A267">
            <v>2038</v>
          </cell>
          <cell r="B267">
            <v>20311048269.684082</v>
          </cell>
        </row>
        <row r="268">
          <cell r="A268">
            <v>2039</v>
          </cell>
          <cell r="B268">
            <v>20776735244.241333</v>
          </cell>
        </row>
        <row r="269">
          <cell r="A269">
            <v>2040</v>
          </cell>
          <cell r="B269">
            <v>21242422218.798584</v>
          </cell>
        </row>
        <row r="270">
          <cell r="A270">
            <v>2041</v>
          </cell>
          <cell r="B270">
            <v>21708109193.355835</v>
          </cell>
        </row>
        <row r="271">
          <cell r="A271">
            <v>2042</v>
          </cell>
          <cell r="B271">
            <v>22173796167.913086</v>
          </cell>
        </row>
        <row r="272">
          <cell r="A272">
            <v>2043</v>
          </cell>
          <cell r="B272">
            <v>22639483142.470337</v>
          </cell>
        </row>
        <row r="273">
          <cell r="A273">
            <v>2044</v>
          </cell>
          <cell r="B273">
            <v>23105170117.027588</v>
          </cell>
        </row>
        <row r="274">
          <cell r="A274">
            <v>2045</v>
          </cell>
          <cell r="B274">
            <v>23570857091.584839</v>
          </cell>
        </row>
        <row r="275">
          <cell r="A275">
            <v>2046</v>
          </cell>
          <cell r="B275">
            <v>24036544066.14209</v>
          </cell>
        </row>
        <row r="276">
          <cell r="A276">
            <v>2047</v>
          </cell>
          <cell r="B276">
            <v>24502231040.699341</v>
          </cell>
        </row>
        <row r="277">
          <cell r="A277">
            <v>2048</v>
          </cell>
          <cell r="B277">
            <v>24967918015.256592</v>
          </cell>
        </row>
        <row r="278">
          <cell r="A278">
            <v>2049</v>
          </cell>
          <cell r="B278">
            <v>25433604989.813843</v>
          </cell>
        </row>
        <row r="279">
          <cell r="A279">
            <v>2050</v>
          </cell>
          <cell r="B279">
            <v>25899291964.371094</v>
          </cell>
        </row>
        <row r="280">
          <cell r="A280">
            <v>2051</v>
          </cell>
          <cell r="B280">
            <v>26364978938.928345</v>
          </cell>
        </row>
        <row r="281">
          <cell r="A281">
            <v>2052</v>
          </cell>
          <cell r="B281">
            <v>26830665913.485596</v>
          </cell>
        </row>
        <row r="282">
          <cell r="A282">
            <v>2053</v>
          </cell>
          <cell r="B282">
            <v>27296352888.042847</v>
          </cell>
        </row>
        <row r="283">
          <cell r="A283">
            <v>2054</v>
          </cell>
          <cell r="B283">
            <v>27762039862.600098</v>
          </cell>
        </row>
        <row r="284">
          <cell r="A284">
            <v>2055</v>
          </cell>
          <cell r="B284">
            <v>28227726837.157349</v>
          </cell>
        </row>
        <row r="285">
          <cell r="A285">
            <v>2056</v>
          </cell>
          <cell r="B285">
            <v>28693413811.7146</v>
          </cell>
        </row>
        <row r="286">
          <cell r="A286">
            <v>2057</v>
          </cell>
          <cell r="B286">
            <v>29159100786.271851</v>
          </cell>
        </row>
        <row r="287">
          <cell r="A287">
            <v>2058</v>
          </cell>
          <cell r="B287">
            <v>29624787760.829102</v>
          </cell>
        </row>
        <row r="288">
          <cell r="A288">
            <v>2059</v>
          </cell>
          <cell r="B288">
            <v>30090474735.386353</v>
          </cell>
        </row>
        <row r="289">
          <cell r="A289">
            <v>2060</v>
          </cell>
          <cell r="B289">
            <v>30556161709.943604</v>
          </cell>
        </row>
        <row r="290">
          <cell r="A290" t="str">
            <v>Back to top</v>
          </cell>
        </row>
        <row r="293">
          <cell r="A293" t="str">
            <v>Scenario 5</v>
          </cell>
          <cell r="B293" t="str">
            <v>HighAdoption48%</v>
          </cell>
        </row>
        <row r="294">
          <cell r="A294" t="str">
            <v>Year</v>
          </cell>
          <cell r="B294" t="str">
            <v>World</v>
          </cell>
        </row>
        <row r="295">
          <cell r="A295">
            <v>2012</v>
          </cell>
        </row>
        <row r="296">
          <cell r="A296">
            <v>2013</v>
          </cell>
        </row>
        <row r="297">
          <cell r="A297">
            <v>2014</v>
          </cell>
          <cell r="B297">
            <v>9134560880.3103027</v>
          </cell>
        </row>
        <row r="298">
          <cell r="A298">
            <v>2015</v>
          </cell>
          <cell r="B298">
            <v>9644038317.8693848</v>
          </cell>
        </row>
        <row r="299">
          <cell r="A299">
            <v>2016</v>
          </cell>
          <cell r="B299">
            <v>10153515755.428467</v>
          </cell>
        </row>
        <row r="300">
          <cell r="A300">
            <v>2017</v>
          </cell>
          <cell r="B300">
            <v>10662993192.987549</v>
          </cell>
        </row>
        <row r="301">
          <cell r="A301">
            <v>2018</v>
          </cell>
          <cell r="B301">
            <v>11172470630.546631</v>
          </cell>
        </row>
        <row r="302">
          <cell r="A302">
            <v>2019</v>
          </cell>
          <cell r="B302">
            <v>11681948068.105713</v>
          </cell>
        </row>
        <row r="303">
          <cell r="A303">
            <v>2020</v>
          </cell>
          <cell r="B303">
            <v>12191425505.664673</v>
          </cell>
        </row>
        <row r="304">
          <cell r="A304">
            <v>2021</v>
          </cell>
          <cell r="B304">
            <v>12700902943.223755</v>
          </cell>
        </row>
        <row r="305">
          <cell r="A305">
            <v>2022</v>
          </cell>
          <cell r="B305">
            <v>13210380380.782837</v>
          </cell>
        </row>
        <row r="306">
          <cell r="A306">
            <v>2023</v>
          </cell>
          <cell r="B306">
            <v>13719857818.341919</v>
          </cell>
        </row>
        <row r="307">
          <cell r="A307">
            <v>2024</v>
          </cell>
          <cell r="B307">
            <v>14229335255.901001</v>
          </cell>
        </row>
        <row r="308">
          <cell r="A308">
            <v>2025</v>
          </cell>
          <cell r="B308">
            <v>14738812693.460083</v>
          </cell>
        </row>
        <row r="309">
          <cell r="A309">
            <v>2026</v>
          </cell>
          <cell r="B309">
            <v>15248290131.019165</v>
          </cell>
        </row>
        <row r="310">
          <cell r="A310">
            <v>2027</v>
          </cell>
          <cell r="B310">
            <v>15757767568.578247</v>
          </cell>
        </row>
        <row r="311">
          <cell r="A311">
            <v>2028</v>
          </cell>
          <cell r="B311">
            <v>16267245006.137329</v>
          </cell>
        </row>
        <row r="312">
          <cell r="A312">
            <v>2029</v>
          </cell>
          <cell r="B312">
            <v>16776722443.696411</v>
          </cell>
        </row>
        <row r="313">
          <cell r="A313">
            <v>2030</v>
          </cell>
          <cell r="B313">
            <v>17286199881.255493</v>
          </cell>
        </row>
        <row r="314">
          <cell r="A314">
            <v>2031</v>
          </cell>
          <cell r="B314">
            <v>17795677318.814453</v>
          </cell>
        </row>
        <row r="315">
          <cell r="A315">
            <v>2032</v>
          </cell>
          <cell r="B315">
            <v>18305154756.373535</v>
          </cell>
        </row>
        <row r="316">
          <cell r="A316">
            <v>2033</v>
          </cell>
          <cell r="B316">
            <v>18814632193.932617</v>
          </cell>
        </row>
        <row r="317">
          <cell r="A317">
            <v>2034</v>
          </cell>
          <cell r="B317">
            <v>19324109631.491699</v>
          </cell>
        </row>
        <row r="318">
          <cell r="A318">
            <v>2035</v>
          </cell>
          <cell r="B318">
            <v>19833587069.050781</v>
          </cell>
        </row>
        <row r="319">
          <cell r="A319">
            <v>2036</v>
          </cell>
          <cell r="B319">
            <v>20343064506.609863</v>
          </cell>
        </row>
        <row r="320">
          <cell r="A320">
            <v>2037</v>
          </cell>
          <cell r="B320">
            <v>20852541944.168945</v>
          </cell>
        </row>
        <row r="321">
          <cell r="A321">
            <v>2038</v>
          </cell>
          <cell r="B321">
            <v>21362019381.728027</v>
          </cell>
        </row>
        <row r="322">
          <cell r="A322">
            <v>2039</v>
          </cell>
          <cell r="B322">
            <v>21871496819.287109</v>
          </cell>
        </row>
        <row r="323">
          <cell r="A323">
            <v>2040</v>
          </cell>
          <cell r="B323">
            <v>22380974256.846191</v>
          </cell>
        </row>
        <row r="324">
          <cell r="A324">
            <v>2041</v>
          </cell>
          <cell r="B324">
            <v>22890451694.405273</v>
          </cell>
        </row>
        <row r="325">
          <cell r="A325">
            <v>2042</v>
          </cell>
          <cell r="B325">
            <v>23399929131.964355</v>
          </cell>
        </row>
        <row r="326">
          <cell r="A326">
            <v>2043</v>
          </cell>
          <cell r="B326">
            <v>23909406569.523315</v>
          </cell>
        </row>
        <row r="327">
          <cell r="A327">
            <v>2044</v>
          </cell>
          <cell r="B327">
            <v>24418884007.082397</v>
          </cell>
        </row>
        <row r="328">
          <cell r="A328">
            <v>2045</v>
          </cell>
          <cell r="B328">
            <v>24928361444.641479</v>
          </cell>
        </row>
        <row r="329">
          <cell r="A329">
            <v>2046</v>
          </cell>
          <cell r="B329">
            <v>25437838882.200562</v>
          </cell>
        </row>
        <row r="330">
          <cell r="A330">
            <v>2047</v>
          </cell>
          <cell r="B330">
            <v>25947316319.759644</v>
          </cell>
        </row>
        <row r="331">
          <cell r="A331">
            <v>2048</v>
          </cell>
          <cell r="B331">
            <v>26456793757.318726</v>
          </cell>
        </row>
        <row r="332">
          <cell r="A332">
            <v>2049</v>
          </cell>
          <cell r="B332">
            <v>26966271194.877808</v>
          </cell>
        </row>
        <row r="333">
          <cell r="A333">
            <v>2050</v>
          </cell>
          <cell r="B333">
            <v>27475748632.43689</v>
          </cell>
        </row>
        <row r="334">
          <cell r="A334">
            <v>2051</v>
          </cell>
          <cell r="B334">
            <v>27985226069.995972</v>
          </cell>
        </row>
        <row r="335">
          <cell r="A335">
            <v>2052</v>
          </cell>
          <cell r="B335">
            <v>28494703507.555054</v>
          </cell>
        </row>
        <row r="336">
          <cell r="A336">
            <v>2053</v>
          </cell>
          <cell r="B336">
            <v>29004180945.114136</v>
          </cell>
        </row>
        <row r="337">
          <cell r="A337">
            <v>2054</v>
          </cell>
          <cell r="B337">
            <v>29513658382.673096</v>
          </cell>
        </row>
        <row r="338">
          <cell r="A338">
            <v>2055</v>
          </cell>
          <cell r="B338">
            <v>30023135820.232178</v>
          </cell>
        </row>
        <row r="339">
          <cell r="A339">
            <v>2056</v>
          </cell>
          <cell r="B339">
            <v>30532613257.79126</v>
          </cell>
        </row>
        <row r="340">
          <cell r="A340">
            <v>2057</v>
          </cell>
          <cell r="B340">
            <v>31042090695.350342</v>
          </cell>
        </row>
        <row r="341">
          <cell r="A341">
            <v>2058</v>
          </cell>
          <cell r="B341">
            <v>31551568132.909424</v>
          </cell>
        </row>
        <row r="342">
          <cell r="A342">
            <v>2059</v>
          </cell>
          <cell r="B342">
            <v>32061045570.468506</v>
          </cell>
        </row>
        <row r="343">
          <cell r="A343">
            <v>2060</v>
          </cell>
          <cell r="B343">
            <v>32570523008.027588</v>
          </cell>
        </row>
        <row r="344">
          <cell r="A344" t="str">
            <v>Back to top</v>
          </cell>
        </row>
        <row r="347">
          <cell r="A347" t="str">
            <v>Scenario 6</v>
          </cell>
          <cell r="B347" t="str">
            <v>HighAdoption57%</v>
          </cell>
        </row>
        <row r="348">
          <cell r="A348" t="str">
            <v>Year</v>
          </cell>
          <cell r="B348" t="str">
            <v>World</v>
          </cell>
        </row>
        <row r="349">
          <cell r="A349">
            <v>2012</v>
          </cell>
        </row>
        <row r="350">
          <cell r="A350">
            <v>2013</v>
          </cell>
        </row>
        <row r="351">
          <cell r="A351">
            <v>2014</v>
          </cell>
          <cell r="B351">
            <v>9134560880.3100586</v>
          </cell>
        </row>
        <row r="352">
          <cell r="A352">
            <v>2015</v>
          </cell>
          <cell r="B352">
            <v>9798013612.5534668</v>
          </cell>
        </row>
        <row r="353">
          <cell r="A353">
            <v>2016</v>
          </cell>
          <cell r="B353">
            <v>10461466344.796631</v>
          </cell>
        </row>
        <row r="354">
          <cell r="A354">
            <v>2017</v>
          </cell>
          <cell r="B354">
            <v>11124919077.039795</v>
          </cell>
        </row>
        <row r="355">
          <cell r="A355">
            <v>2018</v>
          </cell>
          <cell r="B355">
            <v>11788371809.282959</v>
          </cell>
        </row>
        <row r="356">
          <cell r="A356">
            <v>2019</v>
          </cell>
          <cell r="B356">
            <v>12451824541.526123</v>
          </cell>
        </row>
        <row r="357">
          <cell r="A357">
            <v>2020</v>
          </cell>
          <cell r="B357">
            <v>13115277273.769287</v>
          </cell>
        </row>
        <row r="358">
          <cell r="A358">
            <v>2021</v>
          </cell>
          <cell r="B358">
            <v>13778730006.012451</v>
          </cell>
        </row>
        <row r="359">
          <cell r="A359">
            <v>2022</v>
          </cell>
          <cell r="B359">
            <v>14442182738.255615</v>
          </cell>
        </row>
        <row r="360">
          <cell r="A360">
            <v>2023</v>
          </cell>
          <cell r="B360">
            <v>15105635470.498779</v>
          </cell>
        </row>
        <row r="361">
          <cell r="A361">
            <v>2024</v>
          </cell>
          <cell r="B361">
            <v>15769088202.741943</v>
          </cell>
        </row>
        <row r="362">
          <cell r="A362">
            <v>2025</v>
          </cell>
          <cell r="B362">
            <v>16432540934.985107</v>
          </cell>
        </row>
        <row r="363">
          <cell r="A363">
            <v>2026</v>
          </cell>
          <cell r="B363">
            <v>17095993667.228271</v>
          </cell>
        </row>
        <row r="364">
          <cell r="A364">
            <v>2027</v>
          </cell>
          <cell r="B364">
            <v>17759446399.471436</v>
          </cell>
        </row>
        <row r="365">
          <cell r="A365">
            <v>2028</v>
          </cell>
          <cell r="B365">
            <v>18422899131.7146</v>
          </cell>
        </row>
        <row r="366">
          <cell r="A366">
            <v>2029</v>
          </cell>
          <cell r="B366">
            <v>19086351863.958008</v>
          </cell>
        </row>
        <row r="367">
          <cell r="A367">
            <v>2030</v>
          </cell>
          <cell r="B367">
            <v>19749804596.201172</v>
          </cell>
        </row>
        <row r="368">
          <cell r="A368">
            <v>2031</v>
          </cell>
          <cell r="B368">
            <v>20413257328.444336</v>
          </cell>
        </row>
        <row r="369">
          <cell r="A369">
            <v>2032</v>
          </cell>
          <cell r="B369">
            <v>21076710060.6875</v>
          </cell>
        </row>
        <row r="370">
          <cell r="A370">
            <v>2033</v>
          </cell>
          <cell r="B370">
            <v>21740162792.930664</v>
          </cell>
        </row>
        <row r="371">
          <cell r="A371">
            <v>2034</v>
          </cell>
          <cell r="B371">
            <v>22403615525.173828</v>
          </cell>
        </row>
        <row r="372">
          <cell r="A372">
            <v>2035</v>
          </cell>
          <cell r="B372">
            <v>23067068257.416992</v>
          </cell>
        </row>
        <row r="373">
          <cell r="A373">
            <v>2036</v>
          </cell>
          <cell r="B373">
            <v>23730520989.660156</v>
          </cell>
        </row>
        <row r="374">
          <cell r="A374">
            <v>2037</v>
          </cell>
          <cell r="B374">
            <v>24393973721.90332</v>
          </cell>
        </row>
        <row r="375">
          <cell r="A375">
            <v>2038</v>
          </cell>
          <cell r="B375">
            <v>25057426454.146484</v>
          </cell>
        </row>
        <row r="376">
          <cell r="A376">
            <v>2039</v>
          </cell>
          <cell r="B376">
            <v>25720879186.389648</v>
          </cell>
        </row>
        <row r="377">
          <cell r="A377">
            <v>2040</v>
          </cell>
          <cell r="B377">
            <v>26384331918.632813</v>
          </cell>
        </row>
        <row r="378">
          <cell r="A378">
            <v>2041</v>
          </cell>
          <cell r="B378">
            <v>27047784650.875977</v>
          </cell>
        </row>
        <row r="379">
          <cell r="A379">
            <v>2042</v>
          </cell>
          <cell r="B379">
            <v>27711237383.119385</v>
          </cell>
        </row>
        <row r="380">
          <cell r="A380">
            <v>2043</v>
          </cell>
          <cell r="B380">
            <v>28374690115.362549</v>
          </cell>
        </row>
        <row r="381">
          <cell r="A381">
            <v>2044</v>
          </cell>
          <cell r="B381">
            <v>29038142847.605713</v>
          </cell>
        </row>
        <row r="382">
          <cell r="A382">
            <v>2045</v>
          </cell>
          <cell r="B382">
            <v>29701595579.848877</v>
          </cell>
        </row>
        <row r="383">
          <cell r="A383">
            <v>2046</v>
          </cell>
          <cell r="B383">
            <v>30365048312.092041</v>
          </cell>
        </row>
        <row r="384">
          <cell r="A384">
            <v>2047</v>
          </cell>
          <cell r="B384">
            <v>31028501044.335205</v>
          </cell>
        </row>
        <row r="385">
          <cell r="A385">
            <v>2048</v>
          </cell>
          <cell r="B385">
            <v>31691953776.578369</v>
          </cell>
        </row>
        <row r="386">
          <cell r="A386">
            <v>2049</v>
          </cell>
          <cell r="B386">
            <v>32355406508.821533</v>
          </cell>
        </row>
        <row r="387">
          <cell r="A387">
            <v>2050</v>
          </cell>
          <cell r="B387">
            <v>33018859241.064697</v>
          </cell>
        </row>
        <row r="388">
          <cell r="A388">
            <v>2051</v>
          </cell>
          <cell r="B388">
            <v>33682311973.307861</v>
          </cell>
        </row>
        <row r="389">
          <cell r="A389">
            <v>2052</v>
          </cell>
          <cell r="B389">
            <v>34345764705.551025</v>
          </cell>
        </row>
        <row r="390">
          <cell r="A390">
            <v>2053</v>
          </cell>
          <cell r="B390">
            <v>35009217437.794189</v>
          </cell>
        </row>
        <row r="391">
          <cell r="A391">
            <v>2054</v>
          </cell>
          <cell r="B391">
            <v>35672670170.037354</v>
          </cell>
        </row>
        <row r="392">
          <cell r="A392">
            <v>2055</v>
          </cell>
          <cell r="B392">
            <v>36336122902.280762</v>
          </cell>
        </row>
        <row r="393">
          <cell r="A393">
            <v>2056</v>
          </cell>
          <cell r="B393">
            <v>36999575634.523926</v>
          </cell>
        </row>
        <row r="394">
          <cell r="A394">
            <v>2057</v>
          </cell>
          <cell r="B394">
            <v>37663028366.76709</v>
          </cell>
        </row>
        <row r="395">
          <cell r="A395">
            <v>2058</v>
          </cell>
          <cell r="B395">
            <v>38326481099.010254</v>
          </cell>
        </row>
        <row r="396">
          <cell r="A396">
            <v>2059</v>
          </cell>
          <cell r="B396">
            <v>38989933831.253418</v>
          </cell>
        </row>
        <row r="397">
          <cell r="A397">
            <v>2060</v>
          </cell>
          <cell r="B397">
            <v>39653386563.496582</v>
          </cell>
        </row>
        <row r="398">
          <cell r="A398" t="str">
            <v>Back to top</v>
          </cell>
        </row>
        <row r="401">
          <cell r="A401" t="str">
            <v>Scenario 7</v>
          </cell>
          <cell r="B401" t="str">
            <v>MaxAdoption75%</v>
          </cell>
        </row>
        <row r="402">
          <cell r="A402" t="str">
            <v>Year</v>
          </cell>
          <cell r="B402" t="str">
            <v>World</v>
          </cell>
        </row>
        <row r="403">
          <cell r="A403">
            <v>2012</v>
          </cell>
        </row>
        <row r="404">
          <cell r="A404">
            <v>2013</v>
          </cell>
        </row>
        <row r="405">
          <cell r="A405">
            <v>2014</v>
          </cell>
          <cell r="B405">
            <v>9134560880.3103027</v>
          </cell>
        </row>
        <row r="406">
          <cell r="A406">
            <v>2015</v>
          </cell>
          <cell r="B406">
            <v>10081720621.287842</v>
          </cell>
        </row>
        <row r="407">
          <cell r="A407">
            <v>2016</v>
          </cell>
          <cell r="B407">
            <v>11028880362.265381</v>
          </cell>
        </row>
        <row r="408">
          <cell r="A408">
            <v>2017</v>
          </cell>
          <cell r="B408">
            <v>11976040103.24292</v>
          </cell>
        </row>
        <row r="409">
          <cell r="A409">
            <v>2018</v>
          </cell>
          <cell r="B409">
            <v>12923199844.220459</v>
          </cell>
        </row>
        <row r="410">
          <cell r="A410">
            <v>2019</v>
          </cell>
          <cell r="B410">
            <v>13870359585.197998</v>
          </cell>
        </row>
        <row r="411">
          <cell r="A411">
            <v>2020</v>
          </cell>
          <cell r="B411">
            <v>14817519326.175537</v>
          </cell>
        </row>
        <row r="412">
          <cell r="A412">
            <v>2021</v>
          </cell>
          <cell r="B412">
            <v>15764679067.153076</v>
          </cell>
        </row>
        <row r="413">
          <cell r="A413">
            <v>2022</v>
          </cell>
          <cell r="B413">
            <v>16711838808.130615</v>
          </cell>
        </row>
        <row r="414">
          <cell r="A414">
            <v>2023</v>
          </cell>
          <cell r="B414">
            <v>17658998549.108154</v>
          </cell>
        </row>
        <row r="415">
          <cell r="A415">
            <v>2024</v>
          </cell>
          <cell r="B415">
            <v>18606158290.085693</v>
          </cell>
        </row>
        <row r="416">
          <cell r="A416">
            <v>2025</v>
          </cell>
          <cell r="B416">
            <v>19553318031.063232</v>
          </cell>
        </row>
        <row r="417">
          <cell r="A417">
            <v>2026</v>
          </cell>
          <cell r="B417">
            <v>20500477772.040771</v>
          </cell>
        </row>
        <row r="418">
          <cell r="A418">
            <v>2027</v>
          </cell>
          <cell r="B418">
            <v>21447637513.018066</v>
          </cell>
        </row>
        <row r="419">
          <cell r="A419">
            <v>2028</v>
          </cell>
          <cell r="B419">
            <v>22394797253.995605</v>
          </cell>
        </row>
        <row r="420">
          <cell r="A420">
            <v>2029</v>
          </cell>
          <cell r="B420">
            <v>23341956994.973145</v>
          </cell>
        </row>
        <row r="421">
          <cell r="A421">
            <v>2030</v>
          </cell>
          <cell r="B421">
            <v>24289116735.950684</v>
          </cell>
        </row>
        <row r="422">
          <cell r="A422">
            <v>2031</v>
          </cell>
          <cell r="B422">
            <v>25236276476.928223</v>
          </cell>
        </row>
        <row r="423">
          <cell r="A423">
            <v>2032</v>
          </cell>
          <cell r="B423">
            <v>26183436217.905762</v>
          </cell>
        </row>
        <row r="424">
          <cell r="A424">
            <v>2033</v>
          </cell>
          <cell r="B424">
            <v>27130595958.883301</v>
          </cell>
        </row>
        <row r="425">
          <cell r="A425">
            <v>2034</v>
          </cell>
          <cell r="B425">
            <v>28077755699.86084</v>
          </cell>
        </row>
        <row r="426">
          <cell r="A426">
            <v>2035</v>
          </cell>
          <cell r="B426">
            <v>29024915440.838379</v>
          </cell>
        </row>
        <row r="427">
          <cell r="A427">
            <v>2036</v>
          </cell>
          <cell r="B427">
            <v>29972075181.815918</v>
          </cell>
        </row>
        <row r="428">
          <cell r="A428">
            <v>2037</v>
          </cell>
          <cell r="B428">
            <v>30919234922.793457</v>
          </cell>
        </row>
        <row r="429">
          <cell r="A429">
            <v>2038</v>
          </cell>
          <cell r="B429">
            <v>31866394663.770996</v>
          </cell>
        </row>
        <row r="430">
          <cell r="A430">
            <v>2039</v>
          </cell>
          <cell r="B430">
            <v>32813554404.748535</v>
          </cell>
        </row>
        <row r="431">
          <cell r="A431">
            <v>2040</v>
          </cell>
          <cell r="B431">
            <v>33760714145.726074</v>
          </cell>
        </row>
        <row r="432">
          <cell r="A432">
            <v>2041</v>
          </cell>
          <cell r="B432">
            <v>34707873886.703613</v>
          </cell>
        </row>
        <row r="433">
          <cell r="A433">
            <v>2042</v>
          </cell>
          <cell r="B433">
            <v>35655033627.681152</v>
          </cell>
        </row>
        <row r="434">
          <cell r="A434">
            <v>2043</v>
          </cell>
          <cell r="B434">
            <v>36602193368.658691</v>
          </cell>
        </row>
        <row r="435">
          <cell r="A435">
            <v>2044</v>
          </cell>
          <cell r="B435">
            <v>37549353109.63623</v>
          </cell>
        </row>
        <row r="436">
          <cell r="A436">
            <v>2045</v>
          </cell>
          <cell r="B436">
            <v>38496512850.61377</v>
          </cell>
        </row>
        <row r="437">
          <cell r="A437">
            <v>2046</v>
          </cell>
          <cell r="B437">
            <v>39443672591.591309</v>
          </cell>
        </row>
        <row r="438">
          <cell r="A438">
            <v>2047</v>
          </cell>
          <cell r="B438">
            <v>40390832332.568848</v>
          </cell>
        </row>
        <row r="439">
          <cell r="A439">
            <v>2048</v>
          </cell>
          <cell r="B439">
            <v>41337992073.546387</v>
          </cell>
        </row>
        <row r="440">
          <cell r="A440">
            <v>2049</v>
          </cell>
          <cell r="B440">
            <v>42285151814.523926</v>
          </cell>
        </row>
        <row r="441">
          <cell r="A441">
            <v>2050</v>
          </cell>
          <cell r="B441">
            <v>43232311555.501465</v>
          </cell>
        </row>
        <row r="442">
          <cell r="A442">
            <v>2051</v>
          </cell>
          <cell r="B442">
            <v>44179471296.479004</v>
          </cell>
        </row>
        <row r="443">
          <cell r="A443">
            <v>2052</v>
          </cell>
          <cell r="B443">
            <v>45126631037.456543</v>
          </cell>
        </row>
        <row r="444">
          <cell r="A444">
            <v>2053</v>
          </cell>
          <cell r="B444">
            <v>46073790778.434082</v>
          </cell>
        </row>
        <row r="445">
          <cell r="A445">
            <v>2054</v>
          </cell>
          <cell r="B445">
            <v>47020950519.411621</v>
          </cell>
        </row>
        <row r="446">
          <cell r="A446">
            <v>2055</v>
          </cell>
          <cell r="B446">
            <v>47968110260.38916</v>
          </cell>
        </row>
        <row r="447">
          <cell r="A447">
            <v>2056</v>
          </cell>
          <cell r="B447">
            <v>48915270001.366699</v>
          </cell>
        </row>
        <row r="448">
          <cell r="A448">
            <v>2057</v>
          </cell>
          <cell r="B448">
            <v>49862429742.344238</v>
          </cell>
        </row>
        <row r="449">
          <cell r="A449">
            <v>2058</v>
          </cell>
          <cell r="B449">
            <v>50809589483.321777</v>
          </cell>
        </row>
        <row r="450">
          <cell r="A450">
            <v>2059</v>
          </cell>
          <cell r="B450">
            <v>51756749224.299316</v>
          </cell>
        </row>
        <row r="451">
          <cell r="A451">
            <v>2060</v>
          </cell>
          <cell r="B451">
            <v>52703908965.276855</v>
          </cell>
        </row>
        <row r="452">
          <cell r="A452" t="str">
            <v>Back to top</v>
          </cell>
        </row>
        <row r="455">
          <cell r="A455" t="str">
            <v>Scenario 8</v>
          </cell>
          <cell r="B455" t="str">
            <v>[Type Scenario 8 Name Here...]</v>
          </cell>
        </row>
        <row r="456">
          <cell r="A456" t="str">
            <v>Year</v>
          </cell>
          <cell r="B456" t="str">
            <v>World</v>
          </cell>
        </row>
        <row r="457">
          <cell r="A457">
            <v>2012</v>
          </cell>
        </row>
        <row r="458">
          <cell r="A458">
            <v>2013</v>
          </cell>
        </row>
        <row r="459">
          <cell r="A459">
            <v>2014</v>
          </cell>
        </row>
        <row r="460">
          <cell r="A460">
            <v>2015</v>
          </cell>
        </row>
        <row r="461">
          <cell r="A461">
            <v>2016</v>
          </cell>
        </row>
        <row r="462">
          <cell r="A462">
            <v>2017</v>
          </cell>
        </row>
        <row r="463">
          <cell r="A463">
            <v>2018</v>
          </cell>
        </row>
        <row r="464">
          <cell r="A464">
            <v>2019</v>
          </cell>
        </row>
        <row r="465">
          <cell r="A465">
            <v>2020</v>
          </cell>
        </row>
        <row r="466">
          <cell r="A466">
            <v>2021</v>
          </cell>
        </row>
        <row r="467">
          <cell r="A467">
            <v>2022</v>
          </cell>
        </row>
        <row r="468">
          <cell r="A468">
            <v>2023</v>
          </cell>
        </row>
        <row r="469">
          <cell r="A469">
            <v>2024</v>
          </cell>
        </row>
        <row r="470">
          <cell r="A470">
            <v>2025</v>
          </cell>
        </row>
        <row r="471">
          <cell r="A471">
            <v>2026</v>
          </cell>
        </row>
        <row r="472">
          <cell r="A472">
            <v>2027</v>
          </cell>
        </row>
        <row r="473">
          <cell r="A473">
            <v>2028</v>
          </cell>
        </row>
        <row r="474">
          <cell r="A474">
            <v>2029</v>
          </cell>
        </row>
        <row r="475">
          <cell r="A475">
            <v>2030</v>
          </cell>
        </row>
        <row r="476">
          <cell r="A476">
            <v>2031</v>
          </cell>
        </row>
        <row r="477">
          <cell r="A477">
            <v>2032</v>
          </cell>
        </row>
        <row r="478">
          <cell r="A478">
            <v>2033</v>
          </cell>
        </row>
        <row r="479">
          <cell r="A479">
            <v>2034</v>
          </cell>
        </row>
        <row r="480">
          <cell r="A480">
            <v>2035</v>
          </cell>
        </row>
        <row r="481">
          <cell r="A481">
            <v>2036</v>
          </cell>
        </row>
        <row r="482">
          <cell r="A482">
            <v>2037</v>
          </cell>
        </row>
        <row r="483">
          <cell r="A483">
            <v>2038</v>
          </cell>
        </row>
        <row r="484">
          <cell r="A484">
            <v>2039</v>
          </cell>
        </row>
        <row r="485">
          <cell r="A485">
            <v>2040</v>
          </cell>
        </row>
        <row r="486">
          <cell r="A486">
            <v>2041</v>
          </cell>
        </row>
        <row r="487">
          <cell r="A487">
            <v>2042</v>
          </cell>
        </row>
        <row r="488">
          <cell r="A488">
            <v>2043</v>
          </cell>
        </row>
        <row r="489">
          <cell r="A489">
            <v>2044</v>
          </cell>
        </row>
        <row r="490">
          <cell r="A490">
            <v>2045</v>
          </cell>
        </row>
        <row r="491">
          <cell r="A491">
            <v>2046</v>
          </cell>
        </row>
        <row r="492">
          <cell r="A492">
            <v>2047</v>
          </cell>
        </row>
        <row r="493">
          <cell r="A493">
            <v>2048</v>
          </cell>
        </row>
        <row r="494">
          <cell r="A494">
            <v>2049</v>
          </cell>
        </row>
        <row r="495">
          <cell r="A495">
            <v>2050</v>
          </cell>
        </row>
        <row r="496">
          <cell r="A496">
            <v>2051</v>
          </cell>
        </row>
        <row r="497">
          <cell r="A497">
            <v>2052</v>
          </cell>
        </row>
        <row r="498">
          <cell r="A498">
            <v>2053</v>
          </cell>
        </row>
        <row r="499">
          <cell r="A499">
            <v>2054</v>
          </cell>
        </row>
        <row r="500">
          <cell r="A500">
            <v>2055</v>
          </cell>
        </row>
        <row r="501">
          <cell r="A501">
            <v>2056</v>
          </cell>
        </row>
        <row r="502">
          <cell r="A502">
            <v>2057</v>
          </cell>
        </row>
        <row r="503">
          <cell r="A503">
            <v>2058</v>
          </cell>
        </row>
        <row r="504">
          <cell r="A504">
            <v>2059</v>
          </cell>
        </row>
        <row r="505">
          <cell r="A505">
            <v>2060</v>
          </cell>
        </row>
        <row r="506">
          <cell r="A506" t="str">
            <v>Back to top</v>
          </cell>
        </row>
        <row r="509">
          <cell r="A509" t="str">
            <v>Scenario 9</v>
          </cell>
          <cell r="B509" t="str">
            <v>[Type Scenario 9 Name Here...]</v>
          </cell>
        </row>
        <row r="510">
          <cell r="A510" t="str">
            <v>Year</v>
          </cell>
          <cell r="B510" t="str">
            <v>World</v>
          </cell>
        </row>
        <row r="511">
          <cell r="A511">
            <v>2012</v>
          </cell>
        </row>
        <row r="512">
          <cell r="A512">
            <v>2013</v>
          </cell>
        </row>
        <row r="513">
          <cell r="A513">
            <v>2014</v>
          </cell>
        </row>
        <row r="514">
          <cell r="A514">
            <v>2015</v>
          </cell>
        </row>
        <row r="515">
          <cell r="A515">
            <v>2016</v>
          </cell>
        </row>
        <row r="516">
          <cell r="A516">
            <v>2017</v>
          </cell>
        </row>
        <row r="517">
          <cell r="A517">
            <v>2018</v>
          </cell>
        </row>
        <row r="518">
          <cell r="A518">
            <v>2019</v>
          </cell>
        </row>
        <row r="519">
          <cell r="A519">
            <v>2020</v>
          </cell>
        </row>
        <row r="520">
          <cell r="A520">
            <v>2021</v>
          </cell>
        </row>
        <row r="521">
          <cell r="A521">
            <v>2022</v>
          </cell>
        </row>
        <row r="522">
          <cell r="A522">
            <v>2023</v>
          </cell>
        </row>
        <row r="523">
          <cell r="A523">
            <v>2024</v>
          </cell>
        </row>
        <row r="524">
          <cell r="A524">
            <v>2025</v>
          </cell>
        </row>
        <row r="525">
          <cell r="A525">
            <v>2026</v>
          </cell>
        </row>
        <row r="526">
          <cell r="A526">
            <v>2027</v>
          </cell>
        </row>
        <row r="527">
          <cell r="A527">
            <v>2028</v>
          </cell>
        </row>
        <row r="528">
          <cell r="A528">
            <v>2029</v>
          </cell>
        </row>
        <row r="529">
          <cell r="A529">
            <v>2030</v>
          </cell>
        </row>
        <row r="530">
          <cell r="A530">
            <v>2031</v>
          </cell>
        </row>
        <row r="531">
          <cell r="A531">
            <v>2032</v>
          </cell>
        </row>
        <row r="532">
          <cell r="A532">
            <v>2033</v>
          </cell>
        </row>
        <row r="533">
          <cell r="A533">
            <v>2034</v>
          </cell>
        </row>
        <row r="534">
          <cell r="A534">
            <v>2035</v>
          </cell>
        </row>
        <row r="535">
          <cell r="A535">
            <v>2036</v>
          </cell>
        </row>
        <row r="536">
          <cell r="A536">
            <v>2037</v>
          </cell>
        </row>
        <row r="537">
          <cell r="A537">
            <v>2038</v>
          </cell>
        </row>
        <row r="538">
          <cell r="A538">
            <v>2039</v>
          </cell>
        </row>
        <row r="539">
          <cell r="A539">
            <v>2040</v>
          </cell>
        </row>
        <row r="540">
          <cell r="A540">
            <v>2041</v>
          </cell>
        </row>
        <row r="541">
          <cell r="A541">
            <v>2042</v>
          </cell>
        </row>
        <row r="542">
          <cell r="A542">
            <v>2043</v>
          </cell>
        </row>
        <row r="543">
          <cell r="A543">
            <v>2044</v>
          </cell>
        </row>
        <row r="544">
          <cell r="A544">
            <v>2045</v>
          </cell>
        </row>
        <row r="545">
          <cell r="A545">
            <v>2046</v>
          </cell>
        </row>
        <row r="546">
          <cell r="A546">
            <v>2047</v>
          </cell>
        </row>
        <row r="547">
          <cell r="A547">
            <v>2048</v>
          </cell>
        </row>
        <row r="548">
          <cell r="A548">
            <v>2049</v>
          </cell>
        </row>
        <row r="549">
          <cell r="A549">
            <v>2050</v>
          </cell>
        </row>
        <row r="550">
          <cell r="A550">
            <v>2051</v>
          </cell>
        </row>
        <row r="551">
          <cell r="A551">
            <v>2052</v>
          </cell>
        </row>
        <row r="552">
          <cell r="A552">
            <v>2053</v>
          </cell>
        </row>
        <row r="553">
          <cell r="A553">
            <v>2054</v>
          </cell>
        </row>
        <row r="554">
          <cell r="A554">
            <v>2055</v>
          </cell>
        </row>
        <row r="555">
          <cell r="A555">
            <v>2056</v>
          </cell>
        </row>
        <row r="556">
          <cell r="A556">
            <v>2057</v>
          </cell>
        </row>
        <row r="557">
          <cell r="A557">
            <v>2058</v>
          </cell>
        </row>
        <row r="558">
          <cell r="A558">
            <v>2059</v>
          </cell>
        </row>
        <row r="559">
          <cell r="A559">
            <v>2060</v>
          </cell>
        </row>
        <row r="560">
          <cell r="A560" t="str">
            <v>Back to top</v>
          </cell>
        </row>
        <row r="563">
          <cell r="A563" t="str">
            <v>Scenario 10</v>
          </cell>
          <cell r="B563" t="str">
            <v>[Type Scenario 10 Name Here...]</v>
          </cell>
        </row>
        <row r="564">
          <cell r="A564" t="str">
            <v>Year</v>
          </cell>
          <cell r="B564" t="str">
            <v>World</v>
          </cell>
        </row>
        <row r="565">
          <cell r="A565">
            <v>2012</v>
          </cell>
        </row>
        <row r="566">
          <cell r="A566">
            <v>2013</v>
          </cell>
        </row>
        <row r="567">
          <cell r="A567">
            <v>2014</v>
          </cell>
        </row>
        <row r="568">
          <cell r="A568">
            <v>2015</v>
          </cell>
        </row>
        <row r="569">
          <cell r="A569">
            <v>2016</v>
          </cell>
        </row>
        <row r="570">
          <cell r="A570">
            <v>2017</v>
          </cell>
        </row>
        <row r="571">
          <cell r="A571">
            <v>2018</v>
          </cell>
        </row>
        <row r="572">
          <cell r="A572">
            <v>2019</v>
          </cell>
        </row>
        <row r="573">
          <cell r="A573">
            <v>2020</v>
          </cell>
        </row>
        <row r="574">
          <cell r="A574">
            <v>2021</v>
          </cell>
        </row>
        <row r="575">
          <cell r="A575">
            <v>2022</v>
          </cell>
        </row>
        <row r="576">
          <cell r="A576">
            <v>2023</v>
          </cell>
        </row>
        <row r="577">
          <cell r="A577">
            <v>2024</v>
          </cell>
        </row>
        <row r="578">
          <cell r="A578">
            <v>2025</v>
          </cell>
        </row>
        <row r="579">
          <cell r="A579">
            <v>2026</v>
          </cell>
        </row>
        <row r="580">
          <cell r="A580">
            <v>2027</v>
          </cell>
        </row>
        <row r="581">
          <cell r="A581">
            <v>2028</v>
          </cell>
        </row>
        <row r="582">
          <cell r="A582">
            <v>2029</v>
          </cell>
        </row>
        <row r="583">
          <cell r="A583">
            <v>2030</v>
          </cell>
        </row>
        <row r="584">
          <cell r="A584">
            <v>2031</v>
          </cell>
        </row>
        <row r="585">
          <cell r="A585">
            <v>2032</v>
          </cell>
        </row>
        <row r="586">
          <cell r="A586">
            <v>2033</v>
          </cell>
        </row>
        <row r="587">
          <cell r="A587">
            <v>2034</v>
          </cell>
        </row>
        <row r="588">
          <cell r="A588">
            <v>2035</v>
          </cell>
        </row>
        <row r="589">
          <cell r="A589">
            <v>2036</v>
          </cell>
        </row>
        <row r="590">
          <cell r="A590">
            <v>2037</v>
          </cell>
        </row>
        <row r="591">
          <cell r="A591">
            <v>2038</v>
          </cell>
        </row>
        <row r="592">
          <cell r="A592">
            <v>2039</v>
          </cell>
        </row>
        <row r="593">
          <cell r="A593">
            <v>2040</v>
          </cell>
        </row>
        <row r="594">
          <cell r="A594">
            <v>2041</v>
          </cell>
        </row>
        <row r="595">
          <cell r="A595">
            <v>2042</v>
          </cell>
        </row>
        <row r="596">
          <cell r="A596">
            <v>2043</v>
          </cell>
        </row>
        <row r="597">
          <cell r="A597">
            <v>2044</v>
          </cell>
        </row>
        <row r="598">
          <cell r="A598">
            <v>2045</v>
          </cell>
        </row>
        <row r="599">
          <cell r="A599">
            <v>2046</v>
          </cell>
        </row>
        <row r="600">
          <cell r="A600">
            <v>2047</v>
          </cell>
        </row>
        <row r="601">
          <cell r="A601">
            <v>2048</v>
          </cell>
        </row>
        <row r="602">
          <cell r="A602">
            <v>2049</v>
          </cell>
        </row>
        <row r="603">
          <cell r="A603">
            <v>2050</v>
          </cell>
        </row>
        <row r="604">
          <cell r="A604">
            <v>2051</v>
          </cell>
        </row>
        <row r="605">
          <cell r="A605">
            <v>2052</v>
          </cell>
        </row>
        <row r="606">
          <cell r="A606">
            <v>2053</v>
          </cell>
        </row>
        <row r="607">
          <cell r="A607">
            <v>2054</v>
          </cell>
        </row>
        <row r="608">
          <cell r="A608">
            <v>2055</v>
          </cell>
        </row>
        <row r="609">
          <cell r="A609">
            <v>2056</v>
          </cell>
        </row>
        <row r="610">
          <cell r="A610">
            <v>2057</v>
          </cell>
        </row>
        <row r="611">
          <cell r="A611">
            <v>2058</v>
          </cell>
        </row>
        <row r="612">
          <cell r="A612">
            <v>2059</v>
          </cell>
        </row>
        <row r="613">
          <cell r="A613">
            <v>2060</v>
          </cell>
        </row>
        <row r="614">
          <cell r="A614" t="str">
            <v>Back to top</v>
          </cell>
        </row>
      </sheetData>
      <sheetData sheetId="23">
        <row r="77">
          <cell r="A77" t="str">
            <v>Scenario 1</v>
          </cell>
          <cell r="B77" t="str">
            <v>[Type Scenario 1 Name Here (REF CASE)...]</v>
          </cell>
        </row>
        <row r="78">
          <cell r="A78" t="str">
            <v>Year</v>
          </cell>
          <cell r="B78" t="str">
            <v>World</v>
          </cell>
          <cell r="C78" t="str">
            <v>OECD90</v>
          </cell>
          <cell r="D78" t="str">
            <v>Eastern Europe</v>
          </cell>
          <cell r="E78" t="str">
            <v>Asia (Sans Japan)</v>
          </cell>
          <cell r="F78" t="str">
            <v>Middle East and Africa</v>
          </cell>
          <cell r="G78" t="str">
            <v>Latin America</v>
          </cell>
          <cell r="H78" t="str">
            <v>China</v>
          </cell>
          <cell r="I78" t="str">
            <v>India</v>
          </cell>
          <cell r="J78" t="str">
            <v>EU</v>
          </cell>
          <cell r="K78" t="str">
            <v>USA</v>
          </cell>
        </row>
        <row r="79">
          <cell r="A79">
            <v>2012</v>
          </cell>
        </row>
        <row r="80">
          <cell r="A80">
            <v>2013</v>
          </cell>
        </row>
        <row r="81">
          <cell r="A81">
            <v>2014</v>
          </cell>
        </row>
        <row r="82">
          <cell r="A82">
            <v>2015</v>
          </cell>
        </row>
        <row r="83">
          <cell r="A83">
            <v>2016</v>
          </cell>
        </row>
        <row r="84">
          <cell r="A84">
            <v>2017</v>
          </cell>
        </row>
        <row r="85">
          <cell r="A85">
            <v>2018</v>
          </cell>
        </row>
        <row r="86">
          <cell r="A86">
            <v>2019</v>
          </cell>
        </row>
        <row r="87">
          <cell r="A87">
            <v>2020</v>
          </cell>
        </row>
        <row r="88">
          <cell r="A88">
            <v>2021</v>
          </cell>
        </row>
        <row r="89">
          <cell r="A89">
            <v>2022</v>
          </cell>
        </row>
        <row r="90">
          <cell r="A90">
            <v>2023</v>
          </cell>
        </row>
        <row r="91">
          <cell r="A91">
            <v>2024</v>
          </cell>
        </row>
        <row r="92">
          <cell r="A92">
            <v>2025</v>
          </cell>
        </row>
        <row r="93">
          <cell r="A93">
            <v>2026</v>
          </cell>
        </row>
        <row r="94">
          <cell r="A94">
            <v>2027</v>
          </cell>
        </row>
        <row r="95">
          <cell r="A95">
            <v>2028</v>
          </cell>
        </row>
        <row r="96">
          <cell r="A96">
            <v>2029</v>
          </cell>
        </row>
        <row r="97">
          <cell r="A97">
            <v>2030</v>
          </cell>
        </row>
        <row r="98">
          <cell r="A98">
            <v>2031</v>
          </cell>
        </row>
        <row r="99">
          <cell r="A99">
            <v>2032</v>
          </cell>
        </row>
        <row r="100">
          <cell r="A100">
            <v>2033</v>
          </cell>
        </row>
        <row r="101">
          <cell r="A101">
            <v>2034</v>
          </cell>
        </row>
        <row r="102">
          <cell r="A102">
            <v>2035</v>
          </cell>
        </row>
        <row r="103">
          <cell r="A103">
            <v>2036</v>
          </cell>
        </row>
        <row r="104">
          <cell r="A104">
            <v>2037</v>
          </cell>
        </row>
        <row r="105">
          <cell r="A105">
            <v>2038</v>
          </cell>
        </row>
        <row r="106">
          <cell r="A106">
            <v>2039</v>
          </cell>
        </row>
        <row r="107">
          <cell r="A107">
            <v>2040</v>
          </cell>
        </row>
        <row r="108">
          <cell r="A108">
            <v>2041</v>
          </cell>
        </row>
        <row r="109">
          <cell r="A109">
            <v>2042</v>
          </cell>
        </row>
        <row r="110">
          <cell r="A110">
            <v>2043</v>
          </cell>
        </row>
        <row r="111">
          <cell r="A111">
            <v>2044</v>
          </cell>
        </row>
        <row r="112">
          <cell r="A112">
            <v>2045</v>
          </cell>
        </row>
        <row r="113">
          <cell r="A113">
            <v>2046</v>
          </cell>
        </row>
        <row r="114">
          <cell r="A114">
            <v>2047</v>
          </cell>
        </row>
        <row r="115">
          <cell r="A115">
            <v>2048</v>
          </cell>
        </row>
        <row r="116">
          <cell r="A116">
            <v>2049</v>
          </cell>
        </row>
        <row r="117">
          <cell r="A117">
            <v>2050</v>
          </cell>
        </row>
        <row r="118">
          <cell r="A118">
            <v>2051</v>
          </cell>
        </row>
        <row r="119">
          <cell r="A119">
            <v>2052</v>
          </cell>
        </row>
        <row r="120">
          <cell r="A120">
            <v>2053</v>
          </cell>
        </row>
        <row r="121">
          <cell r="A121">
            <v>2054</v>
          </cell>
        </row>
        <row r="122">
          <cell r="A122">
            <v>2055</v>
          </cell>
        </row>
        <row r="123">
          <cell r="A123">
            <v>2056</v>
          </cell>
        </row>
        <row r="124">
          <cell r="A124">
            <v>2057</v>
          </cell>
        </row>
        <row r="125">
          <cell r="A125">
            <v>2058</v>
          </cell>
        </row>
        <row r="126">
          <cell r="A126">
            <v>2059</v>
          </cell>
        </row>
        <row r="127">
          <cell r="A127">
            <v>2060</v>
          </cell>
        </row>
        <row r="128">
          <cell r="A128" t="str">
            <v>Back to top</v>
          </cell>
        </row>
        <row r="131">
          <cell r="A131" t="str">
            <v>Scenario 2</v>
          </cell>
          <cell r="B131" t="str">
            <v>[Type Scenario 2 Name Here (REF CASE)...]</v>
          </cell>
        </row>
        <row r="132">
          <cell r="A132" t="str">
            <v>Year</v>
          </cell>
          <cell r="B132" t="str">
            <v>World</v>
          </cell>
          <cell r="C132" t="str">
            <v>OECD90</v>
          </cell>
          <cell r="D132" t="str">
            <v>Eastern Europe</v>
          </cell>
          <cell r="E132" t="str">
            <v>Asia (Sans Japan)</v>
          </cell>
          <cell r="F132" t="str">
            <v>Middle East and Africa</v>
          </cell>
          <cell r="G132" t="str">
            <v>Latin America</v>
          </cell>
          <cell r="H132" t="str">
            <v>China</v>
          </cell>
          <cell r="I132" t="str">
            <v>India</v>
          </cell>
          <cell r="J132" t="str">
            <v>EU</v>
          </cell>
          <cell r="K132" t="str">
            <v>USA</v>
          </cell>
        </row>
        <row r="133">
          <cell r="A133">
            <v>2012</v>
          </cell>
        </row>
        <row r="134">
          <cell r="A134">
            <v>2013</v>
          </cell>
        </row>
        <row r="135">
          <cell r="A135">
            <v>2014</v>
          </cell>
        </row>
        <row r="136">
          <cell r="A136">
            <v>2015</v>
          </cell>
        </row>
        <row r="137">
          <cell r="A137">
            <v>2016</v>
          </cell>
        </row>
        <row r="138">
          <cell r="A138">
            <v>2017</v>
          </cell>
        </row>
        <row r="139">
          <cell r="A139">
            <v>2018</v>
          </cell>
        </row>
        <row r="140">
          <cell r="A140">
            <v>2019</v>
          </cell>
        </row>
        <row r="141">
          <cell r="A141">
            <v>2020</v>
          </cell>
        </row>
        <row r="142">
          <cell r="A142">
            <v>2021</v>
          </cell>
        </row>
        <row r="143">
          <cell r="A143">
            <v>2022</v>
          </cell>
        </row>
        <row r="144">
          <cell r="A144">
            <v>2023</v>
          </cell>
        </row>
        <row r="145">
          <cell r="A145">
            <v>2024</v>
          </cell>
        </row>
        <row r="146">
          <cell r="A146">
            <v>2025</v>
          </cell>
        </row>
        <row r="147">
          <cell r="A147">
            <v>2026</v>
          </cell>
        </row>
        <row r="148">
          <cell r="A148">
            <v>2027</v>
          </cell>
        </row>
        <row r="149">
          <cell r="A149">
            <v>2028</v>
          </cell>
        </row>
        <row r="150">
          <cell r="A150">
            <v>2029</v>
          </cell>
        </row>
        <row r="151">
          <cell r="A151">
            <v>2030</v>
          </cell>
        </row>
        <row r="152">
          <cell r="A152">
            <v>2031</v>
          </cell>
        </row>
        <row r="153">
          <cell r="A153">
            <v>2032</v>
          </cell>
        </row>
        <row r="154">
          <cell r="A154">
            <v>2033</v>
          </cell>
        </row>
        <row r="155">
          <cell r="A155">
            <v>2034</v>
          </cell>
        </row>
        <row r="156">
          <cell r="A156">
            <v>2035</v>
          </cell>
        </row>
        <row r="157">
          <cell r="A157">
            <v>2036</v>
          </cell>
        </row>
        <row r="158">
          <cell r="A158">
            <v>2037</v>
          </cell>
        </row>
        <row r="159">
          <cell r="A159">
            <v>2038</v>
          </cell>
        </row>
        <row r="160">
          <cell r="A160">
            <v>2039</v>
          </cell>
        </row>
        <row r="161">
          <cell r="A161">
            <v>2040</v>
          </cell>
        </row>
        <row r="162">
          <cell r="A162">
            <v>2041</v>
          </cell>
        </row>
        <row r="163">
          <cell r="A163">
            <v>2042</v>
          </cell>
        </row>
        <row r="164">
          <cell r="A164">
            <v>2043</v>
          </cell>
        </row>
        <row r="165">
          <cell r="A165">
            <v>2044</v>
          </cell>
        </row>
        <row r="166">
          <cell r="A166">
            <v>2045</v>
          </cell>
        </row>
        <row r="167">
          <cell r="A167">
            <v>2046</v>
          </cell>
        </row>
        <row r="168">
          <cell r="A168">
            <v>2047</v>
          </cell>
        </row>
        <row r="169">
          <cell r="A169">
            <v>2048</v>
          </cell>
        </row>
        <row r="170">
          <cell r="A170">
            <v>2049</v>
          </cell>
        </row>
        <row r="171">
          <cell r="A171">
            <v>2050</v>
          </cell>
        </row>
        <row r="172">
          <cell r="A172">
            <v>2051</v>
          </cell>
        </row>
        <row r="173">
          <cell r="A173">
            <v>2052</v>
          </cell>
        </row>
        <row r="174">
          <cell r="A174">
            <v>2053</v>
          </cell>
        </row>
        <row r="175">
          <cell r="A175">
            <v>2054</v>
          </cell>
        </row>
        <row r="176">
          <cell r="A176">
            <v>2055</v>
          </cell>
        </row>
        <row r="177">
          <cell r="A177">
            <v>2056</v>
          </cell>
        </row>
        <row r="178">
          <cell r="A178">
            <v>2057</v>
          </cell>
        </row>
        <row r="179">
          <cell r="A179">
            <v>2058</v>
          </cell>
        </row>
        <row r="180">
          <cell r="A180">
            <v>2059</v>
          </cell>
        </row>
        <row r="181">
          <cell r="A181">
            <v>2060</v>
          </cell>
        </row>
        <row r="182">
          <cell r="A182" t="str">
            <v>Back to top</v>
          </cell>
        </row>
        <row r="185">
          <cell r="A185" t="str">
            <v>Scenario 3</v>
          </cell>
          <cell r="B185" t="str">
            <v>[Type Scenario 3 Name Here (REF CASE)...]</v>
          </cell>
        </row>
        <row r="186">
          <cell r="A186" t="str">
            <v>Year</v>
          </cell>
          <cell r="B186" t="str">
            <v>World</v>
          </cell>
          <cell r="C186" t="str">
            <v>OECD90</v>
          </cell>
          <cell r="D186" t="str">
            <v>Eastern Europe</v>
          </cell>
          <cell r="E186" t="str">
            <v>Asia (Sans Japan)</v>
          </cell>
          <cell r="F186" t="str">
            <v>Middle East and Africa</v>
          </cell>
          <cell r="G186" t="str">
            <v>Latin America</v>
          </cell>
          <cell r="H186" t="str">
            <v>China</v>
          </cell>
          <cell r="I186" t="str">
            <v>India</v>
          </cell>
          <cell r="J186" t="str">
            <v>EU</v>
          </cell>
          <cell r="K186" t="str">
            <v>USA</v>
          </cell>
        </row>
        <row r="187">
          <cell r="A187">
            <v>2012</v>
          </cell>
        </row>
        <row r="188">
          <cell r="A188">
            <v>2013</v>
          </cell>
        </row>
        <row r="189">
          <cell r="A189">
            <v>2014</v>
          </cell>
        </row>
        <row r="190">
          <cell r="A190">
            <v>2015</v>
          </cell>
        </row>
        <row r="191">
          <cell r="A191">
            <v>2016</v>
          </cell>
        </row>
        <row r="192">
          <cell r="A192">
            <v>2017</v>
          </cell>
        </row>
        <row r="193">
          <cell r="A193">
            <v>2018</v>
          </cell>
        </row>
        <row r="194">
          <cell r="A194">
            <v>2019</v>
          </cell>
        </row>
        <row r="195">
          <cell r="A195">
            <v>2020</v>
          </cell>
        </row>
        <row r="196">
          <cell r="A196">
            <v>2021</v>
          </cell>
        </row>
        <row r="197">
          <cell r="A197">
            <v>2022</v>
          </cell>
        </row>
        <row r="198">
          <cell r="A198">
            <v>2023</v>
          </cell>
        </row>
        <row r="199">
          <cell r="A199">
            <v>2024</v>
          </cell>
        </row>
        <row r="200">
          <cell r="A200">
            <v>2025</v>
          </cell>
        </row>
        <row r="201">
          <cell r="A201">
            <v>2026</v>
          </cell>
        </row>
        <row r="202">
          <cell r="A202">
            <v>2027</v>
          </cell>
        </row>
        <row r="203">
          <cell r="A203">
            <v>2028</v>
          </cell>
        </row>
        <row r="204">
          <cell r="A204">
            <v>2029</v>
          </cell>
        </row>
        <row r="205">
          <cell r="A205">
            <v>2030</v>
          </cell>
        </row>
        <row r="206">
          <cell r="A206">
            <v>2031</v>
          </cell>
        </row>
        <row r="207">
          <cell r="A207">
            <v>2032</v>
          </cell>
        </row>
        <row r="208">
          <cell r="A208">
            <v>2033</v>
          </cell>
        </row>
        <row r="209">
          <cell r="A209">
            <v>2034</v>
          </cell>
        </row>
        <row r="210">
          <cell r="A210">
            <v>2035</v>
          </cell>
        </row>
        <row r="211">
          <cell r="A211">
            <v>2036</v>
          </cell>
        </row>
        <row r="212">
          <cell r="A212">
            <v>2037</v>
          </cell>
        </row>
        <row r="213">
          <cell r="A213">
            <v>2038</v>
          </cell>
        </row>
        <row r="214">
          <cell r="A214">
            <v>2039</v>
          </cell>
        </row>
        <row r="215">
          <cell r="A215">
            <v>2040</v>
          </cell>
        </row>
        <row r="216">
          <cell r="A216">
            <v>2041</v>
          </cell>
        </row>
        <row r="217">
          <cell r="A217">
            <v>2042</v>
          </cell>
        </row>
        <row r="218">
          <cell r="A218">
            <v>2043</v>
          </cell>
        </row>
        <row r="219">
          <cell r="A219">
            <v>2044</v>
          </cell>
        </row>
        <row r="220">
          <cell r="A220">
            <v>2045</v>
          </cell>
        </row>
        <row r="221">
          <cell r="A221">
            <v>2046</v>
          </cell>
        </row>
        <row r="222">
          <cell r="A222">
            <v>2047</v>
          </cell>
        </row>
        <row r="223">
          <cell r="A223">
            <v>2048</v>
          </cell>
        </row>
        <row r="224">
          <cell r="A224">
            <v>2049</v>
          </cell>
        </row>
        <row r="225">
          <cell r="A225">
            <v>2050</v>
          </cell>
        </row>
        <row r="226">
          <cell r="A226">
            <v>2051</v>
          </cell>
        </row>
        <row r="227">
          <cell r="A227">
            <v>2052</v>
          </cell>
        </row>
        <row r="228">
          <cell r="A228">
            <v>2053</v>
          </cell>
        </row>
        <row r="229">
          <cell r="A229">
            <v>2054</v>
          </cell>
        </row>
        <row r="230">
          <cell r="A230">
            <v>2055</v>
          </cell>
        </row>
        <row r="231">
          <cell r="A231">
            <v>2056</v>
          </cell>
        </row>
        <row r="232">
          <cell r="A232">
            <v>2057</v>
          </cell>
        </row>
        <row r="233">
          <cell r="A233">
            <v>2058</v>
          </cell>
        </row>
        <row r="234">
          <cell r="A234">
            <v>2059</v>
          </cell>
        </row>
        <row r="235">
          <cell r="A235">
            <v>2060</v>
          </cell>
        </row>
        <row r="236">
          <cell r="A236" t="str">
            <v>Back to top</v>
          </cell>
        </row>
        <row r="239">
          <cell r="A239" t="str">
            <v>Scenario 4</v>
          </cell>
          <cell r="B239" t="str">
            <v>[Type Scenario 4 Name Here (REF CASE)...]</v>
          </cell>
        </row>
        <row r="240">
          <cell r="A240" t="str">
            <v>Year</v>
          </cell>
          <cell r="B240" t="str">
            <v>World</v>
          </cell>
          <cell r="C240" t="str">
            <v>OECD90</v>
          </cell>
          <cell r="D240" t="str">
            <v>Eastern Europe</v>
          </cell>
          <cell r="E240" t="str">
            <v>Asia (Sans Japan)</v>
          </cell>
          <cell r="F240" t="str">
            <v>Middle East and Africa</v>
          </cell>
          <cell r="G240" t="str">
            <v>Latin America</v>
          </cell>
          <cell r="H240" t="str">
            <v>China</v>
          </cell>
          <cell r="I240" t="str">
            <v>India</v>
          </cell>
          <cell r="J240" t="str">
            <v>EU</v>
          </cell>
          <cell r="K240" t="str">
            <v>USA</v>
          </cell>
        </row>
        <row r="241">
          <cell r="A241">
            <v>2012</v>
          </cell>
        </row>
        <row r="242">
          <cell r="A242">
            <v>2013</v>
          </cell>
        </row>
        <row r="243">
          <cell r="A243">
            <v>2014</v>
          </cell>
        </row>
        <row r="244">
          <cell r="A244">
            <v>2015</v>
          </cell>
        </row>
        <row r="245">
          <cell r="A245">
            <v>2016</v>
          </cell>
        </row>
        <row r="246">
          <cell r="A246">
            <v>2017</v>
          </cell>
        </row>
        <row r="247">
          <cell r="A247">
            <v>2018</v>
          </cell>
        </row>
        <row r="248">
          <cell r="A248">
            <v>2019</v>
          </cell>
        </row>
        <row r="249">
          <cell r="A249">
            <v>2020</v>
          </cell>
        </row>
        <row r="250">
          <cell r="A250">
            <v>2021</v>
          </cell>
        </row>
        <row r="251">
          <cell r="A251">
            <v>2022</v>
          </cell>
        </row>
        <row r="252">
          <cell r="A252">
            <v>2023</v>
          </cell>
        </row>
        <row r="253">
          <cell r="A253">
            <v>2024</v>
          </cell>
        </row>
        <row r="254">
          <cell r="A254">
            <v>2025</v>
          </cell>
        </row>
        <row r="255">
          <cell r="A255">
            <v>2026</v>
          </cell>
        </row>
        <row r="256">
          <cell r="A256">
            <v>2027</v>
          </cell>
        </row>
        <row r="257">
          <cell r="A257">
            <v>2028</v>
          </cell>
        </row>
        <row r="258">
          <cell r="A258">
            <v>2029</v>
          </cell>
        </row>
        <row r="259">
          <cell r="A259">
            <v>2030</v>
          </cell>
        </row>
        <row r="260">
          <cell r="A260">
            <v>2031</v>
          </cell>
        </row>
        <row r="261">
          <cell r="A261">
            <v>2032</v>
          </cell>
        </row>
        <row r="262">
          <cell r="A262">
            <v>2033</v>
          </cell>
        </row>
        <row r="263">
          <cell r="A263">
            <v>2034</v>
          </cell>
        </row>
        <row r="264">
          <cell r="A264">
            <v>2035</v>
          </cell>
        </row>
        <row r="265">
          <cell r="A265">
            <v>2036</v>
          </cell>
        </row>
        <row r="266">
          <cell r="A266">
            <v>2037</v>
          </cell>
        </row>
        <row r="267">
          <cell r="A267">
            <v>2038</v>
          </cell>
        </row>
        <row r="268">
          <cell r="A268">
            <v>2039</v>
          </cell>
        </row>
        <row r="269">
          <cell r="A269">
            <v>2040</v>
          </cell>
        </row>
        <row r="270">
          <cell r="A270">
            <v>2041</v>
          </cell>
        </row>
        <row r="271">
          <cell r="A271">
            <v>2042</v>
          </cell>
        </row>
        <row r="272">
          <cell r="A272">
            <v>2043</v>
          </cell>
        </row>
        <row r="273">
          <cell r="A273">
            <v>2044</v>
          </cell>
        </row>
        <row r="274">
          <cell r="A274">
            <v>2045</v>
          </cell>
        </row>
        <row r="275">
          <cell r="A275">
            <v>2046</v>
          </cell>
        </row>
        <row r="276">
          <cell r="A276">
            <v>2047</v>
          </cell>
        </row>
        <row r="277">
          <cell r="A277">
            <v>2048</v>
          </cell>
        </row>
        <row r="278">
          <cell r="A278">
            <v>2049</v>
          </cell>
        </row>
        <row r="279">
          <cell r="A279">
            <v>2050</v>
          </cell>
        </row>
        <row r="280">
          <cell r="A280">
            <v>2051</v>
          </cell>
        </row>
        <row r="281">
          <cell r="A281">
            <v>2052</v>
          </cell>
        </row>
        <row r="282">
          <cell r="A282">
            <v>2053</v>
          </cell>
        </row>
        <row r="283">
          <cell r="A283">
            <v>2054</v>
          </cell>
        </row>
        <row r="284">
          <cell r="A284">
            <v>2055</v>
          </cell>
        </row>
        <row r="285">
          <cell r="A285">
            <v>2056</v>
          </cell>
        </row>
        <row r="286">
          <cell r="A286">
            <v>2057</v>
          </cell>
        </row>
        <row r="287">
          <cell r="A287">
            <v>2058</v>
          </cell>
        </row>
        <row r="288">
          <cell r="A288">
            <v>2059</v>
          </cell>
        </row>
        <row r="289">
          <cell r="A289">
            <v>2060</v>
          </cell>
        </row>
        <row r="290">
          <cell r="A290" t="str">
            <v>Back to top</v>
          </cell>
        </row>
        <row r="293">
          <cell r="A293" t="str">
            <v>Scenario 5</v>
          </cell>
          <cell r="B293" t="str">
            <v>[Type Scenario 5 Name Here (REF CASE)...]</v>
          </cell>
        </row>
        <row r="294">
          <cell r="A294" t="str">
            <v>Year</v>
          </cell>
          <cell r="B294" t="str">
            <v>World</v>
          </cell>
          <cell r="C294" t="str">
            <v>OECD90</v>
          </cell>
          <cell r="D294" t="str">
            <v>Eastern Europe</v>
          </cell>
          <cell r="E294" t="str">
            <v>Asia (Sans Japan)</v>
          </cell>
          <cell r="F294" t="str">
            <v>Middle East and Africa</v>
          </cell>
          <cell r="G294" t="str">
            <v>Latin America</v>
          </cell>
          <cell r="H294" t="str">
            <v>China</v>
          </cell>
          <cell r="I294" t="str">
            <v>India</v>
          </cell>
          <cell r="J294" t="str">
            <v>EU</v>
          </cell>
          <cell r="K294" t="str">
            <v>USA</v>
          </cell>
        </row>
        <row r="295">
          <cell r="A295">
            <v>2012</v>
          </cell>
        </row>
        <row r="296">
          <cell r="A296">
            <v>2013</v>
          </cell>
        </row>
        <row r="297">
          <cell r="A297">
            <v>2014</v>
          </cell>
        </row>
        <row r="298">
          <cell r="A298">
            <v>2015</v>
          </cell>
        </row>
        <row r="299">
          <cell r="A299">
            <v>2016</v>
          </cell>
        </row>
        <row r="300">
          <cell r="A300">
            <v>2017</v>
          </cell>
        </row>
        <row r="301">
          <cell r="A301">
            <v>2018</v>
          </cell>
        </row>
        <row r="302">
          <cell r="A302">
            <v>2019</v>
          </cell>
        </row>
        <row r="303">
          <cell r="A303">
            <v>2020</v>
          </cell>
        </row>
        <row r="304">
          <cell r="A304">
            <v>2021</v>
          </cell>
        </row>
        <row r="305">
          <cell r="A305">
            <v>2022</v>
          </cell>
        </row>
        <row r="306">
          <cell r="A306">
            <v>2023</v>
          </cell>
        </row>
        <row r="307">
          <cell r="A307">
            <v>2024</v>
          </cell>
        </row>
        <row r="308">
          <cell r="A308">
            <v>2025</v>
          </cell>
        </row>
        <row r="309">
          <cell r="A309">
            <v>2026</v>
          </cell>
        </row>
        <row r="310">
          <cell r="A310">
            <v>2027</v>
          </cell>
        </row>
        <row r="311">
          <cell r="A311">
            <v>2028</v>
          </cell>
        </row>
        <row r="312">
          <cell r="A312">
            <v>2029</v>
          </cell>
        </row>
        <row r="313">
          <cell r="A313">
            <v>2030</v>
          </cell>
        </row>
        <row r="314">
          <cell r="A314">
            <v>2031</v>
          </cell>
        </row>
        <row r="315">
          <cell r="A315">
            <v>2032</v>
          </cell>
        </row>
        <row r="316">
          <cell r="A316">
            <v>2033</v>
          </cell>
        </row>
        <row r="317">
          <cell r="A317">
            <v>2034</v>
          </cell>
        </row>
        <row r="318">
          <cell r="A318">
            <v>2035</v>
          </cell>
        </row>
        <row r="319">
          <cell r="A319">
            <v>2036</v>
          </cell>
        </row>
        <row r="320">
          <cell r="A320">
            <v>2037</v>
          </cell>
        </row>
        <row r="321">
          <cell r="A321">
            <v>2038</v>
          </cell>
        </row>
        <row r="322">
          <cell r="A322">
            <v>2039</v>
          </cell>
        </row>
        <row r="323">
          <cell r="A323">
            <v>2040</v>
          </cell>
        </row>
        <row r="324">
          <cell r="A324">
            <v>2041</v>
          </cell>
        </row>
        <row r="325">
          <cell r="A325">
            <v>2042</v>
          </cell>
        </row>
        <row r="326">
          <cell r="A326">
            <v>2043</v>
          </cell>
        </row>
        <row r="327">
          <cell r="A327">
            <v>2044</v>
          </cell>
        </row>
        <row r="328">
          <cell r="A328">
            <v>2045</v>
          </cell>
        </row>
        <row r="329">
          <cell r="A329">
            <v>2046</v>
          </cell>
        </row>
        <row r="330">
          <cell r="A330">
            <v>2047</v>
          </cell>
        </row>
        <row r="331">
          <cell r="A331">
            <v>2048</v>
          </cell>
        </row>
        <row r="332">
          <cell r="A332">
            <v>2049</v>
          </cell>
        </row>
        <row r="333">
          <cell r="A333">
            <v>2050</v>
          </cell>
        </row>
        <row r="334">
          <cell r="A334">
            <v>2051</v>
          </cell>
        </row>
        <row r="335">
          <cell r="A335">
            <v>2052</v>
          </cell>
        </row>
        <row r="336">
          <cell r="A336">
            <v>2053</v>
          </cell>
        </row>
        <row r="337">
          <cell r="A337">
            <v>2054</v>
          </cell>
        </row>
        <row r="338">
          <cell r="A338">
            <v>2055</v>
          </cell>
        </row>
        <row r="339">
          <cell r="A339">
            <v>2056</v>
          </cell>
        </row>
        <row r="340">
          <cell r="A340">
            <v>2057</v>
          </cell>
        </row>
        <row r="341">
          <cell r="A341">
            <v>2058</v>
          </cell>
        </row>
        <row r="342">
          <cell r="A342">
            <v>2059</v>
          </cell>
        </row>
        <row r="343">
          <cell r="A343">
            <v>2060</v>
          </cell>
        </row>
        <row r="344">
          <cell r="A344" t="str">
            <v>Back to top</v>
          </cell>
        </row>
        <row r="347">
          <cell r="A347" t="str">
            <v>Scenario 6</v>
          </cell>
          <cell r="B347" t="str">
            <v>[Type Scenario 6 Name Here (REF CASE)...]</v>
          </cell>
        </row>
        <row r="348">
          <cell r="A348" t="str">
            <v>Year</v>
          </cell>
          <cell r="B348" t="str">
            <v>World</v>
          </cell>
          <cell r="C348" t="str">
            <v>OECD90</v>
          </cell>
          <cell r="D348" t="str">
            <v>Eastern Europe</v>
          </cell>
          <cell r="E348" t="str">
            <v>Asia (Sans Japan)</v>
          </cell>
          <cell r="F348" t="str">
            <v>Middle East and Africa</v>
          </cell>
          <cell r="G348" t="str">
            <v>Latin America</v>
          </cell>
          <cell r="H348" t="str">
            <v>China</v>
          </cell>
          <cell r="I348" t="str">
            <v>India</v>
          </cell>
          <cell r="J348" t="str">
            <v>EU</v>
          </cell>
          <cell r="K348" t="str">
            <v>USA</v>
          </cell>
        </row>
        <row r="349">
          <cell r="A349">
            <v>2012</v>
          </cell>
        </row>
        <row r="350">
          <cell r="A350">
            <v>2013</v>
          </cell>
        </row>
        <row r="351">
          <cell r="A351">
            <v>2014</v>
          </cell>
        </row>
        <row r="352">
          <cell r="A352">
            <v>2015</v>
          </cell>
        </row>
        <row r="353">
          <cell r="A353">
            <v>2016</v>
          </cell>
        </row>
        <row r="354">
          <cell r="A354">
            <v>2017</v>
          </cell>
        </row>
        <row r="355">
          <cell r="A355">
            <v>2018</v>
          </cell>
        </row>
        <row r="356">
          <cell r="A356">
            <v>2019</v>
          </cell>
        </row>
        <row r="357">
          <cell r="A357">
            <v>2020</v>
          </cell>
        </row>
        <row r="358">
          <cell r="A358">
            <v>2021</v>
          </cell>
        </row>
        <row r="359">
          <cell r="A359">
            <v>2022</v>
          </cell>
        </row>
        <row r="360">
          <cell r="A360">
            <v>2023</v>
          </cell>
        </row>
        <row r="361">
          <cell r="A361">
            <v>2024</v>
          </cell>
        </row>
        <row r="362">
          <cell r="A362">
            <v>2025</v>
          </cell>
        </row>
        <row r="363">
          <cell r="A363">
            <v>2026</v>
          </cell>
        </row>
        <row r="364">
          <cell r="A364">
            <v>2027</v>
          </cell>
        </row>
        <row r="365">
          <cell r="A365">
            <v>2028</v>
          </cell>
        </row>
        <row r="366">
          <cell r="A366">
            <v>2029</v>
          </cell>
        </row>
        <row r="367">
          <cell r="A367">
            <v>2030</v>
          </cell>
        </row>
        <row r="368">
          <cell r="A368">
            <v>2031</v>
          </cell>
        </row>
        <row r="369">
          <cell r="A369">
            <v>2032</v>
          </cell>
        </row>
        <row r="370">
          <cell r="A370">
            <v>2033</v>
          </cell>
        </row>
        <row r="371">
          <cell r="A371">
            <v>2034</v>
          </cell>
        </row>
        <row r="372">
          <cell r="A372">
            <v>2035</v>
          </cell>
        </row>
        <row r="373">
          <cell r="A373">
            <v>2036</v>
          </cell>
        </row>
        <row r="374">
          <cell r="A374">
            <v>2037</v>
          </cell>
        </row>
        <row r="375">
          <cell r="A375">
            <v>2038</v>
          </cell>
        </row>
        <row r="376">
          <cell r="A376">
            <v>2039</v>
          </cell>
        </row>
        <row r="377">
          <cell r="A377">
            <v>2040</v>
          </cell>
        </row>
        <row r="378">
          <cell r="A378">
            <v>2041</v>
          </cell>
        </row>
        <row r="379">
          <cell r="A379">
            <v>2042</v>
          </cell>
        </row>
        <row r="380">
          <cell r="A380">
            <v>2043</v>
          </cell>
        </row>
        <row r="381">
          <cell r="A381">
            <v>2044</v>
          </cell>
        </row>
        <row r="382">
          <cell r="A382">
            <v>2045</v>
          </cell>
        </row>
        <row r="383">
          <cell r="A383">
            <v>2046</v>
          </cell>
        </row>
        <row r="384">
          <cell r="A384">
            <v>2047</v>
          </cell>
        </row>
        <row r="385">
          <cell r="A385">
            <v>2048</v>
          </cell>
        </row>
        <row r="386">
          <cell r="A386">
            <v>2049</v>
          </cell>
        </row>
        <row r="387">
          <cell r="A387">
            <v>2050</v>
          </cell>
        </row>
        <row r="388">
          <cell r="A388">
            <v>2051</v>
          </cell>
        </row>
        <row r="389">
          <cell r="A389">
            <v>2052</v>
          </cell>
        </row>
        <row r="390">
          <cell r="A390">
            <v>2053</v>
          </cell>
        </row>
        <row r="391">
          <cell r="A391">
            <v>2054</v>
          </cell>
        </row>
        <row r="392">
          <cell r="A392">
            <v>2055</v>
          </cell>
        </row>
        <row r="393">
          <cell r="A393">
            <v>2056</v>
          </cell>
        </row>
        <row r="394">
          <cell r="A394">
            <v>2057</v>
          </cell>
        </row>
        <row r="395">
          <cell r="A395">
            <v>2058</v>
          </cell>
        </row>
        <row r="396">
          <cell r="A396">
            <v>2059</v>
          </cell>
        </row>
        <row r="397">
          <cell r="A397">
            <v>2060</v>
          </cell>
        </row>
        <row r="398">
          <cell r="A398" t="str">
            <v>Back to top</v>
          </cell>
        </row>
        <row r="401">
          <cell r="A401" t="str">
            <v>Scenario 7</v>
          </cell>
          <cell r="B401" t="str">
            <v>[Type Scenario 7 Name Here (REF CASE)...]</v>
          </cell>
        </row>
        <row r="402">
          <cell r="A402" t="str">
            <v>Year</v>
          </cell>
          <cell r="B402" t="str">
            <v>World</v>
          </cell>
          <cell r="C402" t="str">
            <v>OECD90</v>
          </cell>
          <cell r="D402" t="str">
            <v>Eastern Europe</v>
          </cell>
          <cell r="E402" t="str">
            <v>Asia (Sans Japan)</v>
          </cell>
          <cell r="F402" t="str">
            <v>Middle East and Africa</v>
          </cell>
          <cell r="G402" t="str">
            <v>Latin America</v>
          </cell>
          <cell r="H402" t="str">
            <v>China</v>
          </cell>
          <cell r="I402" t="str">
            <v>India</v>
          </cell>
          <cell r="J402" t="str">
            <v>EU</v>
          </cell>
          <cell r="K402" t="str">
            <v>USA</v>
          </cell>
        </row>
        <row r="403">
          <cell r="A403">
            <v>2012</v>
          </cell>
        </row>
        <row r="404">
          <cell r="A404">
            <v>2013</v>
          </cell>
        </row>
        <row r="405">
          <cell r="A405">
            <v>2014</v>
          </cell>
        </row>
        <row r="406">
          <cell r="A406">
            <v>2015</v>
          </cell>
        </row>
        <row r="407">
          <cell r="A407">
            <v>2016</v>
          </cell>
        </row>
        <row r="408">
          <cell r="A408">
            <v>2017</v>
          </cell>
        </row>
        <row r="409">
          <cell r="A409">
            <v>2018</v>
          </cell>
        </row>
        <row r="410">
          <cell r="A410">
            <v>2019</v>
          </cell>
        </row>
        <row r="411">
          <cell r="A411">
            <v>2020</v>
          </cell>
        </row>
        <row r="412">
          <cell r="A412">
            <v>2021</v>
          </cell>
        </row>
        <row r="413">
          <cell r="A413">
            <v>2022</v>
          </cell>
        </row>
        <row r="414">
          <cell r="A414">
            <v>2023</v>
          </cell>
        </row>
        <row r="415">
          <cell r="A415">
            <v>2024</v>
          </cell>
        </row>
        <row r="416">
          <cell r="A416">
            <v>2025</v>
          </cell>
        </row>
        <row r="417">
          <cell r="A417">
            <v>2026</v>
          </cell>
        </row>
        <row r="418">
          <cell r="A418">
            <v>2027</v>
          </cell>
        </row>
        <row r="419">
          <cell r="A419">
            <v>2028</v>
          </cell>
        </row>
        <row r="420">
          <cell r="A420">
            <v>2029</v>
          </cell>
        </row>
        <row r="421">
          <cell r="A421">
            <v>2030</v>
          </cell>
        </row>
        <row r="422">
          <cell r="A422">
            <v>2031</v>
          </cell>
        </row>
        <row r="423">
          <cell r="A423">
            <v>2032</v>
          </cell>
        </row>
        <row r="424">
          <cell r="A424">
            <v>2033</v>
          </cell>
        </row>
        <row r="425">
          <cell r="A425">
            <v>2034</v>
          </cell>
        </row>
        <row r="426">
          <cell r="A426">
            <v>2035</v>
          </cell>
        </row>
        <row r="427">
          <cell r="A427">
            <v>2036</v>
          </cell>
        </row>
        <row r="428">
          <cell r="A428">
            <v>2037</v>
          </cell>
        </row>
        <row r="429">
          <cell r="A429">
            <v>2038</v>
          </cell>
        </row>
        <row r="430">
          <cell r="A430">
            <v>2039</v>
          </cell>
        </row>
        <row r="431">
          <cell r="A431">
            <v>2040</v>
          </cell>
        </row>
        <row r="432">
          <cell r="A432">
            <v>2041</v>
          </cell>
        </row>
        <row r="433">
          <cell r="A433">
            <v>2042</v>
          </cell>
        </row>
        <row r="434">
          <cell r="A434">
            <v>2043</v>
          </cell>
        </row>
        <row r="435">
          <cell r="A435">
            <v>2044</v>
          </cell>
        </row>
        <row r="436">
          <cell r="A436">
            <v>2045</v>
          </cell>
        </row>
        <row r="437">
          <cell r="A437">
            <v>2046</v>
          </cell>
        </row>
        <row r="438">
          <cell r="A438">
            <v>2047</v>
          </cell>
        </row>
        <row r="439">
          <cell r="A439">
            <v>2048</v>
          </cell>
        </row>
        <row r="440">
          <cell r="A440">
            <v>2049</v>
          </cell>
        </row>
        <row r="441">
          <cell r="A441">
            <v>2050</v>
          </cell>
        </row>
        <row r="442">
          <cell r="A442">
            <v>2051</v>
          </cell>
        </row>
        <row r="443">
          <cell r="A443">
            <v>2052</v>
          </cell>
        </row>
        <row r="444">
          <cell r="A444">
            <v>2053</v>
          </cell>
        </row>
        <row r="445">
          <cell r="A445">
            <v>2054</v>
          </cell>
        </row>
        <row r="446">
          <cell r="A446">
            <v>2055</v>
          </cell>
        </row>
        <row r="447">
          <cell r="A447">
            <v>2056</v>
          </cell>
        </row>
        <row r="448">
          <cell r="A448">
            <v>2057</v>
          </cell>
        </row>
        <row r="449">
          <cell r="A449">
            <v>2058</v>
          </cell>
        </row>
        <row r="450">
          <cell r="A450">
            <v>2059</v>
          </cell>
        </row>
        <row r="451">
          <cell r="A451">
            <v>2060</v>
          </cell>
        </row>
        <row r="452">
          <cell r="A452" t="str">
            <v>Back to top</v>
          </cell>
        </row>
        <row r="455">
          <cell r="A455" t="str">
            <v>Scenario 8</v>
          </cell>
          <cell r="B455" t="str">
            <v>[Type Scenario 8 Name Here (REF CASE)...]</v>
          </cell>
        </row>
        <row r="456">
          <cell r="A456" t="str">
            <v>Year</v>
          </cell>
          <cell r="B456" t="str">
            <v>World</v>
          </cell>
          <cell r="C456" t="str">
            <v>OECD90</v>
          </cell>
          <cell r="D456" t="str">
            <v>Eastern Europe</v>
          </cell>
          <cell r="E456" t="str">
            <v>Asia (Sans Japan)</v>
          </cell>
          <cell r="F456" t="str">
            <v>Middle East and Africa</v>
          </cell>
          <cell r="G456" t="str">
            <v>Latin America</v>
          </cell>
          <cell r="H456" t="str">
            <v>China</v>
          </cell>
          <cell r="I456" t="str">
            <v>India</v>
          </cell>
          <cell r="J456" t="str">
            <v>EU</v>
          </cell>
          <cell r="K456" t="str">
            <v>USA</v>
          </cell>
        </row>
        <row r="457">
          <cell r="A457">
            <v>2012</v>
          </cell>
        </row>
        <row r="458">
          <cell r="A458">
            <v>2013</v>
          </cell>
        </row>
        <row r="459">
          <cell r="A459">
            <v>2014</v>
          </cell>
        </row>
        <row r="460">
          <cell r="A460">
            <v>2015</v>
          </cell>
        </row>
        <row r="461">
          <cell r="A461">
            <v>2016</v>
          </cell>
        </row>
        <row r="462">
          <cell r="A462">
            <v>2017</v>
          </cell>
        </row>
        <row r="463">
          <cell r="A463">
            <v>2018</v>
          </cell>
        </row>
        <row r="464">
          <cell r="A464">
            <v>2019</v>
          </cell>
        </row>
        <row r="465">
          <cell r="A465">
            <v>2020</v>
          </cell>
        </row>
        <row r="466">
          <cell r="A466">
            <v>2021</v>
          </cell>
        </row>
        <row r="467">
          <cell r="A467">
            <v>2022</v>
          </cell>
        </row>
        <row r="468">
          <cell r="A468">
            <v>2023</v>
          </cell>
        </row>
        <row r="469">
          <cell r="A469">
            <v>2024</v>
          </cell>
        </row>
        <row r="470">
          <cell r="A470">
            <v>2025</v>
          </cell>
        </row>
        <row r="471">
          <cell r="A471">
            <v>2026</v>
          </cell>
        </row>
        <row r="472">
          <cell r="A472">
            <v>2027</v>
          </cell>
        </row>
        <row r="473">
          <cell r="A473">
            <v>2028</v>
          </cell>
        </row>
        <row r="474">
          <cell r="A474">
            <v>2029</v>
          </cell>
        </row>
        <row r="475">
          <cell r="A475">
            <v>2030</v>
          </cell>
        </row>
        <row r="476">
          <cell r="A476">
            <v>2031</v>
          </cell>
        </row>
        <row r="477">
          <cell r="A477">
            <v>2032</v>
          </cell>
        </row>
        <row r="478">
          <cell r="A478">
            <v>2033</v>
          </cell>
        </row>
        <row r="479">
          <cell r="A479">
            <v>2034</v>
          </cell>
        </row>
        <row r="480">
          <cell r="A480">
            <v>2035</v>
          </cell>
        </row>
        <row r="481">
          <cell r="A481">
            <v>2036</v>
          </cell>
        </row>
        <row r="482">
          <cell r="A482">
            <v>2037</v>
          </cell>
        </row>
        <row r="483">
          <cell r="A483">
            <v>2038</v>
          </cell>
        </row>
        <row r="484">
          <cell r="A484">
            <v>2039</v>
          </cell>
        </row>
        <row r="485">
          <cell r="A485">
            <v>2040</v>
          </cell>
        </row>
        <row r="486">
          <cell r="A486">
            <v>2041</v>
          </cell>
        </row>
        <row r="487">
          <cell r="A487">
            <v>2042</v>
          </cell>
        </row>
        <row r="488">
          <cell r="A488">
            <v>2043</v>
          </cell>
        </row>
        <row r="489">
          <cell r="A489">
            <v>2044</v>
          </cell>
        </row>
        <row r="490">
          <cell r="A490">
            <v>2045</v>
          </cell>
        </row>
        <row r="491">
          <cell r="A491">
            <v>2046</v>
          </cell>
        </row>
        <row r="492">
          <cell r="A492">
            <v>2047</v>
          </cell>
        </row>
        <row r="493">
          <cell r="A493">
            <v>2048</v>
          </cell>
        </row>
        <row r="494">
          <cell r="A494">
            <v>2049</v>
          </cell>
        </row>
        <row r="495">
          <cell r="A495">
            <v>2050</v>
          </cell>
        </row>
        <row r="496">
          <cell r="A496">
            <v>2051</v>
          </cell>
        </row>
        <row r="497">
          <cell r="A497">
            <v>2052</v>
          </cell>
        </row>
        <row r="498">
          <cell r="A498">
            <v>2053</v>
          </cell>
        </row>
        <row r="499">
          <cell r="A499">
            <v>2054</v>
          </cell>
        </row>
        <row r="500">
          <cell r="A500">
            <v>2055</v>
          </cell>
        </row>
        <row r="501">
          <cell r="A501">
            <v>2056</v>
          </cell>
        </row>
        <row r="502">
          <cell r="A502">
            <v>2057</v>
          </cell>
        </row>
        <row r="503">
          <cell r="A503">
            <v>2058</v>
          </cell>
        </row>
        <row r="504">
          <cell r="A504">
            <v>2059</v>
          </cell>
        </row>
        <row r="505">
          <cell r="A505">
            <v>2060</v>
          </cell>
        </row>
        <row r="506">
          <cell r="A506" t="str">
            <v>Back to top</v>
          </cell>
        </row>
        <row r="509">
          <cell r="A509" t="str">
            <v>Scenario 9</v>
          </cell>
          <cell r="B509" t="str">
            <v>[Type Scenario 9 Name Here (REF CASE)...]</v>
          </cell>
        </row>
        <row r="510">
          <cell r="A510" t="str">
            <v>Year</v>
          </cell>
          <cell r="B510" t="str">
            <v>World</v>
          </cell>
          <cell r="C510" t="str">
            <v>OECD90</v>
          </cell>
          <cell r="D510" t="str">
            <v>Eastern Europe</v>
          </cell>
          <cell r="E510" t="str">
            <v>Asia (Sans Japan)</v>
          </cell>
          <cell r="F510" t="str">
            <v>Middle East and Africa</v>
          </cell>
          <cell r="G510" t="str">
            <v>Latin America</v>
          </cell>
          <cell r="H510" t="str">
            <v>China</v>
          </cell>
          <cell r="I510" t="str">
            <v>India</v>
          </cell>
          <cell r="J510" t="str">
            <v>EU</v>
          </cell>
          <cell r="K510" t="str">
            <v>USA</v>
          </cell>
        </row>
        <row r="511">
          <cell r="A511">
            <v>2012</v>
          </cell>
        </row>
        <row r="512">
          <cell r="A512">
            <v>2013</v>
          </cell>
        </row>
        <row r="513">
          <cell r="A513">
            <v>2014</v>
          </cell>
        </row>
        <row r="514">
          <cell r="A514">
            <v>2015</v>
          </cell>
        </row>
        <row r="515">
          <cell r="A515">
            <v>2016</v>
          </cell>
        </row>
        <row r="516">
          <cell r="A516">
            <v>2017</v>
          </cell>
        </row>
        <row r="517">
          <cell r="A517">
            <v>2018</v>
          </cell>
        </row>
        <row r="518">
          <cell r="A518">
            <v>2019</v>
          </cell>
        </row>
        <row r="519">
          <cell r="A519">
            <v>2020</v>
          </cell>
        </row>
        <row r="520">
          <cell r="A520">
            <v>2021</v>
          </cell>
        </row>
        <row r="521">
          <cell r="A521">
            <v>2022</v>
          </cell>
        </row>
        <row r="522">
          <cell r="A522">
            <v>2023</v>
          </cell>
        </row>
        <row r="523">
          <cell r="A523">
            <v>2024</v>
          </cell>
        </row>
        <row r="524">
          <cell r="A524">
            <v>2025</v>
          </cell>
        </row>
        <row r="525">
          <cell r="A525">
            <v>2026</v>
          </cell>
        </row>
        <row r="526">
          <cell r="A526">
            <v>2027</v>
          </cell>
        </row>
        <row r="527">
          <cell r="A527">
            <v>2028</v>
          </cell>
        </row>
        <row r="528">
          <cell r="A528">
            <v>2029</v>
          </cell>
        </row>
        <row r="529">
          <cell r="A529">
            <v>2030</v>
          </cell>
        </row>
        <row r="530">
          <cell r="A530">
            <v>2031</v>
          </cell>
        </row>
        <row r="531">
          <cell r="A531">
            <v>2032</v>
          </cell>
        </row>
        <row r="532">
          <cell r="A532">
            <v>2033</v>
          </cell>
        </row>
        <row r="533">
          <cell r="A533">
            <v>2034</v>
          </cell>
        </row>
        <row r="534">
          <cell r="A534">
            <v>2035</v>
          </cell>
        </row>
        <row r="535">
          <cell r="A535">
            <v>2036</v>
          </cell>
        </row>
        <row r="536">
          <cell r="A536">
            <v>2037</v>
          </cell>
        </row>
        <row r="537">
          <cell r="A537">
            <v>2038</v>
          </cell>
        </row>
        <row r="538">
          <cell r="A538">
            <v>2039</v>
          </cell>
        </row>
        <row r="539">
          <cell r="A539">
            <v>2040</v>
          </cell>
        </row>
        <row r="540">
          <cell r="A540">
            <v>2041</v>
          </cell>
        </row>
        <row r="541">
          <cell r="A541">
            <v>2042</v>
          </cell>
        </row>
        <row r="542">
          <cell r="A542">
            <v>2043</v>
          </cell>
        </row>
        <row r="543">
          <cell r="A543">
            <v>2044</v>
          </cell>
        </row>
        <row r="544">
          <cell r="A544">
            <v>2045</v>
          </cell>
        </row>
        <row r="545">
          <cell r="A545">
            <v>2046</v>
          </cell>
        </row>
        <row r="546">
          <cell r="A546">
            <v>2047</v>
          </cell>
        </row>
        <row r="547">
          <cell r="A547">
            <v>2048</v>
          </cell>
        </row>
        <row r="548">
          <cell r="A548">
            <v>2049</v>
          </cell>
        </row>
        <row r="549">
          <cell r="A549">
            <v>2050</v>
          </cell>
        </row>
        <row r="550">
          <cell r="A550">
            <v>2051</v>
          </cell>
        </row>
        <row r="551">
          <cell r="A551">
            <v>2052</v>
          </cell>
        </row>
        <row r="552">
          <cell r="A552">
            <v>2053</v>
          </cell>
        </row>
        <row r="553">
          <cell r="A553">
            <v>2054</v>
          </cell>
        </row>
        <row r="554">
          <cell r="A554">
            <v>2055</v>
          </cell>
        </row>
        <row r="555">
          <cell r="A555">
            <v>2056</v>
          </cell>
        </row>
        <row r="556">
          <cell r="A556">
            <v>2057</v>
          </cell>
        </row>
        <row r="557">
          <cell r="A557">
            <v>2058</v>
          </cell>
        </row>
        <row r="558">
          <cell r="A558">
            <v>2059</v>
          </cell>
        </row>
        <row r="559">
          <cell r="A559">
            <v>2060</v>
          </cell>
        </row>
        <row r="560">
          <cell r="A560" t="str">
            <v>Back to top</v>
          </cell>
        </row>
        <row r="563">
          <cell r="A563" t="str">
            <v>Scenario 10</v>
          </cell>
          <cell r="B563" t="str">
            <v>[Type Scenario 10 Name Here (REF CASE)...]</v>
          </cell>
        </row>
        <row r="564">
          <cell r="A564" t="str">
            <v>Year</v>
          </cell>
          <cell r="B564" t="str">
            <v>World</v>
          </cell>
          <cell r="C564" t="str">
            <v>OECD90</v>
          </cell>
          <cell r="D564" t="str">
            <v>Eastern Europe</v>
          </cell>
          <cell r="E564" t="str">
            <v>Asia (Sans Japan)</v>
          </cell>
          <cell r="F564" t="str">
            <v>Middle East and Africa</v>
          </cell>
          <cell r="G564" t="str">
            <v>Latin America</v>
          </cell>
          <cell r="H564" t="str">
            <v>China</v>
          </cell>
          <cell r="I564" t="str">
            <v>India</v>
          </cell>
          <cell r="J564" t="str">
            <v>EU</v>
          </cell>
          <cell r="K564" t="str">
            <v>USA</v>
          </cell>
        </row>
        <row r="565">
          <cell r="A565">
            <v>2012</v>
          </cell>
        </row>
        <row r="566">
          <cell r="A566">
            <v>2013</v>
          </cell>
        </row>
        <row r="567">
          <cell r="A567">
            <v>2014</v>
          </cell>
        </row>
        <row r="568">
          <cell r="A568">
            <v>2015</v>
          </cell>
        </row>
        <row r="569">
          <cell r="A569">
            <v>2016</v>
          </cell>
        </row>
        <row r="570">
          <cell r="A570">
            <v>2017</v>
          </cell>
        </row>
        <row r="571">
          <cell r="A571">
            <v>2018</v>
          </cell>
        </row>
        <row r="572">
          <cell r="A572">
            <v>2019</v>
          </cell>
        </row>
        <row r="573">
          <cell r="A573">
            <v>2020</v>
          </cell>
        </row>
        <row r="574">
          <cell r="A574">
            <v>2021</v>
          </cell>
        </row>
        <row r="575">
          <cell r="A575">
            <v>2022</v>
          </cell>
        </row>
        <row r="576">
          <cell r="A576">
            <v>2023</v>
          </cell>
        </row>
        <row r="577">
          <cell r="A577">
            <v>2024</v>
          </cell>
        </row>
        <row r="578">
          <cell r="A578">
            <v>2025</v>
          </cell>
        </row>
        <row r="579">
          <cell r="A579">
            <v>2026</v>
          </cell>
        </row>
        <row r="580">
          <cell r="A580">
            <v>2027</v>
          </cell>
        </row>
        <row r="581">
          <cell r="A581">
            <v>2028</v>
          </cell>
        </row>
        <row r="582">
          <cell r="A582">
            <v>2029</v>
          </cell>
        </row>
        <row r="583">
          <cell r="A583">
            <v>2030</v>
          </cell>
        </row>
        <row r="584">
          <cell r="A584">
            <v>2031</v>
          </cell>
        </row>
        <row r="585">
          <cell r="A585">
            <v>2032</v>
          </cell>
        </row>
        <row r="586">
          <cell r="A586">
            <v>2033</v>
          </cell>
        </row>
        <row r="587">
          <cell r="A587">
            <v>2034</v>
          </cell>
        </row>
        <row r="588">
          <cell r="A588">
            <v>2035</v>
          </cell>
        </row>
        <row r="589">
          <cell r="A589">
            <v>2036</v>
          </cell>
        </row>
        <row r="590">
          <cell r="A590">
            <v>2037</v>
          </cell>
        </row>
        <row r="591">
          <cell r="A591">
            <v>2038</v>
          </cell>
        </row>
        <row r="592">
          <cell r="A592">
            <v>2039</v>
          </cell>
        </row>
        <row r="593">
          <cell r="A593">
            <v>2040</v>
          </cell>
        </row>
        <row r="594">
          <cell r="A594">
            <v>2041</v>
          </cell>
        </row>
        <row r="595">
          <cell r="A595">
            <v>2042</v>
          </cell>
        </row>
        <row r="596">
          <cell r="A596">
            <v>2043</v>
          </cell>
        </row>
        <row r="597">
          <cell r="A597">
            <v>2044</v>
          </cell>
        </row>
        <row r="598">
          <cell r="A598">
            <v>2045</v>
          </cell>
        </row>
        <row r="599">
          <cell r="A599">
            <v>2046</v>
          </cell>
        </row>
        <row r="600">
          <cell r="A600">
            <v>2047</v>
          </cell>
        </row>
        <row r="601">
          <cell r="A601">
            <v>2048</v>
          </cell>
        </row>
        <row r="602">
          <cell r="A602">
            <v>2049</v>
          </cell>
        </row>
        <row r="603">
          <cell r="A603">
            <v>2050</v>
          </cell>
        </row>
        <row r="604">
          <cell r="A604">
            <v>2051</v>
          </cell>
        </row>
        <row r="605">
          <cell r="A605">
            <v>2052</v>
          </cell>
        </row>
        <row r="606">
          <cell r="A606">
            <v>2053</v>
          </cell>
        </row>
        <row r="607">
          <cell r="A607">
            <v>2054</v>
          </cell>
        </row>
        <row r="608">
          <cell r="A608">
            <v>2055</v>
          </cell>
        </row>
        <row r="609">
          <cell r="A609">
            <v>2056</v>
          </cell>
        </row>
        <row r="610">
          <cell r="A610">
            <v>2057</v>
          </cell>
        </row>
        <row r="611">
          <cell r="A611">
            <v>2058</v>
          </cell>
        </row>
        <row r="612">
          <cell r="A612">
            <v>2059</v>
          </cell>
        </row>
        <row r="613">
          <cell r="A613">
            <v>2060</v>
          </cell>
        </row>
        <row r="614">
          <cell r="A614" t="str">
            <v>Back to top</v>
          </cell>
        </row>
      </sheetData>
      <sheetData sheetId="24"/>
      <sheetData sheetId="25"/>
      <sheetData sheetId="26"/>
      <sheetData sheetId="27"/>
      <sheetData sheetId="28"/>
      <sheetData sheetId="29"/>
      <sheetData sheetId="30"/>
      <sheetData sheetId="31"/>
      <sheetData sheetId="32">
        <row r="17">
          <cell r="E17">
            <v>8.3000000000000004E-2</v>
          </cell>
        </row>
      </sheetData>
      <sheetData sheetId="33">
        <row r="15">
          <cell r="AG15">
            <v>1995847342.5800328</v>
          </cell>
        </row>
        <row r="16">
          <cell r="AG16">
            <v>3302053190.1299953</v>
          </cell>
        </row>
        <row r="17">
          <cell r="AG17">
            <v>938801614.18026292</v>
          </cell>
        </row>
        <row r="18">
          <cell r="AG18">
            <v>2632064505.2956886</v>
          </cell>
        </row>
        <row r="19">
          <cell r="AG19">
            <v>5322427945.6659546</v>
          </cell>
        </row>
        <row r="20">
          <cell r="AG20">
            <v>1180068429.3485551</v>
          </cell>
        </row>
        <row r="22">
          <cell r="AG22">
            <v>362245616.6604628</v>
          </cell>
        </row>
        <row r="23">
          <cell r="AG23">
            <v>875941553.29575229</v>
          </cell>
        </row>
        <row r="24">
          <cell r="AG24">
            <v>40679707.063008055</v>
          </cell>
        </row>
        <row r="25">
          <cell r="AG25">
            <v>131499396.02068676</v>
          </cell>
        </row>
        <row r="26">
          <cell r="AG26">
            <v>515666275.58156532</v>
          </cell>
        </row>
        <row r="27">
          <cell r="AG27">
            <v>84425791.154752269</v>
          </cell>
        </row>
        <row r="28">
          <cell r="AG28">
            <v>49807287.115039214</v>
          </cell>
        </row>
        <row r="29">
          <cell r="AG29">
            <v>217612782.09411401</v>
          </cell>
        </row>
        <row r="30">
          <cell r="AG30">
            <v>39834060.716590464</v>
          </cell>
        </row>
        <row r="31">
          <cell r="AG31">
            <v>92664862.919467419</v>
          </cell>
        </row>
        <row r="32">
          <cell r="AG32">
            <v>411154144.56452686</v>
          </cell>
        </row>
        <row r="33">
          <cell r="AG33">
            <v>76327256.233941481</v>
          </cell>
        </row>
      </sheetData>
      <sheetData sheetId="34">
        <row r="14">
          <cell r="B14">
            <v>29163104087.776592</v>
          </cell>
          <cell r="C14">
            <v>1518763958.8796897</v>
          </cell>
          <cell r="D14">
            <v>10338174726.34346</v>
          </cell>
          <cell r="E14">
            <v>17306165402.55344</v>
          </cell>
          <cell r="F14">
            <v>10282218783.77659</v>
          </cell>
          <cell r="G14">
            <v>1518763958.8796897</v>
          </cell>
          <cell r="H14">
            <v>3397520250.8434596</v>
          </cell>
          <cell r="I14">
            <v>5365934574.0534401</v>
          </cell>
          <cell r="L14">
            <v>18880885304</v>
          </cell>
          <cell r="Q14">
            <v>6940654475.500001</v>
          </cell>
          <cell r="R14">
            <v>11940230828.5</v>
          </cell>
        </row>
        <row r="15">
          <cell r="B15">
            <v>2987340128.6669931</v>
          </cell>
          <cell r="C15">
            <v>244851713.66699299</v>
          </cell>
          <cell r="D15">
            <v>1054486253.9</v>
          </cell>
          <cell r="E15">
            <v>1688002161.0999999</v>
          </cell>
          <cell r="F15">
            <v>1252082280.4669929</v>
          </cell>
          <cell r="G15">
            <v>244851713.66699299</v>
          </cell>
          <cell r="H15">
            <v>287191436.89999998</v>
          </cell>
          <cell r="I15">
            <v>720039129.89999998</v>
          </cell>
          <cell r="L15">
            <v>1735257848.2</v>
          </cell>
          <cell r="Q15">
            <v>767294817</v>
          </cell>
          <cell r="R15">
            <v>967963031.20000005</v>
          </cell>
        </row>
        <row r="16">
          <cell r="B16">
            <v>1341687522.2607501</v>
          </cell>
          <cell r="C16">
            <v>0</v>
          </cell>
          <cell r="D16">
            <v>298092351.75498998</v>
          </cell>
          <cell r="E16">
            <v>1043595170.50576</v>
          </cell>
          <cell r="F16">
            <v>262968609.76075</v>
          </cell>
          <cell r="G16">
            <v>0</v>
          </cell>
          <cell r="H16">
            <v>58310525.054990001</v>
          </cell>
          <cell r="I16">
            <v>204658084.70576</v>
          </cell>
          <cell r="L16">
            <v>1078718912.5</v>
          </cell>
          <cell r="Q16">
            <v>239781826.69999999</v>
          </cell>
          <cell r="R16">
            <v>838937085.79999995</v>
          </cell>
        </row>
        <row r="17">
          <cell r="B17">
            <v>5746575608.0740366</v>
          </cell>
          <cell r="C17">
            <v>158722686.774037</v>
          </cell>
          <cell r="D17">
            <v>2190286671.3000002</v>
          </cell>
          <cell r="E17">
            <v>3397566250</v>
          </cell>
          <cell r="F17">
            <v>3289672222.8740368</v>
          </cell>
          <cell r="G17">
            <v>158722686.774037</v>
          </cell>
          <cell r="H17">
            <v>1259369346.0999999</v>
          </cell>
          <cell r="I17">
            <v>1871580190</v>
          </cell>
          <cell r="L17">
            <v>2456903385.1999998</v>
          </cell>
          <cell r="Q17">
            <v>930917325.20000005</v>
          </cell>
          <cell r="R17">
            <v>1525986060</v>
          </cell>
        </row>
        <row r="18">
          <cell r="B18">
            <v>1914012649.9861498</v>
          </cell>
          <cell r="C18">
            <v>0</v>
          </cell>
          <cell r="D18">
            <v>779282215.83846998</v>
          </cell>
          <cell r="E18">
            <v>1134730434.14768</v>
          </cell>
          <cell r="F18">
            <v>474522013.38615</v>
          </cell>
          <cell r="G18">
            <v>0</v>
          </cell>
          <cell r="H18">
            <v>208255918.63846999</v>
          </cell>
          <cell r="I18">
            <v>266266094.74768001</v>
          </cell>
          <cell r="L18">
            <v>1439490636.5999999</v>
          </cell>
          <cell r="Q18">
            <v>571026297.20000005</v>
          </cell>
          <cell r="R18">
            <v>868464339.39999998</v>
          </cell>
        </row>
        <row r="19">
          <cell r="B19">
            <v>4946002846.7171745</v>
          </cell>
          <cell r="C19">
            <v>1054411582.4171749</v>
          </cell>
          <cell r="D19">
            <v>1848976674.5999999</v>
          </cell>
          <cell r="E19">
            <v>2042614589.7</v>
          </cell>
          <cell r="F19">
            <v>2052737404.717175</v>
          </cell>
          <cell r="G19">
            <v>1054411582.4171749</v>
          </cell>
          <cell r="H19">
            <v>482285073.60000002</v>
          </cell>
          <cell r="I19">
            <v>516040748.69999999</v>
          </cell>
          <cell r="L19">
            <v>2893265442</v>
          </cell>
          <cell r="Q19">
            <v>1366691601</v>
          </cell>
          <cell r="R19">
            <v>1526573841</v>
          </cell>
        </row>
        <row r="20">
          <cell r="B20">
            <v>1183635556.585469</v>
          </cell>
          <cell r="C20">
            <v>39217030.855469003</v>
          </cell>
          <cell r="D20">
            <v>651100643.27999997</v>
          </cell>
          <cell r="E20">
            <v>493317882.44999999</v>
          </cell>
          <cell r="F20">
            <v>384295244.58546901</v>
          </cell>
          <cell r="G20">
            <v>39217030.855469003</v>
          </cell>
          <cell r="H20">
            <v>202876516.68000001</v>
          </cell>
          <cell r="I20">
            <v>142201697.05000001</v>
          </cell>
          <cell r="L20">
            <v>799340312</v>
          </cell>
          <cell r="Q20">
            <v>448224126.60000002</v>
          </cell>
          <cell r="R20">
            <v>351116185.39999998</v>
          </cell>
        </row>
        <row r="21">
          <cell r="B21">
            <v>1107404451.4000001</v>
          </cell>
          <cell r="C21">
            <v>0</v>
          </cell>
          <cell r="D21">
            <v>487407715.79999995</v>
          </cell>
          <cell r="E21">
            <v>619996735.60000002</v>
          </cell>
          <cell r="F21">
            <v>250817364.5</v>
          </cell>
          <cell r="G21">
            <v>0</v>
          </cell>
          <cell r="H21">
            <v>110393559.09999999</v>
          </cell>
          <cell r="I21">
            <v>140423805.40000001</v>
          </cell>
          <cell r="L21">
            <v>856587086.89999998</v>
          </cell>
          <cell r="Q21">
            <v>377014156.69999999</v>
          </cell>
          <cell r="R21">
            <v>479572930.19999999</v>
          </cell>
        </row>
        <row r="22">
          <cell r="B22">
            <v>3312078805.4700003</v>
          </cell>
          <cell r="C22">
            <v>0</v>
          </cell>
          <cell r="D22">
            <v>692656481.56999993</v>
          </cell>
          <cell r="E22">
            <v>2619422323.9000001</v>
          </cell>
          <cell r="F22">
            <v>686926779.47000003</v>
          </cell>
          <cell r="G22">
            <v>0</v>
          </cell>
          <cell r="H22">
            <v>140905259.56999999</v>
          </cell>
          <cell r="I22">
            <v>546021519.89999998</v>
          </cell>
          <cell r="L22">
            <v>2625152026</v>
          </cell>
          <cell r="Q22">
            <v>551751222</v>
          </cell>
          <cell r="R22">
            <v>2073400804</v>
          </cell>
        </row>
        <row r="23">
          <cell r="B23">
            <v>1082201922.781543</v>
          </cell>
          <cell r="C23">
            <v>15786463.331543</v>
          </cell>
          <cell r="D23">
            <v>527468238.20000005</v>
          </cell>
          <cell r="E23">
            <v>538947221.25</v>
          </cell>
          <cell r="F23">
            <v>456743758.18154299</v>
          </cell>
          <cell r="G23">
            <v>15786463.331543</v>
          </cell>
          <cell r="H23">
            <v>249570459.09999999</v>
          </cell>
          <cell r="I23">
            <v>191386835.75</v>
          </cell>
          <cell r="L23">
            <v>625458164.60000002</v>
          </cell>
          <cell r="Q23">
            <v>277897779.10000002</v>
          </cell>
          <cell r="R23">
            <v>347560385.5</v>
          </cell>
        </row>
        <row r="24">
          <cell r="B24">
            <v>5542164595.8344727</v>
          </cell>
          <cell r="C24">
            <v>5774481.8344729999</v>
          </cell>
          <cell r="D24">
            <v>1808417480.0999999</v>
          </cell>
          <cell r="E24">
            <v>3727972633.9000001</v>
          </cell>
          <cell r="F24">
            <v>1171453105.8344731</v>
          </cell>
          <cell r="G24">
            <v>5774481.8344729999</v>
          </cell>
          <cell r="H24">
            <v>398362156.10000002</v>
          </cell>
          <cell r="I24">
            <v>767316467.89999998</v>
          </cell>
          <cell r="L24">
            <v>4370711490</v>
          </cell>
          <cell r="Q24">
            <v>1410055324</v>
          </cell>
          <cell r="R24">
            <v>2960656166</v>
          </cell>
        </row>
      </sheetData>
      <sheetData sheetId="3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Instructions"/>
      <sheetName val="Preliminary Review 1"/>
      <sheetName val="Preliminary Review 2"/>
      <sheetName val="External Review"/>
      <sheetName val="Main Controls"/>
      <sheetName val="Policy Analysis"/>
      <sheetName val="Unit Adoption Calculations"/>
      <sheetName val="Emissions Factors"/>
      <sheetName val="CO2 Calcs"/>
      <sheetName val="CH4 Calcs"/>
      <sheetName val="ScenarioRecord"/>
      <sheetName val="TAM Data"/>
      <sheetName val="Variable Meta-analysis"/>
      <sheetName val="Adoption Data"/>
      <sheetName val="Data Interpolator"/>
      <sheetName val="First Cost"/>
      <sheetName val="Operating Cost"/>
      <sheetName val="Custom Adoption"/>
      <sheetName val="S-Curve Adoption"/>
      <sheetName val="Helper Tables"/>
      <sheetName val="FamPlanning"/>
      <sheetName val="Regions-Countries sorting"/>
      <sheetName val="ADD SHEETS --&gt;"/>
      <sheetName val="WORLD BANK 2012"/>
      <sheetName val="TAM from Total MSW"/>
      <sheetName val="OPT Adoption calc"/>
      <sheetName val="Brogaard et al 2014"/>
      <sheetName val="OECD Stat 2016"/>
      <sheetName val="EuroStat 2016"/>
      <sheetName val="IEA 2013"/>
      <sheetName val="Zaman 201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77">
          <cell r="A77" t="str">
            <v>Scenario 1</v>
          </cell>
          <cell r="B77" t="str">
            <v>OPT 3</v>
          </cell>
        </row>
        <row r="78">
          <cell r="A78" t="str">
            <v>Year</v>
          </cell>
          <cell r="B78" t="str">
            <v>World</v>
          </cell>
        </row>
        <row r="79">
          <cell r="A79">
            <v>2012</v>
          </cell>
        </row>
        <row r="80">
          <cell r="A80">
            <v>2013</v>
          </cell>
        </row>
        <row r="81">
          <cell r="A81">
            <v>2014</v>
          </cell>
          <cell r="B81">
            <v>173.98482689627403</v>
          </cell>
        </row>
        <row r="82">
          <cell r="A82">
            <v>2015</v>
          </cell>
          <cell r="B82">
            <v>184.82361151278164</v>
          </cell>
        </row>
        <row r="83">
          <cell r="A83">
            <v>2016</v>
          </cell>
          <cell r="B83">
            <v>196.26677582868334</v>
          </cell>
        </row>
        <row r="84">
          <cell r="A84">
            <v>2017</v>
          </cell>
          <cell r="B84">
            <v>208.31972022367876</v>
          </cell>
        </row>
        <row r="85">
          <cell r="A85">
            <v>2018</v>
          </cell>
          <cell r="B85">
            <v>220.98782875019012</v>
          </cell>
        </row>
        <row r="86">
          <cell r="A86">
            <v>2019</v>
          </cell>
          <cell r="B86">
            <v>234.27647492566507</v>
          </cell>
        </row>
        <row r="87">
          <cell r="A87">
            <v>2020</v>
          </cell>
          <cell r="B87">
            <v>248.19102724743584</v>
          </cell>
        </row>
        <row r="88">
          <cell r="A88">
            <v>2021</v>
          </cell>
          <cell r="B88">
            <v>262.73685443798388</v>
          </cell>
        </row>
        <row r="89">
          <cell r="A89">
            <v>2022</v>
          </cell>
          <cell r="B89">
            <v>277.91933043451161</v>
          </cell>
        </row>
        <row r="90">
          <cell r="A90">
            <v>2023</v>
          </cell>
          <cell r="B90">
            <v>293.74383914068665</v>
          </cell>
        </row>
        <row r="91">
          <cell r="A91">
            <v>2024</v>
          </cell>
          <cell r="B91">
            <v>310.2157789607769</v>
          </cell>
        </row>
        <row r="92">
          <cell r="A92">
            <v>2025</v>
          </cell>
          <cell r="B92">
            <v>327.34056713751244</v>
          </cell>
        </row>
        <row r="93">
          <cell r="A93">
            <v>2026</v>
          </cell>
          <cell r="B93">
            <v>345.12364391523283</v>
          </cell>
        </row>
        <row r="94">
          <cell r="A94">
            <v>2027</v>
          </cell>
          <cell r="B94">
            <v>363.57047654943307</v>
          </cell>
        </row>
        <row r="95">
          <cell r="A95">
            <v>2028</v>
          </cell>
          <cell r="B95">
            <v>382.68656318290863</v>
          </cell>
        </row>
        <row r="96">
          <cell r="A96">
            <v>2029</v>
          </cell>
          <cell r="B96">
            <v>402.47743660749052</v>
          </cell>
        </row>
        <row r="97">
          <cell r="A97">
            <v>2030</v>
          </cell>
          <cell r="B97">
            <v>422.94866792891969</v>
          </cell>
        </row>
        <row r="98">
          <cell r="A98">
            <v>2031</v>
          </cell>
          <cell r="B98">
            <v>444.10587015087617</v>
          </cell>
        </row>
        <row r="99">
          <cell r="A99">
            <v>2032</v>
          </cell>
          <cell r="B99">
            <v>465.95470169255702</v>
          </cell>
        </row>
        <row r="100">
          <cell r="A100">
            <v>2033</v>
          </cell>
          <cell r="B100">
            <v>488.50086985257548</v>
          </cell>
        </row>
        <row r="101">
          <cell r="A101">
            <v>2034</v>
          </cell>
          <cell r="B101">
            <v>511.75013423032476</v>
          </cell>
        </row>
        <row r="102">
          <cell r="A102">
            <v>2035</v>
          </cell>
          <cell r="B102">
            <v>535.70831011435405</v>
          </cell>
        </row>
        <row r="103">
          <cell r="A103">
            <v>2036</v>
          </cell>
          <cell r="B103">
            <v>560.38127184574387</v>
          </cell>
        </row>
        <row r="104">
          <cell r="A104">
            <v>2037</v>
          </cell>
          <cell r="B104">
            <v>585.77495616294846</v>
          </cell>
        </row>
        <row r="105">
          <cell r="A105">
            <v>2038</v>
          </cell>
          <cell r="B105">
            <v>611.89536553309961</v>
          </cell>
        </row>
        <row r="106">
          <cell r="A106">
            <v>2039</v>
          </cell>
          <cell r="B106">
            <v>638.74857147333501</v>
          </cell>
        </row>
        <row r="107">
          <cell r="A107">
            <v>2040</v>
          </cell>
          <cell r="B107">
            <v>666.34071786433503</v>
          </cell>
        </row>
        <row r="108">
          <cell r="A108">
            <v>2041</v>
          </cell>
          <cell r="B108">
            <v>694.67802425690229</v>
          </cell>
        </row>
        <row r="109">
          <cell r="A109">
            <v>2042</v>
          </cell>
          <cell r="B109">
            <v>723.76678917112747</v>
          </cell>
        </row>
        <row r="110">
          <cell r="A110">
            <v>2043</v>
          </cell>
          <cell r="B110">
            <v>753.61339338641699</v>
          </cell>
        </row>
        <row r="111">
          <cell r="A111">
            <v>2044</v>
          </cell>
          <cell r="B111">
            <v>784.22430321944739</v>
          </cell>
        </row>
        <row r="112">
          <cell r="A112">
            <v>2045</v>
          </cell>
          <cell r="B112">
            <v>815.60607378593136</v>
          </cell>
        </row>
        <row r="113">
          <cell r="A113">
            <v>2046</v>
          </cell>
          <cell r="B113">
            <v>847.76535224095869</v>
          </cell>
        </row>
        <row r="114">
          <cell r="A114">
            <v>2047</v>
          </cell>
          <cell r="B114">
            <v>880.70888099158412</v>
          </cell>
        </row>
        <row r="115">
          <cell r="A115">
            <v>2048</v>
          </cell>
          <cell r="B115">
            <v>862.76555096862432</v>
          </cell>
        </row>
        <row r="116">
          <cell r="A116">
            <v>2049</v>
          </cell>
          <cell r="B116">
            <v>839.50046562690727</v>
          </cell>
        </row>
        <row r="117">
          <cell r="A117">
            <v>2050</v>
          </cell>
          <cell r="B117">
            <v>813.52077401785243</v>
          </cell>
        </row>
        <row r="118">
          <cell r="A118">
            <v>2051</v>
          </cell>
          <cell r="B118">
            <v>835.34945136874148</v>
          </cell>
        </row>
        <row r="119">
          <cell r="A119">
            <v>2052</v>
          </cell>
          <cell r="B119">
            <v>859.4972091897688</v>
          </cell>
        </row>
        <row r="120">
          <cell r="A120">
            <v>2053</v>
          </cell>
          <cell r="B120">
            <v>883.68306530783343</v>
          </cell>
        </row>
        <row r="121">
          <cell r="A121">
            <v>2054</v>
          </cell>
          <cell r="B121">
            <v>907.90473757498114</v>
          </cell>
        </row>
        <row r="122">
          <cell r="A122">
            <v>2055</v>
          </cell>
          <cell r="B122">
            <v>932.15994384325847</v>
          </cell>
        </row>
        <row r="123">
          <cell r="A123">
            <v>2056</v>
          </cell>
          <cell r="B123">
            <v>956.44640196471073</v>
          </cell>
        </row>
        <row r="124">
          <cell r="A124">
            <v>2057</v>
          </cell>
          <cell r="B124">
            <v>980.76182979138468</v>
          </cell>
        </row>
        <row r="125">
          <cell r="A125">
            <v>2058</v>
          </cell>
          <cell r="B125">
            <v>1005.103945175326</v>
          </cell>
        </row>
        <row r="126">
          <cell r="A126">
            <v>2059</v>
          </cell>
          <cell r="B126">
            <v>1029.4704659685808</v>
          </cell>
        </row>
        <row r="127">
          <cell r="A127">
            <v>2060</v>
          </cell>
          <cell r="B127">
            <v>1053.8591100231949</v>
          </cell>
        </row>
        <row r="128">
          <cell r="A128" t="str">
            <v>Back to top</v>
          </cell>
        </row>
        <row r="131">
          <cell r="A131" t="str">
            <v>Scenario 2</v>
          </cell>
          <cell r="B131" t="str">
            <v>OPT 2</v>
          </cell>
        </row>
        <row r="132">
          <cell r="A132" t="str">
            <v>Year</v>
          </cell>
          <cell r="B132" t="str">
            <v>World</v>
          </cell>
        </row>
        <row r="133">
          <cell r="A133">
            <v>2012</v>
          </cell>
        </row>
        <row r="134">
          <cell r="A134">
            <v>2013</v>
          </cell>
        </row>
        <row r="135">
          <cell r="A135">
            <v>2014</v>
          </cell>
          <cell r="B135">
            <v>173.98482689627403</v>
          </cell>
        </row>
        <row r="136">
          <cell r="A136">
            <v>2015</v>
          </cell>
          <cell r="B136">
            <v>184.82361151278164</v>
          </cell>
        </row>
        <row r="137">
          <cell r="A137">
            <v>2016</v>
          </cell>
          <cell r="B137">
            <v>196.26677582868334</v>
          </cell>
        </row>
        <row r="138">
          <cell r="A138">
            <v>2017</v>
          </cell>
          <cell r="B138">
            <v>208.31972022367876</v>
          </cell>
        </row>
        <row r="139">
          <cell r="A139">
            <v>2018</v>
          </cell>
          <cell r="B139">
            <v>220.98782875019012</v>
          </cell>
        </row>
        <row r="140">
          <cell r="A140">
            <v>2019</v>
          </cell>
          <cell r="B140">
            <v>234.27647492566507</v>
          </cell>
        </row>
        <row r="141">
          <cell r="A141">
            <v>2020</v>
          </cell>
          <cell r="B141">
            <v>248.19102724743584</v>
          </cell>
        </row>
        <row r="142">
          <cell r="A142">
            <v>2021</v>
          </cell>
          <cell r="B142">
            <v>262.73685443798388</v>
          </cell>
        </row>
        <row r="143">
          <cell r="A143">
            <v>2022</v>
          </cell>
          <cell r="B143">
            <v>277.91933043451161</v>
          </cell>
        </row>
        <row r="144">
          <cell r="A144">
            <v>2023</v>
          </cell>
          <cell r="B144">
            <v>293.74383914068665</v>
          </cell>
        </row>
        <row r="145">
          <cell r="A145">
            <v>2024</v>
          </cell>
          <cell r="B145">
            <v>310.2157789607769</v>
          </cell>
        </row>
        <row r="146">
          <cell r="A146">
            <v>2025</v>
          </cell>
          <cell r="B146">
            <v>327.34056713751244</v>
          </cell>
        </row>
        <row r="147">
          <cell r="A147">
            <v>2026</v>
          </cell>
          <cell r="B147">
            <v>345.12364391523283</v>
          </cell>
        </row>
        <row r="148">
          <cell r="A148">
            <v>2027</v>
          </cell>
          <cell r="B148">
            <v>363.57047654943307</v>
          </cell>
        </row>
        <row r="149">
          <cell r="A149">
            <v>2028</v>
          </cell>
          <cell r="B149">
            <v>382.68656318290863</v>
          </cell>
        </row>
        <row r="150">
          <cell r="A150">
            <v>2029</v>
          </cell>
          <cell r="B150">
            <v>402.47743660749052</v>
          </cell>
        </row>
        <row r="151">
          <cell r="A151">
            <v>2030</v>
          </cell>
          <cell r="B151">
            <v>422.94866792891969</v>
          </cell>
        </row>
        <row r="152">
          <cell r="A152">
            <v>2031</v>
          </cell>
          <cell r="B152">
            <v>444.10587015087617</v>
          </cell>
        </row>
        <row r="153">
          <cell r="A153">
            <v>2032</v>
          </cell>
          <cell r="B153">
            <v>465.95470169255702</v>
          </cell>
        </row>
        <row r="154">
          <cell r="A154">
            <v>2033</v>
          </cell>
          <cell r="B154">
            <v>488.50086985257548</v>
          </cell>
        </row>
        <row r="155">
          <cell r="A155">
            <v>2034</v>
          </cell>
          <cell r="B155">
            <v>511.75013423032476</v>
          </cell>
        </row>
        <row r="156">
          <cell r="A156">
            <v>2035</v>
          </cell>
          <cell r="B156">
            <v>535.70831011435405</v>
          </cell>
        </row>
        <row r="157">
          <cell r="A157">
            <v>2036</v>
          </cell>
          <cell r="B157">
            <v>560.38127184574387</v>
          </cell>
        </row>
        <row r="158">
          <cell r="A158">
            <v>2037</v>
          </cell>
          <cell r="B158">
            <v>585.77495616294846</v>
          </cell>
        </row>
        <row r="159">
          <cell r="A159">
            <v>2038</v>
          </cell>
          <cell r="B159">
            <v>611.89536553309961</v>
          </cell>
        </row>
        <row r="160">
          <cell r="A160">
            <v>2039</v>
          </cell>
          <cell r="B160">
            <v>638.74857147333501</v>
          </cell>
        </row>
        <row r="161">
          <cell r="A161">
            <v>2040</v>
          </cell>
          <cell r="B161">
            <v>666.34071786433503</v>
          </cell>
        </row>
        <row r="162">
          <cell r="A162">
            <v>2041</v>
          </cell>
          <cell r="B162">
            <v>694.67802425690229</v>
          </cell>
        </row>
        <row r="163">
          <cell r="A163">
            <v>2042</v>
          </cell>
          <cell r="B163">
            <v>723.76678917112747</v>
          </cell>
        </row>
        <row r="164">
          <cell r="A164">
            <v>2043</v>
          </cell>
          <cell r="B164">
            <v>753.61339338641699</v>
          </cell>
        </row>
        <row r="165">
          <cell r="A165">
            <v>2044</v>
          </cell>
          <cell r="B165">
            <v>784.22430321944739</v>
          </cell>
        </row>
        <row r="166">
          <cell r="A166">
            <v>2045</v>
          </cell>
          <cell r="B166">
            <v>815.60607378593136</v>
          </cell>
        </row>
        <row r="167">
          <cell r="A167">
            <v>2046</v>
          </cell>
          <cell r="B167">
            <v>847.76535224095869</v>
          </cell>
        </row>
        <row r="168">
          <cell r="A168">
            <v>2047</v>
          </cell>
          <cell r="B168">
            <v>880.70888099158412</v>
          </cell>
        </row>
        <row r="169">
          <cell r="A169">
            <v>2048</v>
          </cell>
          <cell r="B169">
            <v>914.44350087432463</v>
          </cell>
        </row>
        <row r="170">
          <cell r="A170">
            <v>2049</v>
          </cell>
          <cell r="B170">
            <v>948.97615428925053</v>
          </cell>
        </row>
        <row r="171">
          <cell r="A171">
            <v>2050</v>
          </cell>
          <cell r="B171">
            <v>984.31388828147522</v>
          </cell>
        </row>
        <row r="172">
          <cell r="A172">
            <v>2051</v>
          </cell>
          <cell r="B172">
            <v>1003.037638791865</v>
          </cell>
        </row>
        <row r="173">
          <cell r="A173">
            <v>2052</v>
          </cell>
          <cell r="B173">
            <v>1017.5407646552495</v>
          </cell>
        </row>
        <row r="174">
          <cell r="A174">
            <v>2053</v>
          </cell>
          <cell r="B174">
            <v>1031.6350865740467</v>
          </cell>
        </row>
        <row r="175">
          <cell r="A175">
            <v>2054</v>
          </cell>
          <cell r="B175">
            <v>1045.3020808379003</v>
          </cell>
        </row>
        <row r="176">
          <cell r="A176">
            <v>2055</v>
          </cell>
          <cell r="B176">
            <v>1068.3469158091873</v>
          </cell>
        </row>
        <row r="177">
          <cell r="A177">
            <v>2056</v>
          </cell>
          <cell r="B177">
            <v>1103.1431776627498</v>
          </cell>
        </row>
        <row r="178">
          <cell r="A178">
            <v>2057</v>
          </cell>
          <cell r="B178">
            <v>1138.4584594925689</v>
          </cell>
        </row>
        <row r="179">
          <cell r="A179">
            <v>2058</v>
          </cell>
          <cell r="B179">
            <v>1174.2913800725448</v>
          </cell>
        </row>
        <row r="180">
          <cell r="A180">
            <v>2059</v>
          </cell>
          <cell r="B180">
            <v>1198.4117743931406</v>
          </cell>
        </row>
        <row r="181">
          <cell r="A181">
            <v>2060</v>
          </cell>
          <cell r="B181">
            <v>1222.5540685078092</v>
          </cell>
        </row>
        <row r="182">
          <cell r="A182" t="str">
            <v>Back to top</v>
          </cell>
        </row>
        <row r="185">
          <cell r="A185" t="str">
            <v>Scenario 3</v>
          </cell>
          <cell r="B185" t="str">
            <v>[Type Scenario 3 Name Here...]</v>
          </cell>
        </row>
        <row r="186">
          <cell r="A186" t="str">
            <v>Year</v>
          </cell>
          <cell r="B186" t="str">
            <v>World</v>
          </cell>
        </row>
        <row r="187">
          <cell r="A187">
            <v>2012</v>
          </cell>
        </row>
        <row r="188">
          <cell r="A188">
            <v>2013</v>
          </cell>
        </row>
        <row r="189">
          <cell r="A189">
            <v>2014</v>
          </cell>
        </row>
        <row r="190">
          <cell r="A190">
            <v>2015</v>
          </cell>
        </row>
        <row r="191">
          <cell r="A191">
            <v>2016</v>
          </cell>
        </row>
        <row r="192">
          <cell r="A192">
            <v>2017</v>
          </cell>
        </row>
        <row r="193">
          <cell r="A193">
            <v>2018</v>
          </cell>
        </row>
        <row r="194">
          <cell r="A194">
            <v>2019</v>
          </cell>
        </row>
        <row r="195">
          <cell r="A195">
            <v>2020</v>
          </cell>
        </row>
        <row r="196">
          <cell r="A196">
            <v>2021</v>
          </cell>
        </row>
        <row r="197">
          <cell r="A197">
            <v>2022</v>
          </cell>
        </row>
        <row r="198">
          <cell r="A198">
            <v>2023</v>
          </cell>
        </row>
        <row r="199">
          <cell r="A199">
            <v>2024</v>
          </cell>
        </row>
        <row r="200">
          <cell r="A200">
            <v>2025</v>
          </cell>
        </row>
        <row r="201">
          <cell r="A201">
            <v>2026</v>
          </cell>
        </row>
        <row r="202">
          <cell r="A202">
            <v>2027</v>
          </cell>
        </row>
        <row r="203">
          <cell r="A203">
            <v>2028</v>
          </cell>
        </row>
        <row r="204">
          <cell r="A204">
            <v>2029</v>
          </cell>
        </row>
        <row r="205">
          <cell r="A205">
            <v>2030</v>
          </cell>
        </row>
        <row r="206">
          <cell r="A206">
            <v>2031</v>
          </cell>
        </row>
        <row r="207">
          <cell r="A207">
            <v>2032</v>
          </cell>
        </row>
        <row r="208">
          <cell r="A208">
            <v>2033</v>
          </cell>
        </row>
        <row r="209">
          <cell r="A209">
            <v>2034</v>
          </cell>
        </row>
        <row r="210">
          <cell r="A210">
            <v>2035</v>
          </cell>
        </row>
        <row r="211">
          <cell r="A211">
            <v>2036</v>
          </cell>
        </row>
        <row r="212">
          <cell r="A212">
            <v>2037</v>
          </cell>
        </row>
        <row r="213">
          <cell r="A213">
            <v>2038</v>
          </cell>
        </row>
        <row r="214">
          <cell r="A214">
            <v>2039</v>
          </cell>
        </row>
        <row r="215">
          <cell r="A215">
            <v>2040</v>
          </cell>
        </row>
        <row r="216">
          <cell r="A216">
            <v>2041</v>
          </cell>
        </row>
        <row r="217">
          <cell r="A217">
            <v>2042</v>
          </cell>
        </row>
        <row r="218">
          <cell r="A218">
            <v>2043</v>
          </cell>
        </row>
        <row r="219">
          <cell r="A219">
            <v>2044</v>
          </cell>
        </row>
        <row r="220">
          <cell r="A220">
            <v>2045</v>
          </cell>
        </row>
        <row r="221">
          <cell r="A221">
            <v>2046</v>
          </cell>
        </row>
        <row r="222">
          <cell r="A222">
            <v>2047</v>
          </cell>
        </row>
        <row r="223">
          <cell r="A223">
            <v>2048</v>
          </cell>
        </row>
        <row r="224">
          <cell r="A224">
            <v>2049</v>
          </cell>
        </row>
        <row r="225">
          <cell r="A225">
            <v>2050</v>
          </cell>
        </row>
        <row r="226">
          <cell r="A226">
            <v>2051</v>
          </cell>
        </row>
        <row r="227">
          <cell r="A227">
            <v>2052</v>
          </cell>
        </row>
        <row r="228">
          <cell r="A228">
            <v>2053</v>
          </cell>
        </row>
        <row r="229">
          <cell r="A229">
            <v>2054</v>
          </cell>
        </row>
        <row r="230">
          <cell r="A230">
            <v>2055</v>
          </cell>
        </row>
        <row r="231">
          <cell r="A231">
            <v>2056</v>
          </cell>
        </row>
        <row r="232">
          <cell r="A232">
            <v>2057</v>
          </cell>
        </row>
        <row r="233">
          <cell r="A233">
            <v>2058</v>
          </cell>
        </row>
        <row r="234">
          <cell r="A234">
            <v>2059</v>
          </cell>
        </row>
        <row r="235">
          <cell r="A235">
            <v>2060</v>
          </cell>
        </row>
        <row r="236">
          <cell r="A236" t="str">
            <v>Back to top</v>
          </cell>
        </row>
        <row r="239">
          <cell r="A239" t="str">
            <v>Scenario 4</v>
          </cell>
          <cell r="B239" t="str">
            <v>[Type Scenario 4 Name Here...]</v>
          </cell>
        </row>
        <row r="240">
          <cell r="A240" t="str">
            <v>Year</v>
          </cell>
          <cell r="B240" t="str">
            <v>World</v>
          </cell>
        </row>
        <row r="241">
          <cell r="A241">
            <v>2012</v>
          </cell>
        </row>
        <row r="242">
          <cell r="A242">
            <v>2013</v>
          </cell>
        </row>
        <row r="243">
          <cell r="A243">
            <v>2014</v>
          </cell>
        </row>
        <row r="244">
          <cell r="A244">
            <v>2015</v>
          </cell>
        </row>
        <row r="245">
          <cell r="A245">
            <v>2016</v>
          </cell>
        </row>
        <row r="246">
          <cell r="A246">
            <v>2017</v>
          </cell>
        </row>
        <row r="247">
          <cell r="A247">
            <v>2018</v>
          </cell>
        </row>
        <row r="248">
          <cell r="A248">
            <v>2019</v>
          </cell>
        </row>
        <row r="249">
          <cell r="A249">
            <v>2020</v>
          </cell>
        </row>
        <row r="250">
          <cell r="A250">
            <v>2021</v>
          </cell>
        </row>
        <row r="251">
          <cell r="A251">
            <v>2022</v>
          </cell>
        </row>
        <row r="252">
          <cell r="A252">
            <v>2023</v>
          </cell>
        </row>
        <row r="253">
          <cell r="A253">
            <v>2024</v>
          </cell>
        </row>
        <row r="254">
          <cell r="A254">
            <v>2025</v>
          </cell>
        </row>
        <row r="255">
          <cell r="A255">
            <v>2026</v>
          </cell>
        </row>
        <row r="256">
          <cell r="A256">
            <v>2027</v>
          </cell>
        </row>
        <row r="257">
          <cell r="A257">
            <v>2028</v>
          </cell>
        </row>
        <row r="258">
          <cell r="A258">
            <v>2029</v>
          </cell>
        </row>
        <row r="259">
          <cell r="A259">
            <v>2030</v>
          </cell>
        </row>
        <row r="260">
          <cell r="A260">
            <v>2031</v>
          </cell>
        </row>
        <row r="261">
          <cell r="A261">
            <v>2032</v>
          </cell>
        </row>
        <row r="262">
          <cell r="A262">
            <v>2033</v>
          </cell>
        </row>
        <row r="263">
          <cell r="A263">
            <v>2034</v>
          </cell>
        </row>
        <row r="264">
          <cell r="A264">
            <v>2035</v>
          </cell>
        </row>
        <row r="265">
          <cell r="A265">
            <v>2036</v>
          </cell>
        </row>
        <row r="266">
          <cell r="A266">
            <v>2037</v>
          </cell>
        </row>
        <row r="267">
          <cell r="A267">
            <v>2038</v>
          </cell>
        </row>
        <row r="268">
          <cell r="A268">
            <v>2039</v>
          </cell>
        </row>
        <row r="269">
          <cell r="A269">
            <v>2040</v>
          </cell>
        </row>
        <row r="270">
          <cell r="A270">
            <v>2041</v>
          </cell>
        </row>
        <row r="271">
          <cell r="A271">
            <v>2042</v>
          </cell>
        </row>
        <row r="272">
          <cell r="A272">
            <v>2043</v>
          </cell>
        </row>
        <row r="273">
          <cell r="A273">
            <v>2044</v>
          </cell>
        </row>
        <row r="274">
          <cell r="A274">
            <v>2045</v>
          </cell>
        </row>
        <row r="275">
          <cell r="A275">
            <v>2046</v>
          </cell>
        </row>
        <row r="276">
          <cell r="A276">
            <v>2047</v>
          </cell>
        </row>
        <row r="277">
          <cell r="A277">
            <v>2048</v>
          </cell>
        </row>
        <row r="278">
          <cell r="A278">
            <v>2049</v>
          </cell>
        </row>
        <row r="279">
          <cell r="A279">
            <v>2050</v>
          </cell>
        </row>
        <row r="280">
          <cell r="A280">
            <v>2051</v>
          </cell>
        </row>
        <row r="281">
          <cell r="A281">
            <v>2052</v>
          </cell>
        </row>
        <row r="282">
          <cell r="A282">
            <v>2053</v>
          </cell>
        </row>
        <row r="283">
          <cell r="A283">
            <v>2054</v>
          </cell>
        </row>
        <row r="284">
          <cell r="A284">
            <v>2055</v>
          </cell>
        </row>
        <row r="285">
          <cell r="A285">
            <v>2056</v>
          </cell>
        </row>
        <row r="286">
          <cell r="A286">
            <v>2057</v>
          </cell>
        </row>
        <row r="287">
          <cell r="A287">
            <v>2058</v>
          </cell>
        </row>
        <row r="288">
          <cell r="A288">
            <v>2059</v>
          </cell>
        </row>
        <row r="289">
          <cell r="A289">
            <v>2060</v>
          </cell>
        </row>
        <row r="290">
          <cell r="A290" t="str">
            <v>Back to top</v>
          </cell>
        </row>
        <row r="293">
          <cell r="A293" t="str">
            <v>Scenario 5</v>
          </cell>
          <cell r="B293" t="str">
            <v>[Type Scenario 5 Name Here...]</v>
          </cell>
        </row>
        <row r="294">
          <cell r="A294" t="str">
            <v>Year</v>
          </cell>
          <cell r="B294" t="str">
            <v>World</v>
          </cell>
        </row>
        <row r="295">
          <cell r="A295">
            <v>2012</v>
          </cell>
        </row>
        <row r="296">
          <cell r="A296">
            <v>2013</v>
          </cell>
        </row>
        <row r="297">
          <cell r="A297">
            <v>2014</v>
          </cell>
        </row>
        <row r="298">
          <cell r="A298">
            <v>2015</v>
          </cell>
        </row>
        <row r="299">
          <cell r="A299">
            <v>2016</v>
          </cell>
        </row>
        <row r="300">
          <cell r="A300">
            <v>2017</v>
          </cell>
        </row>
        <row r="301">
          <cell r="A301">
            <v>2018</v>
          </cell>
        </row>
        <row r="302">
          <cell r="A302">
            <v>2019</v>
          </cell>
        </row>
        <row r="303">
          <cell r="A303">
            <v>2020</v>
          </cell>
        </row>
        <row r="304">
          <cell r="A304">
            <v>2021</v>
          </cell>
        </row>
        <row r="305">
          <cell r="A305">
            <v>2022</v>
          </cell>
        </row>
        <row r="306">
          <cell r="A306">
            <v>2023</v>
          </cell>
        </row>
        <row r="307">
          <cell r="A307">
            <v>2024</v>
          </cell>
        </row>
        <row r="308">
          <cell r="A308">
            <v>2025</v>
          </cell>
        </row>
        <row r="309">
          <cell r="A309">
            <v>2026</v>
          </cell>
        </row>
        <row r="310">
          <cell r="A310">
            <v>2027</v>
          </cell>
        </row>
        <row r="311">
          <cell r="A311">
            <v>2028</v>
          </cell>
        </row>
        <row r="312">
          <cell r="A312">
            <v>2029</v>
          </cell>
        </row>
        <row r="313">
          <cell r="A313">
            <v>2030</v>
          </cell>
        </row>
        <row r="314">
          <cell r="A314">
            <v>2031</v>
          </cell>
        </row>
        <row r="315">
          <cell r="A315">
            <v>2032</v>
          </cell>
        </row>
        <row r="316">
          <cell r="A316">
            <v>2033</v>
          </cell>
        </row>
        <row r="317">
          <cell r="A317">
            <v>2034</v>
          </cell>
        </row>
        <row r="318">
          <cell r="A318">
            <v>2035</v>
          </cell>
        </row>
        <row r="319">
          <cell r="A319">
            <v>2036</v>
          </cell>
        </row>
        <row r="320">
          <cell r="A320">
            <v>2037</v>
          </cell>
        </row>
        <row r="321">
          <cell r="A321">
            <v>2038</v>
          </cell>
        </row>
        <row r="322">
          <cell r="A322">
            <v>2039</v>
          </cell>
        </row>
        <row r="323">
          <cell r="A323">
            <v>2040</v>
          </cell>
        </row>
        <row r="324">
          <cell r="A324">
            <v>2041</v>
          </cell>
        </row>
        <row r="325">
          <cell r="A325">
            <v>2042</v>
          </cell>
        </row>
        <row r="326">
          <cell r="A326">
            <v>2043</v>
          </cell>
        </row>
        <row r="327">
          <cell r="A327">
            <v>2044</v>
          </cell>
        </row>
        <row r="328">
          <cell r="A328">
            <v>2045</v>
          </cell>
        </row>
        <row r="329">
          <cell r="A329">
            <v>2046</v>
          </cell>
        </row>
        <row r="330">
          <cell r="A330">
            <v>2047</v>
          </cell>
        </row>
        <row r="331">
          <cell r="A331">
            <v>2048</v>
          </cell>
        </row>
        <row r="332">
          <cell r="A332">
            <v>2049</v>
          </cell>
        </row>
        <row r="333">
          <cell r="A333">
            <v>2050</v>
          </cell>
        </row>
        <row r="334">
          <cell r="A334">
            <v>2051</v>
          </cell>
        </row>
        <row r="335">
          <cell r="A335">
            <v>2052</v>
          </cell>
        </row>
        <row r="336">
          <cell r="A336">
            <v>2053</v>
          </cell>
        </row>
        <row r="337">
          <cell r="A337">
            <v>2054</v>
          </cell>
        </row>
        <row r="338">
          <cell r="A338">
            <v>2055</v>
          </cell>
        </row>
        <row r="339">
          <cell r="A339">
            <v>2056</v>
          </cell>
        </row>
        <row r="340">
          <cell r="A340">
            <v>2057</v>
          </cell>
        </row>
        <row r="341">
          <cell r="A341">
            <v>2058</v>
          </cell>
        </row>
        <row r="342">
          <cell r="A342">
            <v>2059</v>
          </cell>
        </row>
        <row r="343">
          <cell r="A343">
            <v>2060</v>
          </cell>
        </row>
        <row r="344">
          <cell r="A344" t="str">
            <v>Back to top</v>
          </cell>
        </row>
        <row r="347">
          <cell r="A347" t="str">
            <v>Scenario 6</v>
          </cell>
          <cell r="B347" t="str">
            <v>[Type Scenario 6 Name Here...]</v>
          </cell>
        </row>
        <row r="348">
          <cell r="A348" t="str">
            <v>Year</v>
          </cell>
          <cell r="B348" t="str">
            <v>World</v>
          </cell>
        </row>
        <row r="349">
          <cell r="A349">
            <v>2012</v>
          </cell>
        </row>
        <row r="350">
          <cell r="A350">
            <v>2013</v>
          </cell>
        </row>
        <row r="351">
          <cell r="A351">
            <v>2014</v>
          </cell>
        </row>
        <row r="352">
          <cell r="A352">
            <v>2015</v>
          </cell>
        </row>
        <row r="353">
          <cell r="A353">
            <v>2016</v>
          </cell>
        </row>
        <row r="354">
          <cell r="A354">
            <v>2017</v>
          </cell>
        </row>
        <row r="355">
          <cell r="A355">
            <v>2018</v>
          </cell>
        </row>
        <row r="356">
          <cell r="A356">
            <v>2019</v>
          </cell>
        </row>
        <row r="357">
          <cell r="A357">
            <v>2020</v>
          </cell>
        </row>
        <row r="358">
          <cell r="A358">
            <v>2021</v>
          </cell>
        </row>
        <row r="359">
          <cell r="A359">
            <v>2022</v>
          </cell>
        </row>
        <row r="360">
          <cell r="A360">
            <v>2023</v>
          </cell>
        </row>
        <row r="361">
          <cell r="A361">
            <v>2024</v>
          </cell>
        </row>
        <row r="362">
          <cell r="A362">
            <v>2025</v>
          </cell>
        </row>
        <row r="363">
          <cell r="A363">
            <v>2026</v>
          </cell>
        </row>
        <row r="364">
          <cell r="A364">
            <v>2027</v>
          </cell>
        </row>
        <row r="365">
          <cell r="A365">
            <v>2028</v>
          </cell>
        </row>
        <row r="366">
          <cell r="A366">
            <v>2029</v>
          </cell>
        </row>
        <row r="367">
          <cell r="A367">
            <v>2030</v>
          </cell>
        </row>
        <row r="368">
          <cell r="A368">
            <v>2031</v>
          </cell>
        </row>
        <row r="369">
          <cell r="A369">
            <v>2032</v>
          </cell>
        </row>
        <row r="370">
          <cell r="A370">
            <v>2033</v>
          </cell>
        </row>
        <row r="371">
          <cell r="A371">
            <v>2034</v>
          </cell>
        </row>
        <row r="372">
          <cell r="A372">
            <v>2035</v>
          </cell>
        </row>
        <row r="373">
          <cell r="A373">
            <v>2036</v>
          </cell>
        </row>
        <row r="374">
          <cell r="A374">
            <v>2037</v>
          </cell>
        </row>
        <row r="375">
          <cell r="A375">
            <v>2038</v>
          </cell>
        </row>
        <row r="376">
          <cell r="A376">
            <v>2039</v>
          </cell>
        </row>
        <row r="377">
          <cell r="A377">
            <v>2040</v>
          </cell>
        </row>
        <row r="378">
          <cell r="A378">
            <v>2041</v>
          </cell>
        </row>
        <row r="379">
          <cell r="A379">
            <v>2042</v>
          </cell>
        </row>
        <row r="380">
          <cell r="A380">
            <v>2043</v>
          </cell>
        </row>
        <row r="381">
          <cell r="A381">
            <v>2044</v>
          </cell>
        </row>
        <row r="382">
          <cell r="A382">
            <v>2045</v>
          </cell>
        </row>
        <row r="383">
          <cell r="A383">
            <v>2046</v>
          </cell>
        </row>
        <row r="384">
          <cell r="A384">
            <v>2047</v>
          </cell>
        </row>
        <row r="385">
          <cell r="A385">
            <v>2048</v>
          </cell>
        </row>
        <row r="386">
          <cell r="A386">
            <v>2049</v>
          </cell>
        </row>
        <row r="387">
          <cell r="A387">
            <v>2050</v>
          </cell>
        </row>
        <row r="388">
          <cell r="A388">
            <v>2051</v>
          </cell>
        </row>
        <row r="389">
          <cell r="A389">
            <v>2052</v>
          </cell>
        </row>
        <row r="390">
          <cell r="A390">
            <v>2053</v>
          </cell>
        </row>
        <row r="391">
          <cell r="A391">
            <v>2054</v>
          </cell>
        </row>
        <row r="392">
          <cell r="A392">
            <v>2055</v>
          </cell>
        </row>
        <row r="393">
          <cell r="A393">
            <v>2056</v>
          </cell>
        </row>
        <row r="394">
          <cell r="A394">
            <v>2057</v>
          </cell>
        </row>
        <row r="395">
          <cell r="A395">
            <v>2058</v>
          </cell>
        </row>
        <row r="396">
          <cell r="A396">
            <v>2059</v>
          </cell>
        </row>
        <row r="397">
          <cell r="A397">
            <v>2060</v>
          </cell>
        </row>
        <row r="398">
          <cell r="A398" t="str">
            <v>Back to top</v>
          </cell>
        </row>
        <row r="401">
          <cell r="A401" t="str">
            <v>Scenario 7</v>
          </cell>
          <cell r="B401" t="str">
            <v>[Type Scenario 7 Name Here...]</v>
          </cell>
        </row>
        <row r="402">
          <cell r="A402" t="str">
            <v>Year</v>
          </cell>
          <cell r="B402" t="str">
            <v>World</v>
          </cell>
        </row>
        <row r="403">
          <cell r="A403">
            <v>2012</v>
          </cell>
        </row>
        <row r="404">
          <cell r="A404">
            <v>2013</v>
          </cell>
        </row>
        <row r="405">
          <cell r="A405">
            <v>2014</v>
          </cell>
        </row>
        <row r="406">
          <cell r="A406">
            <v>2015</v>
          </cell>
        </row>
        <row r="407">
          <cell r="A407">
            <v>2016</v>
          </cell>
        </row>
        <row r="408">
          <cell r="A408">
            <v>2017</v>
          </cell>
        </row>
        <row r="409">
          <cell r="A409">
            <v>2018</v>
          </cell>
        </row>
        <row r="410">
          <cell r="A410">
            <v>2019</v>
          </cell>
        </row>
        <row r="411">
          <cell r="A411">
            <v>2020</v>
          </cell>
        </row>
        <row r="412">
          <cell r="A412">
            <v>2021</v>
          </cell>
        </row>
        <row r="413">
          <cell r="A413">
            <v>2022</v>
          </cell>
        </row>
        <row r="414">
          <cell r="A414">
            <v>2023</v>
          </cell>
        </row>
        <row r="415">
          <cell r="A415">
            <v>2024</v>
          </cell>
        </row>
        <row r="416">
          <cell r="A416">
            <v>2025</v>
          </cell>
        </row>
        <row r="417">
          <cell r="A417">
            <v>2026</v>
          </cell>
        </row>
        <row r="418">
          <cell r="A418">
            <v>2027</v>
          </cell>
        </row>
        <row r="419">
          <cell r="A419">
            <v>2028</v>
          </cell>
        </row>
        <row r="420">
          <cell r="A420">
            <v>2029</v>
          </cell>
        </row>
        <row r="421">
          <cell r="A421">
            <v>2030</v>
          </cell>
        </row>
        <row r="422">
          <cell r="A422">
            <v>2031</v>
          </cell>
        </row>
        <row r="423">
          <cell r="A423">
            <v>2032</v>
          </cell>
        </row>
        <row r="424">
          <cell r="A424">
            <v>2033</v>
          </cell>
        </row>
        <row r="425">
          <cell r="A425">
            <v>2034</v>
          </cell>
        </row>
        <row r="426">
          <cell r="A426">
            <v>2035</v>
          </cell>
        </row>
        <row r="427">
          <cell r="A427">
            <v>2036</v>
          </cell>
        </row>
        <row r="428">
          <cell r="A428">
            <v>2037</v>
          </cell>
        </row>
        <row r="429">
          <cell r="A429">
            <v>2038</v>
          </cell>
        </row>
        <row r="430">
          <cell r="A430">
            <v>2039</v>
          </cell>
        </row>
        <row r="431">
          <cell r="A431">
            <v>2040</v>
          </cell>
        </row>
        <row r="432">
          <cell r="A432">
            <v>2041</v>
          </cell>
        </row>
        <row r="433">
          <cell r="A433">
            <v>2042</v>
          </cell>
        </row>
        <row r="434">
          <cell r="A434">
            <v>2043</v>
          </cell>
        </row>
        <row r="435">
          <cell r="A435">
            <v>2044</v>
          </cell>
        </row>
        <row r="436">
          <cell r="A436">
            <v>2045</v>
          </cell>
        </row>
        <row r="437">
          <cell r="A437">
            <v>2046</v>
          </cell>
        </row>
        <row r="438">
          <cell r="A438">
            <v>2047</v>
          </cell>
        </row>
        <row r="439">
          <cell r="A439">
            <v>2048</v>
          </cell>
        </row>
        <row r="440">
          <cell r="A440">
            <v>2049</v>
          </cell>
        </row>
        <row r="441">
          <cell r="A441">
            <v>2050</v>
          </cell>
        </row>
        <row r="442">
          <cell r="A442">
            <v>2051</v>
          </cell>
        </row>
        <row r="443">
          <cell r="A443">
            <v>2052</v>
          </cell>
        </row>
        <row r="444">
          <cell r="A444">
            <v>2053</v>
          </cell>
        </row>
        <row r="445">
          <cell r="A445">
            <v>2054</v>
          </cell>
        </row>
        <row r="446">
          <cell r="A446">
            <v>2055</v>
          </cell>
        </row>
        <row r="447">
          <cell r="A447">
            <v>2056</v>
          </cell>
        </row>
        <row r="448">
          <cell r="A448">
            <v>2057</v>
          </cell>
        </row>
        <row r="449">
          <cell r="A449">
            <v>2058</v>
          </cell>
        </row>
        <row r="450">
          <cell r="A450">
            <v>2059</v>
          </cell>
        </row>
        <row r="451">
          <cell r="A451">
            <v>2060</v>
          </cell>
        </row>
        <row r="452">
          <cell r="A452" t="str">
            <v>Back to top</v>
          </cell>
        </row>
        <row r="455">
          <cell r="A455" t="str">
            <v>Scenario 8</v>
          </cell>
          <cell r="B455" t="str">
            <v>[Type Scenario 8 Name Here...]</v>
          </cell>
        </row>
        <row r="456">
          <cell r="A456" t="str">
            <v>Year</v>
          </cell>
          <cell r="B456" t="str">
            <v>World</v>
          </cell>
        </row>
        <row r="457">
          <cell r="A457">
            <v>2012</v>
          </cell>
        </row>
        <row r="458">
          <cell r="A458">
            <v>2013</v>
          </cell>
        </row>
        <row r="459">
          <cell r="A459">
            <v>2014</v>
          </cell>
        </row>
        <row r="460">
          <cell r="A460">
            <v>2015</v>
          </cell>
        </row>
        <row r="461">
          <cell r="A461">
            <v>2016</v>
          </cell>
        </row>
        <row r="462">
          <cell r="A462">
            <v>2017</v>
          </cell>
        </row>
        <row r="463">
          <cell r="A463">
            <v>2018</v>
          </cell>
        </row>
        <row r="464">
          <cell r="A464">
            <v>2019</v>
          </cell>
        </row>
        <row r="465">
          <cell r="A465">
            <v>2020</v>
          </cell>
        </row>
        <row r="466">
          <cell r="A466">
            <v>2021</v>
          </cell>
        </row>
        <row r="467">
          <cell r="A467">
            <v>2022</v>
          </cell>
        </row>
        <row r="468">
          <cell r="A468">
            <v>2023</v>
          </cell>
        </row>
        <row r="469">
          <cell r="A469">
            <v>2024</v>
          </cell>
        </row>
        <row r="470">
          <cell r="A470">
            <v>2025</v>
          </cell>
        </row>
        <row r="471">
          <cell r="A471">
            <v>2026</v>
          </cell>
        </row>
        <row r="472">
          <cell r="A472">
            <v>2027</v>
          </cell>
        </row>
        <row r="473">
          <cell r="A473">
            <v>2028</v>
          </cell>
        </row>
        <row r="474">
          <cell r="A474">
            <v>2029</v>
          </cell>
        </row>
        <row r="475">
          <cell r="A475">
            <v>2030</v>
          </cell>
        </row>
        <row r="476">
          <cell r="A476">
            <v>2031</v>
          </cell>
        </row>
        <row r="477">
          <cell r="A477">
            <v>2032</v>
          </cell>
        </row>
        <row r="478">
          <cell r="A478">
            <v>2033</v>
          </cell>
        </row>
        <row r="479">
          <cell r="A479">
            <v>2034</v>
          </cell>
        </row>
        <row r="480">
          <cell r="A480">
            <v>2035</v>
          </cell>
        </row>
        <row r="481">
          <cell r="A481">
            <v>2036</v>
          </cell>
        </row>
        <row r="482">
          <cell r="A482">
            <v>2037</v>
          </cell>
        </row>
        <row r="483">
          <cell r="A483">
            <v>2038</v>
          </cell>
        </row>
        <row r="484">
          <cell r="A484">
            <v>2039</v>
          </cell>
        </row>
        <row r="485">
          <cell r="A485">
            <v>2040</v>
          </cell>
        </row>
        <row r="486">
          <cell r="A486">
            <v>2041</v>
          </cell>
        </row>
        <row r="487">
          <cell r="A487">
            <v>2042</v>
          </cell>
        </row>
        <row r="488">
          <cell r="A488">
            <v>2043</v>
          </cell>
        </row>
        <row r="489">
          <cell r="A489">
            <v>2044</v>
          </cell>
        </row>
        <row r="490">
          <cell r="A490">
            <v>2045</v>
          </cell>
        </row>
        <row r="491">
          <cell r="A491">
            <v>2046</v>
          </cell>
        </row>
        <row r="492">
          <cell r="A492">
            <v>2047</v>
          </cell>
        </row>
        <row r="493">
          <cell r="A493">
            <v>2048</v>
          </cell>
        </row>
        <row r="494">
          <cell r="A494">
            <v>2049</v>
          </cell>
        </row>
        <row r="495">
          <cell r="A495">
            <v>2050</v>
          </cell>
        </row>
        <row r="496">
          <cell r="A496">
            <v>2051</v>
          </cell>
        </row>
        <row r="497">
          <cell r="A497">
            <v>2052</v>
          </cell>
        </row>
        <row r="498">
          <cell r="A498">
            <v>2053</v>
          </cell>
        </row>
        <row r="499">
          <cell r="A499">
            <v>2054</v>
          </cell>
        </row>
        <row r="500">
          <cell r="A500">
            <v>2055</v>
          </cell>
        </row>
        <row r="501">
          <cell r="A501">
            <v>2056</v>
          </cell>
        </row>
        <row r="502">
          <cell r="A502">
            <v>2057</v>
          </cell>
        </row>
        <row r="503">
          <cell r="A503">
            <v>2058</v>
          </cell>
        </row>
        <row r="504">
          <cell r="A504">
            <v>2059</v>
          </cell>
        </row>
        <row r="505">
          <cell r="A505">
            <v>2060</v>
          </cell>
        </row>
        <row r="506">
          <cell r="A506" t="str">
            <v>Back to top</v>
          </cell>
        </row>
        <row r="509">
          <cell r="A509" t="str">
            <v>Scenario 9</v>
          </cell>
          <cell r="B509" t="str">
            <v>[Type Scenario 9 Name Here...]</v>
          </cell>
        </row>
        <row r="510">
          <cell r="A510" t="str">
            <v>Year</v>
          </cell>
          <cell r="B510" t="str">
            <v>World</v>
          </cell>
        </row>
        <row r="511">
          <cell r="A511">
            <v>2012</v>
          </cell>
        </row>
        <row r="512">
          <cell r="A512">
            <v>2013</v>
          </cell>
        </row>
        <row r="513">
          <cell r="A513">
            <v>2014</v>
          </cell>
        </row>
        <row r="514">
          <cell r="A514">
            <v>2015</v>
          </cell>
        </row>
        <row r="515">
          <cell r="A515">
            <v>2016</v>
          </cell>
        </row>
        <row r="516">
          <cell r="A516">
            <v>2017</v>
          </cell>
        </row>
        <row r="517">
          <cell r="A517">
            <v>2018</v>
          </cell>
        </row>
        <row r="518">
          <cell r="A518">
            <v>2019</v>
          </cell>
        </row>
        <row r="519">
          <cell r="A519">
            <v>2020</v>
          </cell>
        </row>
        <row r="520">
          <cell r="A520">
            <v>2021</v>
          </cell>
        </row>
        <row r="521">
          <cell r="A521">
            <v>2022</v>
          </cell>
        </row>
        <row r="522">
          <cell r="A522">
            <v>2023</v>
          </cell>
        </row>
        <row r="523">
          <cell r="A523">
            <v>2024</v>
          </cell>
        </row>
        <row r="524">
          <cell r="A524">
            <v>2025</v>
          </cell>
        </row>
        <row r="525">
          <cell r="A525">
            <v>2026</v>
          </cell>
        </row>
        <row r="526">
          <cell r="A526">
            <v>2027</v>
          </cell>
        </row>
        <row r="527">
          <cell r="A527">
            <v>2028</v>
          </cell>
        </row>
        <row r="528">
          <cell r="A528">
            <v>2029</v>
          </cell>
        </row>
        <row r="529">
          <cell r="A529">
            <v>2030</v>
          </cell>
        </row>
        <row r="530">
          <cell r="A530">
            <v>2031</v>
          </cell>
        </row>
        <row r="531">
          <cell r="A531">
            <v>2032</v>
          </cell>
        </row>
        <row r="532">
          <cell r="A532">
            <v>2033</v>
          </cell>
        </row>
        <row r="533">
          <cell r="A533">
            <v>2034</v>
          </cell>
        </row>
        <row r="534">
          <cell r="A534">
            <v>2035</v>
          </cell>
        </row>
        <row r="535">
          <cell r="A535">
            <v>2036</v>
          </cell>
        </row>
        <row r="536">
          <cell r="A536">
            <v>2037</v>
          </cell>
        </row>
        <row r="537">
          <cell r="A537">
            <v>2038</v>
          </cell>
        </row>
        <row r="538">
          <cell r="A538">
            <v>2039</v>
          </cell>
        </row>
        <row r="539">
          <cell r="A539">
            <v>2040</v>
          </cell>
        </row>
        <row r="540">
          <cell r="A540">
            <v>2041</v>
          </cell>
        </row>
        <row r="541">
          <cell r="A541">
            <v>2042</v>
          </cell>
        </row>
        <row r="542">
          <cell r="A542">
            <v>2043</v>
          </cell>
        </row>
        <row r="543">
          <cell r="A543">
            <v>2044</v>
          </cell>
        </row>
        <row r="544">
          <cell r="A544">
            <v>2045</v>
          </cell>
        </row>
        <row r="545">
          <cell r="A545">
            <v>2046</v>
          </cell>
        </row>
        <row r="546">
          <cell r="A546">
            <v>2047</v>
          </cell>
        </row>
        <row r="547">
          <cell r="A547">
            <v>2048</v>
          </cell>
        </row>
        <row r="548">
          <cell r="A548">
            <v>2049</v>
          </cell>
        </row>
        <row r="549">
          <cell r="A549">
            <v>2050</v>
          </cell>
        </row>
        <row r="550">
          <cell r="A550">
            <v>2051</v>
          </cell>
        </row>
        <row r="551">
          <cell r="A551">
            <v>2052</v>
          </cell>
        </row>
        <row r="552">
          <cell r="A552">
            <v>2053</v>
          </cell>
        </row>
        <row r="553">
          <cell r="A553">
            <v>2054</v>
          </cell>
        </row>
        <row r="554">
          <cell r="A554">
            <v>2055</v>
          </cell>
        </row>
        <row r="555">
          <cell r="A555">
            <v>2056</v>
          </cell>
        </row>
        <row r="556">
          <cell r="A556">
            <v>2057</v>
          </cell>
        </row>
        <row r="557">
          <cell r="A557">
            <v>2058</v>
          </cell>
        </row>
        <row r="558">
          <cell r="A558">
            <v>2059</v>
          </cell>
        </row>
        <row r="559">
          <cell r="A559">
            <v>2060</v>
          </cell>
        </row>
        <row r="560">
          <cell r="A560" t="str">
            <v>Back to top</v>
          </cell>
        </row>
        <row r="563">
          <cell r="A563" t="str">
            <v>Scenario 10</v>
          </cell>
          <cell r="B563" t="str">
            <v>[Type Scenario 10 Name Here...]</v>
          </cell>
        </row>
        <row r="564">
          <cell r="A564" t="str">
            <v>Year</v>
          </cell>
          <cell r="B564" t="str">
            <v>World</v>
          </cell>
        </row>
        <row r="565">
          <cell r="A565">
            <v>2012</v>
          </cell>
        </row>
        <row r="566">
          <cell r="A566">
            <v>2013</v>
          </cell>
        </row>
        <row r="567">
          <cell r="A567">
            <v>2014</v>
          </cell>
        </row>
        <row r="568">
          <cell r="A568">
            <v>2015</v>
          </cell>
        </row>
        <row r="569">
          <cell r="A569">
            <v>2016</v>
          </cell>
        </row>
        <row r="570">
          <cell r="A570">
            <v>2017</v>
          </cell>
        </row>
        <row r="571">
          <cell r="A571">
            <v>2018</v>
          </cell>
        </row>
        <row r="572">
          <cell r="A572">
            <v>2019</v>
          </cell>
        </row>
        <row r="573">
          <cell r="A573">
            <v>2020</v>
          </cell>
        </row>
        <row r="574">
          <cell r="A574">
            <v>2021</v>
          </cell>
        </row>
        <row r="575">
          <cell r="A575">
            <v>2022</v>
          </cell>
        </row>
        <row r="576">
          <cell r="A576">
            <v>2023</v>
          </cell>
        </row>
        <row r="577">
          <cell r="A577">
            <v>2024</v>
          </cell>
        </row>
        <row r="578">
          <cell r="A578">
            <v>2025</v>
          </cell>
        </row>
        <row r="579">
          <cell r="A579">
            <v>2026</v>
          </cell>
        </row>
        <row r="580">
          <cell r="A580">
            <v>2027</v>
          </cell>
        </row>
        <row r="581">
          <cell r="A581">
            <v>2028</v>
          </cell>
        </row>
        <row r="582">
          <cell r="A582">
            <v>2029</v>
          </cell>
        </row>
        <row r="583">
          <cell r="A583">
            <v>2030</v>
          </cell>
        </row>
        <row r="584">
          <cell r="A584">
            <v>2031</v>
          </cell>
        </row>
        <row r="585">
          <cell r="A585">
            <v>2032</v>
          </cell>
        </row>
        <row r="586">
          <cell r="A586">
            <v>2033</v>
          </cell>
        </row>
        <row r="587">
          <cell r="A587">
            <v>2034</v>
          </cell>
        </row>
        <row r="588">
          <cell r="A588">
            <v>2035</v>
          </cell>
        </row>
        <row r="589">
          <cell r="A589">
            <v>2036</v>
          </cell>
        </row>
        <row r="590">
          <cell r="A590">
            <v>2037</v>
          </cell>
        </row>
        <row r="591">
          <cell r="A591">
            <v>2038</v>
          </cell>
        </row>
        <row r="592">
          <cell r="A592">
            <v>2039</v>
          </cell>
        </row>
        <row r="593">
          <cell r="A593">
            <v>2040</v>
          </cell>
        </row>
        <row r="594">
          <cell r="A594">
            <v>2041</v>
          </cell>
        </row>
        <row r="595">
          <cell r="A595">
            <v>2042</v>
          </cell>
        </row>
        <row r="596">
          <cell r="A596">
            <v>2043</v>
          </cell>
        </row>
        <row r="597">
          <cell r="A597">
            <v>2044</v>
          </cell>
        </row>
        <row r="598">
          <cell r="A598">
            <v>2045</v>
          </cell>
        </row>
        <row r="599">
          <cell r="A599">
            <v>2046</v>
          </cell>
        </row>
        <row r="600">
          <cell r="A600">
            <v>2047</v>
          </cell>
        </row>
        <row r="601">
          <cell r="A601">
            <v>2048</v>
          </cell>
        </row>
        <row r="602">
          <cell r="A602">
            <v>2049</v>
          </cell>
        </row>
        <row r="603">
          <cell r="A603">
            <v>2050</v>
          </cell>
        </row>
        <row r="604">
          <cell r="A604">
            <v>2051</v>
          </cell>
        </row>
        <row r="605">
          <cell r="A605">
            <v>2052</v>
          </cell>
        </row>
        <row r="606">
          <cell r="A606">
            <v>2053</v>
          </cell>
        </row>
        <row r="607">
          <cell r="A607">
            <v>2054</v>
          </cell>
        </row>
        <row r="608">
          <cell r="A608">
            <v>2055</v>
          </cell>
        </row>
        <row r="609">
          <cell r="A609">
            <v>2056</v>
          </cell>
        </row>
        <row r="610">
          <cell r="A610">
            <v>2057</v>
          </cell>
        </row>
        <row r="611">
          <cell r="A611">
            <v>2058</v>
          </cell>
        </row>
        <row r="612">
          <cell r="A612">
            <v>2059</v>
          </cell>
        </row>
        <row r="613">
          <cell r="A613">
            <v>2060</v>
          </cell>
        </row>
        <row r="614">
          <cell r="A614" t="str">
            <v>Back to top</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on Data"/>
      <sheetName val="Metric Data"/>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on Dat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on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ontent/pdf/10.1023/A:1012657230589.pdf" TargetMode="External"/><Relationship Id="rId13" Type="http://schemas.openxmlformats.org/officeDocument/2006/relationships/hyperlink" Target="http://www.fao.org/in-action/enteric-methane/participating-countries/south-asia/bangladesh/en/" TargetMode="External"/><Relationship Id="rId18" Type="http://schemas.openxmlformats.org/officeDocument/2006/relationships/drawing" Target="../drawings/drawing1.xml"/><Relationship Id="rId3" Type="http://schemas.openxmlformats.org/officeDocument/2006/relationships/hyperlink" Target="http://www.fao.org/gleam/results/en/" TargetMode="External"/><Relationship Id="rId21" Type="http://schemas.openxmlformats.org/officeDocument/2006/relationships/comments" Target="../comments1.xml"/><Relationship Id="rId7" Type="http://schemas.openxmlformats.org/officeDocument/2006/relationships/hyperlink" Target="https://www.sciencedirect.com/science/article/pii/S095965269900311X" TargetMode="External"/><Relationship Id="rId12" Type="http://schemas.openxmlformats.org/officeDocument/2006/relationships/hyperlink" Target="http://www.fao.org/in-action/enteric-methane/participating-countries/south-asia/bangladesh/en/" TargetMode="External"/><Relationship Id="rId17" Type="http://schemas.openxmlformats.org/officeDocument/2006/relationships/printerSettings" Target="../printerSettings/printerSettings1.bin"/><Relationship Id="rId2" Type="http://schemas.openxmlformats.org/officeDocument/2006/relationships/hyperlink" Target="http://inflationdata.com/Inflation/Consumer_Price_Index/CurrentCPI.asp?reloaded=true" TargetMode="External"/><Relationship Id="rId16" Type="http://schemas.openxmlformats.org/officeDocument/2006/relationships/hyperlink" Target="http://www.fao.org/in-action/enteric-methane/participating-countries/south-asia/bangladesh/en/" TargetMode="External"/><Relationship Id="rId20" Type="http://schemas.openxmlformats.org/officeDocument/2006/relationships/ctrlProp" Target="../ctrlProps/ctrlProp1.xml"/><Relationship Id="rId1" Type="http://schemas.openxmlformats.org/officeDocument/2006/relationships/hyperlink" Target="http://www.usforex.com/forex-tools/historical-rate-tools/yearly-average-rates" TargetMode="External"/><Relationship Id="rId6" Type="http://schemas.openxmlformats.org/officeDocument/2006/relationships/hyperlink" Target="https://www.sciencedirect.com/science/article/pii/S0308521X07000819" TargetMode="External"/><Relationship Id="rId11" Type="http://schemas.openxmlformats.org/officeDocument/2006/relationships/hyperlink" Target="https://www.sciencedirect.com/science/article/pii/S0022030210000949" TargetMode="External"/><Relationship Id="rId5" Type="http://schemas.openxmlformats.org/officeDocument/2006/relationships/hyperlink" Target="https://link.springer.com/article/10.1007/BF02978508" TargetMode="External"/><Relationship Id="rId15" Type="http://schemas.openxmlformats.org/officeDocument/2006/relationships/hyperlink" Target="http://www.fao.org/gleam/results/en/" TargetMode="External"/><Relationship Id="rId10" Type="http://schemas.openxmlformats.org/officeDocument/2006/relationships/hyperlink" Target="https://www.sciencedirect.com/science/article/pii/S0308521X0700039X" TargetMode="External"/><Relationship Id="rId19" Type="http://schemas.openxmlformats.org/officeDocument/2006/relationships/vmlDrawing" Target="../drawings/vmlDrawing1.vml"/><Relationship Id="rId4" Type="http://schemas.openxmlformats.org/officeDocument/2006/relationships/hyperlink" Target="https://www.tandfonline.com/doi/pdf/10.3763/ijas.2009.0356?needAccess=true" TargetMode="External"/><Relationship Id="rId9" Type="http://schemas.openxmlformats.org/officeDocument/2006/relationships/hyperlink" Target="https://www.sciencedirect.com/science/article/pii/S0308521X0400174X" TargetMode="External"/><Relationship Id="rId14" Type="http://schemas.openxmlformats.org/officeDocument/2006/relationships/hyperlink" Target="http://www.fao.org/gleam/results/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0AA5E-1034-4BFE-BE64-3DA32F366535}">
  <sheetPr codeName="Sheet9">
    <tabColor theme="5" tint="0.59999389629810485"/>
  </sheetPr>
  <dimension ref="A1:CH2077"/>
  <sheetViews>
    <sheetView showGridLines="0" tabSelected="1" topLeftCell="K1" zoomScale="70" zoomScaleNormal="70" zoomScalePageLayoutView="55" workbookViewId="0">
      <selection activeCell="C626" sqref="C626"/>
    </sheetView>
  </sheetViews>
  <sheetFormatPr defaultColWidth="8.85546875" defaultRowHeight="15" x14ac:dyDescent="0.2"/>
  <cols>
    <col min="1" max="1" width="32.28515625" style="8" customWidth="1"/>
    <col min="2" max="2" width="27.85546875" style="8" customWidth="1"/>
    <col min="3" max="3" width="47.140625" style="8" customWidth="1"/>
    <col min="4" max="4" width="20.85546875" style="8" customWidth="1"/>
    <col min="5" max="5" width="30" style="8" customWidth="1"/>
    <col min="6" max="6" width="23.28515625" style="8" customWidth="1"/>
    <col min="7" max="7" width="21.42578125" style="8" customWidth="1"/>
    <col min="8" max="9" width="13.85546875" style="8" customWidth="1"/>
    <col min="10" max="10" width="14.85546875" style="8" customWidth="1"/>
    <col min="11" max="11" width="50.28515625" style="8" customWidth="1"/>
    <col min="12" max="12" width="31.140625" style="8" customWidth="1"/>
    <col min="13" max="13" width="21.140625" style="8" customWidth="1"/>
    <col min="14" max="14" width="16" style="8" customWidth="1"/>
    <col min="15" max="15" width="117.140625" style="8" customWidth="1"/>
    <col min="16" max="16" width="12.42578125" style="8" bestFit="1" customWidth="1"/>
    <col min="17" max="17" width="14.140625" style="354" customWidth="1"/>
    <col min="18" max="18" width="19.7109375" style="8" customWidth="1"/>
    <col min="19" max="19" width="21.140625" style="8" bestFit="1" customWidth="1"/>
    <col min="20" max="20" width="16.85546875" style="8" customWidth="1"/>
    <col min="21" max="21" width="22.42578125" style="8" bestFit="1" customWidth="1"/>
    <col min="22" max="22" width="13" style="8" customWidth="1"/>
    <col min="23" max="23" width="14.85546875" style="8" customWidth="1"/>
    <col min="24" max="24" width="20" style="8" customWidth="1"/>
    <col min="25" max="25" width="6.85546875" style="8" customWidth="1"/>
    <col min="26" max="26" width="28" style="8" customWidth="1"/>
    <col min="27" max="27" width="8.85546875" style="8" customWidth="1"/>
    <col min="28" max="28" width="11" style="8" customWidth="1"/>
    <col min="29" max="29" width="13.85546875" style="8" customWidth="1"/>
    <col min="30" max="32" width="8.85546875" style="8" customWidth="1"/>
    <col min="33" max="33" width="13.140625" style="8" customWidth="1"/>
    <col min="34" max="34" width="14.140625" style="8" customWidth="1"/>
    <col min="35" max="35" width="8.85546875" style="8" customWidth="1"/>
    <col min="36" max="36" width="21.28515625" style="8" customWidth="1"/>
    <col min="37" max="37" width="14.85546875" style="8" customWidth="1"/>
    <col min="38" max="38" width="13.28515625" style="8" customWidth="1"/>
    <col min="39" max="39" width="14.140625" style="8" customWidth="1"/>
    <col min="40" max="40" width="16.140625" style="8" customWidth="1"/>
    <col min="41" max="41" width="12.42578125" style="9" customWidth="1"/>
    <col min="42" max="42" width="11" style="8" customWidth="1"/>
    <col min="43" max="43" width="119.85546875" style="8" customWidth="1"/>
    <col min="44" max="44" width="21" style="8" customWidth="1"/>
    <col min="45" max="45" width="15" style="8" customWidth="1"/>
    <col min="46" max="46" width="9.7109375" style="8" customWidth="1"/>
    <col min="47" max="48" width="19.42578125" style="8" customWidth="1"/>
    <col min="49" max="49" width="11.140625" style="8" customWidth="1"/>
    <col min="50" max="50" width="19.42578125" style="8" customWidth="1"/>
    <col min="51" max="51" width="27.42578125" style="8" customWidth="1"/>
    <col min="52" max="52" width="19.28515625" style="8" customWidth="1"/>
    <col min="53" max="53" width="19.42578125" style="8" customWidth="1"/>
    <col min="54" max="54" width="27.42578125" style="8" customWidth="1"/>
    <col min="55" max="55" width="22.140625" style="8" customWidth="1"/>
    <col min="56" max="56" width="19.42578125" style="8" customWidth="1"/>
    <col min="57" max="57" width="27.42578125" style="8" customWidth="1"/>
    <col min="58" max="58" width="24.85546875" style="8" customWidth="1"/>
    <col min="59" max="59" width="19.42578125" style="8" customWidth="1"/>
    <col min="60" max="60" width="27.42578125" style="8" customWidth="1"/>
    <col min="61" max="61" width="17.42578125" style="8" customWidth="1"/>
    <col min="62" max="62" width="19.42578125" style="8" customWidth="1"/>
    <col min="63" max="63" width="27.42578125" style="8" customWidth="1"/>
    <col min="64" max="64" width="10.140625" style="8" customWidth="1"/>
    <col min="65" max="65" width="19.42578125" style="8" customWidth="1"/>
    <col min="66" max="66" width="27.42578125" style="8" customWidth="1"/>
    <col min="67" max="67" width="10.140625" style="8" customWidth="1"/>
    <col min="68" max="68" width="19.42578125" style="8" customWidth="1"/>
    <col min="69" max="69" width="27.42578125" style="8" customWidth="1"/>
    <col min="70" max="70" width="10.140625" style="8" customWidth="1"/>
    <col min="71" max="71" width="19.42578125" style="8" customWidth="1"/>
    <col min="72" max="72" width="27.42578125" style="8" customWidth="1"/>
    <col min="73" max="73" width="10.140625" style="8" customWidth="1"/>
    <col min="74" max="74" width="19.42578125" style="8" customWidth="1"/>
    <col min="75" max="75" width="19.7109375" style="8" customWidth="1"/>
    <col min="76" max="76" width="8.85546875" style="9" customWidth="1"/>
    <col min="77" max="16384" width="8.85546875" style="8"/>
  </cols>
  <sheetData>
    <row r="1" spans="1:86" s="10" customFormat="1" ht="23.25" x14ac:dyDescent="0.35">
      <c r="A1" s="1" t="e">
        <f ca="1">MID(CELL("filename",A1),FIND("]",CELL("filename",A1))+1,256)</f>
        <v>#VALUE!</v>
      </c>
      <c r="B1" s="1"/>
      <c r="C1" s="2" t="str">
        <f>'[1]Advanced Controls'!C40</f>
        <v>Improved Cattle Feed Quality</v>
      </c>
      <c r="D1" s="2"/>
      <c r="E1" s="2"/>
      <c r="F1" s="2"/>
      <c r="G1" s="2"/>
      <c r="H1" s="2"/>
      <c r="I1" s="2"/>
      <c r="J1" s="2"/>
      <c r="K1" s="2"/>
      <c r="L1" s="2"/>
      <c r="M1" s="2"/>
      <c r="N1" s="3"/>
      <c r="O1" s="4"/>
      <c r="P1" s="5" t="s">
        <v>0</v>
      </c>
      <c r="Q1" s="5"/>
      <c r="R1" s="5"/>
      <c r="S1" s="5"/>
      <c r="T1" s="5"/>
      <c r="U1" s="5"/>
      <c r="V1" s="5"/>
      <c r="W1" s="5"/>
      <c r="X1" s="5"/>
      <c r="Y1" s="6"/>
      <c r="Z1" s="6"/>
      <c r="AA1" s="6"/>
      <c r="AB1" s="6"/>
      <c r="AC1" s="6"/>
      <c r="AD1" s="6"/>
      <c r="AE1" s="6"/>
      <c r="AF1" s="6"/>
      <c r="AG1" s="6"/>
      <c r="AH1" s="6"/>
      <c r="AI1" s="6"/>
      <c r="AJ1" s="6"/>
      <c r="AK1" s="6"/>
      <c r="AL1" s="6"/>
      <c r="AM1" s="6"/>
      <c r="AN1" s="6"/>
      <c r="AO1" s="7"/>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9"/>
      <c r="BY1" s="8"/>
      <c r="BZ1" s="8"/>
      <c r="CA1" s="8"/>
      <c r="CB1" s="8"/>
      <c r="CC1" s="8"/>
      <c r="CD1" s="8"/>
      <c r="CE1" s="8"/>
      <c r="CF1" s="8"/>
      <c r="CG1" s="8"/>
      <c r="CH1" s="8"/>
    </row>
    <row r="2" spans="1:86" ht="15.75" x14ac:dyDescent="0.25">
      <c r="A2" s="11"/>
      <c r="B2" s="12"/>
      <c r="P2" s="13" t="s">
        <v>1</v>
      </c>
      <c r="Q2" s="13"/>
      <c r="R2" s="14" t="s">
        <v>2</v>
      </c>
      <c r="S2" s="14"/>
      <c r="T2" s="14"/>
      <c r="U2" s="14"/>
      <c r="V2" s="14"/>
      <c r="W2" s="14"/>
      <c r="X2" s="14"/>
      <c r="Y2" s="15" t="s">
        <v>3</v>
      </c>
      <c r="Z2" s="16" t="s">
        <v>4</v>
      </c>
      <c r="AA2" s="16" t="s">
        <v>5</v>
      </c>
      <c r="AB2" s="9"/>
      <c r="AC2" s="9"/>
      <c r="AD2" s="9" t="s">
        <v>6</v>
      </c>
      <c r="AE2" s="9" t="s">
        <v>7</v>
      </c>
      <c r="AF2" s="9" t="s">
        <v>8</v>
      </c>
      <c r="AG2" s="9"/>
      <c r="AH2" s="9"/>
      <c r="AJ2" s="17" t="s">
        <v>9</v>
      </c>
      <c r="AK2" s="17"/>
      <c r="AL2" s="18" t="s">
        <v>2</v>
      </c>
      <c r="AM2" s="18"/>
      <c r="AN2" s="18"/>
      <c r="AO2" s="18"/>
      <c r="AQ2" s="19" t="s">
        <v>10</v>
      </c>
      <c r="AR2" s="19"/>
    </row>
    <row r="3" spans="1:86" ht="15.75" x14ac:dyDescent="0.2">
      <c r="A3" s="11"/>
      <c r="B3" s="11"/>
      <c r="P3" s="20"/>
      <c r="Q3" s="20"/>
      <c r="R3" s="21" t="s">
        <v>11</v>
      </c>
      <c r="S3" s="21" t="s">
        <v>12</v>
      </c>
      <c r="T3" s="21" t="s">
        <v>13</v>
      </c>
      <c r="U3" s="21" t="s">
        <v>14</v>
      </c>
      <c r="V3" s="21" t="s">
        <v>15</v>
      </c>
      <c r="W3" s="22" t="s">
        <v>16</v>
      </c>
      <c r="X3" s="22" t="s">
        <v>17</v>
      </c>
      <c r="Y3" s="15" t="s">
        <v>18</v>
      </c>
      <c r="Z3" s="23"/>
      <c r="AA3" s="23"/>
      <c r="AB3" s="23"/>
      <c r="AC3" s="23"/>
      <c r="AD3" s="23"/>
      <c r="AE3" s="23"/>
      <c r="AF3" s="23"/>
      <c r="AG3" s="23"/>
      <c r="AJ3" s="24"/>
      <c r="AK3" s="24"/>
      <c r="AL3" s="25" t="s">
        <v>19</v>
      </c>
      <c r="AM3" s="25" t="s">
        <v>20</v>
      </c>
      <c r="AN3" s="25" t="s">
        <v>21</v>
      </c>
      <c r="AO3" s="25" t="s">
        <v>22</v>
      </c>
      <c r="AP3" s="25" t="s">
        <v>23</v>
      </c>
      <c r="AQ3" s="8" t="s">
        <v>24</v>
      </c>
    </row>
    <row r="4" spans="1:86" ht="15.75" x14ac:dyDescent="0.25">
      <c r="A4" s="11"/>
      <c r="B4" s="11"/>
      <c r="P4" s="26"/>
      <c r="Q4" s="27" t="s">
        <v>25</v>
      </c>
      <c r="R4" s="28"/>
      <c r="S4" s="29"/>
      <c r="T4" s="29"/>
      <c r="U4" s="29"/>
      <c r="V4" s="29"/>
      <c r="W4" s="26"/>
      <c r="X4" s="26"/>
      <c r="Z4" s="23">
        <v>2020</v>
      </c>
      <c r="AA4" s="23"/>
      <c r="AB4" s="30">
        <v>0.91470609000000003</v>
      </c>
      <c r="AC4" s="23"/>
      <c r="AD4" s="23"/>
      <c r="AE4" s="31">
        <v>1.1422030000000001</v>
      </c>
      <c r="AF4" s="23"/>
      <c r="AG4" s="23"/>
      <c r="AJ4" s="32"/>
      <c r="AK4" s="33" t="s">
        <v>25</v>
      </c>
      <c r="AL4" s="34"/>
      <c r="AM4" s="35"/>
      <c r="AN4" s="35"/>
      <c r="AO4" s="36"/>
      <c r="AQ4" s="8" t="s">
        <v>26</v>
      </c>
    </row>
    <row r="5" spans="1:86" x14ac:dyDescent="0.2">
      <c r="A5" s="11"/>
      <c r="B5" s="11"/>
      <c r="P5" s="37" t="s">
        <v>27</v>
      </c>
      <c r="Q5" s="38" t="s">
        <v>11</v>
      </c>
      <c r="R5" s="39">
        <v>1</v>
      </c>
      <c r="S5" s="40">
        <v>238.84589700000001</v>
      </c>
      <c r="T5" s="40">
        <v>2.3884589699999999E-5</v>
      </c>
      <c r="U5" s="40">
        <v>947.81712000000005</v>
      </c>
      <c r="V5" s="40">
        <v>0.27777777799999998</v>
      </c>
      <c r="W5" s="41">
        <v>2.7777777799999997E-4</v>
      </c>
      <c r="X5" s="40">
        <v>277777.77799999999</v>
      </c>
      <c r="Z5" s="23">
        <v>2019</v>
      </c>
      <c r="AA5" s="23"/>
      <c r="AB5" s="42">
        <v>0.92599067999999995</v>
      </c>
      <c r="AC5" s="23"/>
      <c r="AD5" s="23"/>
      <c r="AE5" s="31">
        <v>1.1201289999999999</v>
      </c>
      <c r="AF5" s="23"/>
      <c r="AG5" s="23"/>
      <c r="AJ5" s="43" t="s">
        <v>27</v>
      </c>
      <c r="AK5" s="44" t="s">
        <v>19</v>
      </c>
      <c r="AL5" s="39">
        <v>1</v>
      </c>
      <c r="AM5" s="45">
        <v>0.40468599999999999</v>
      </c>
      <c r="AN5" s="46">
        <v>4.0468564224000001E-4</v>
      </c>
      <c r="AO5" s="47">
        <v>4046.8626697153031</v>
      </c>
      <c r="AP5" s="48"/>
      <c r="AQ5" s="8" t="s">
        <v>28</v>
      </c>
    </row>
    <row r="6" spans="1:86" x14ac:dyDescent="0.2">
      <c r="A6" s="11"/>
      <c r="B6" s="11"/>
      <c r="P6" s="37"/>
      <c r="Q6" s="38" t="s">
        <v>12</v>
      </c>
      <c r="R6" s="40">
        <v>4.1868000000000001E-3</v>
      </c>
      <c r="S6" s="39">
        <v>1</v>
      </c>
      <c r="T6" s="49">
        <v>9.9999999999999995E-8</v>
      </c>
      <c r="U6" s="40">
        <v>3.9683207199999999</v>
      </c>
      <c r="V6" s="40">
        <v>1.163E-3</v>
      </c>
      <c r="W6" s="50">
        <v>1.1629999999999999E-6</v>
      </c>
      <c r="X6" s="51">
        <v>1163</v>
      </c>
      <c r="Z6" s="23">
        <v>2018</v>
      </c>
      <c r="AA6" s="23"/>
      <c r="AB6" s="42">
        <v>0.94276939999999998</v>
      </c>
      <c r="AC6" s="23"/>
      <c r="AD6" s="23"/>
      <c r="AE6" s="31">
        <v>1.181011</v>
      </c>
      <c r="AF6" s="23"/>
      <c r="AG6" s="23"/>
      <c r="AJ6" s="43"/>
      <c r="AK6" s="44" t="s">
        <v>20</v>
      </c>
      <c r="AL6" s="52">
        <v>2.4710559990831999</v>
      </c>
      <c r="AM6" s="39">
        <v>1</v>
      </c>
      <c r="AN6" s="53">
        <v>1E-3</v>
      </c>
      <c r="AO6" s="47">
        <v>10000</v>
      </c>
      <c r="AP6" s="48"/>
      <c r="AQ6" s="8" t="s">
        <v>29</v>
      </c>
    </row>
    <row r="7" spans="1:86" ht="15.75" x14ac:dyDescent="0.25">
      <c r="P7" s="37"/>
      <c r="Q7" s="38" t="s">
        <v>13</v>
      </c>
      <c r="R7" s="51">
        <v>41868</v>
      </c>
      <c r="S7" s="51">
        <v>10000000</v>
      </c>
      <c r="T7" s="39">
        <v>1</v>
      </c>
      <c r="U7" s="54">
        <v>39683207.200000003</v>
      </c>
      <c r="V7" s="51">
        <v>11630</v>
      </c>
      <c r="W7" s="40">
        <v>11.63</v>
      </c>
      <c r="X7" s="51">
        <v>11630000000</v>
      </c>
      <c r="Z7" s="55">
        <v>2017</v>
      </c>
      <c r="AA7" s="56"/>
      <c r="AB7" s="57">
        <v>0.96579634464751951</v>
      </c>
      <c r="AC7" s="23"/>
      <c r="AD7" s="23"/>
      <c r="AE7" s="31">
        <v>1.1300509999999999</v>
      </c>
      <c r="AF7" s="55"/>
      <c r="AG7" s="55"/>
      <c r="AJ7" s="43"/>
      <c r="AK7" s="44" t="s">
        <v>21</v>
      </c>
      <c r="AL7" s="47">
        <v>2471.04392018</v>
      </c>
      <c r="AM7" s="58">
        <v>1000</v>
      </c>
      <c r="AN7" s="39">
        <v>1</v>
      </c>
      <c r="AO7" s="47">
        <v>10000015.437452331</v>
      </c>
      <c r="AP7" s="48"/>
      <c r="AQ7" s="8" t="s">
        <v>30</v>
      </c>
    </row>
    <row r="8" spans="1:86" x14ac:dyDescent="0.2">
      <c r="P8" s="37"/>
      <c r="Q8" s="38" t="s">
        <v>14</v>
      </c>
      <c r="R8" s="40">
        <v>1.0550558499999999E-3</v>
      </c>
      <c r="S8" s="40">
        <v>0.25199576099999998</v>
      </c>
      <c r="T8" s="49">
        <v>2.51995761E-8</v>
      </c>
      <c r="U8" s="39">
        <v>1</v>
      </c>
      <c r="V8" s="59">
        <v>2.9307106999999999E-4</v>
      </c>
      <c r="W8" s="50">
        <v>2.9307106999999998E-7</v>
      </c>
      <c r="X8" s="40">
        <v>293.07106999999996</v>
      </c>
      <c r="Z8" s="60">
        <v>2016</v>
      </c>
      <c r="AA8" s="60"/>
      <c r="AB8" s="61">
        <v>0.98688521856579481</v>
      </c>
      <c r="AC8" s="23"/>
      <c r="AD8" s="23"/>
      <c r="AE8" s="31">
        <v>1.10656</v>
      </c>
      <c r="AF8" s="55"/>
      <c r="AG8" s="55"/>
      <c r="AJ8" s="43"/>
      <c r="AK8" s="44" t="s">
        <v>22</v>
      </c>
      <c r="AL8" s="62">
        <v>2.4710500000000001E-4</v>
      </c>
      <c r="AM8" s="63">
        <v>9.9999845625715002E-5</v>
      </c>
      <c r="AN8" s="64">
        <v>9.9999845625715006E-8</v>
      </c>
      <c r="AO8" s="39">
        <v>1</v>
      </c>
      <c r="AP8" s="63">
        <v>10.7639</v>
      </c>
    </row>
    <row r="9" spans="1:86" ht="15.75" thickBot="1" x14ac:dyDescent="0.25">
      <c r="P9" s="37"/>
      <c r="Q9" s="38" t="s">
        <v>15</v>
      </c>
      <c r="R9" s="65">
        <v>3.6</v>
      </c>
      <c r="S9" s="40">
        <v>859.84522800000002</v>
      </c>
      <c r="T9" s="40">
        <v>8.5984522799999996E-5</v>
      </c>
      <c r="U9" s="40">
        <v>3412.1416300000001</v>
      </c>
      <c r="V9" s="39">
        <v>1</v>
      </c>
      <c r="W9" s="66">
        <v>1E-3</v>
      </c>
      <c r="X9" s="51">
        <v>1000000</v>
      </c>
      <c r="Z9" s="60">
        <v>2015</v>
      </c>
      <c r="AA9" s="60"/>
      <c r="AB9" s="67">
        <v>0.99880999999999998</v>
      </c>
      <c r="AC9" s="23"/>
      <c r="AD9" s="23"/>
      <c r="AE9" s="68">
        <v>1.109729</v>
      </c>
      <c r="AF9" s="55"/>
      <c r="AG9" s="55"/>
      <c r="AJ9" s="36"/>
      <c r="AK9" s="44" t="s">
        <v>23</v>
      </c>
      <c r="AL9" s="69"/>
      <c r="AM9" s="69"/>
      <c r="AN9" s="69"/>
      <c r="AO9" s="70">
        <f>1/AP8</f>
        <v>9.2903129906446558E-2</v>
      </c>
      <c r="AP9" s="71">
        <v>1</v>
      </c>
    </row>
    <row r="10" spans="1:86" ht="15.75" thickBot="1" x14ac:dyDescent="0.25">
      <c r="P10" s="37"/>
      <c r="Q10" s="72" t="s">
        <v>16</v>
      </c>
      <c r="R10" s="51">
        <v>3600</v>
      </c>
      <c r="S10" s="40">
        <v>859845.228</v>
      </c>
      <c r="T10" s="73">
        <v>8.5984522799999991E-2</v>
      </c>
      <c r="U10" s="40">
        <v>3412141.63</v>
      </c>
      <c r="V10" s="51">
        <v>1000</v>
      </c>
      <c r="W10" s="39">
        <v>1</v>
      </c>
      <c r="X10" s="51">
        <v>1000000000</v>
      </c>
      <c r="Z10" s="74">
        <v>2014</v>
      </c>
      <c r="AA10" s="75"/>
      <c r="AB10" s="76">
        <v>1</v>
      </c>
      <c r="AC10" s="77" t="s">
        <v>31</v>
      </c>
      <c r="AD10" s="23"/>
      <c r="AE10" s="68">
        <v>1.3291649999999999</v>
      </c>
      <c r="AF10" s="55"/>
      <c r="AG10" s="68">
        <v>1.6476999999999999</v>
      </c>
      <c r="AJ10" s="36"/>
      <c r="AK10" s="36"/>
      <c r="AL10" s="36"/>
      <c r="AM10" s="36"/>
      <c r="AN10" s="36"/>
      <c r="AO10" s="78"/>
    </row>
    <row r="11" spans="1:86" ht="15.75" x14ac:dyDescent="0.25">
      <c r="P11" s="37"/>
      <c r="Q11" s="38" t="s">
        <v>32</v>
      </c>
      <c r="R11" s="79">
        <v>3.5999999999999998E-6</v>
      </c>
      <c r="S11" s="73">
        <v>8.5984522799999999E-4</v>
      </c>
      <c r="T11" s="79">
        <v>8.5984522799999997E-11</v>
      </c>
      <c r="U11" s="73">
        <v>3.4121416300000001E-3</v>
      </c>
      <c r="V11" s="79">
        <v>9.9999999999999995E-7</v>
      </c>
      <c r="W11" s="79">
        <v>1.0000000000000001E-9</v>
      </c>
      <c r="X11" s="39">
        <v>1</v>
      </c>
      <c r="Z11" s="60">
        <v>2013</v>
      </c>
      <c r="AA11" s="60"/>
      <c r="AB11" s="80">
        <v>1.02</v>
      </c>
      <c r="AC11" s="23"/>
      <c r="AD11" s="23"/>
      <c r="AE11" s="68">
        <v>1.3284640000000001</v>
      </c>
      <c r="AF11" s="55"/>
      <c r="AG11" s="68">
        <v>1.5648</v>
      </c>
      <c r="AH11" s="28"/>
      <c r="AJ11" s="36"/>
      <c r="AK11" s="36"/>
      <c r="AL11" s="36"/>
      <c r="AM11" s="36"/>
      <c r="AN11" s="36"/>
      <c r="AO11" s="78"/>
    </row>
    <row r="12" spans="1:86" x14ac:dyDescent="0.2">
      <c r="P12" s="55"/>
      <c r="Q12" s="81"/>
      <c r="R12" s="55"/>
      <c r="S12" s="55"/>
      <c r="T12" s="55"/>
      <c r="U12" s="55"/>
      <c r="V12" s="55"/>
      <c r="W12" s="55"/>
      <c r="X12" s="55"/>
      <c r="Z12" s="60">
        <v>2012</v>
      </c>
      <c r="AA12" s="60"/>
      <c r="AB12" s="61">
        <v>1.03</v>
      </c>
      <c r="AC12" s="23"/>
      <c r="AD12" s="23"/>
      <c r="AE12" s="68">
        <v>1.2856970000000001</v>
      </c>
      <c r="AF12" s="55"/>
      <c r="AG12" s="68">
        <v>1.5849</v>
      </c>
      <c r="AH12" s="82"/>
      <c r="AJ12" s="36"/>
      <c r="AK12" s="36"/>
      <c r="AL12" s="36"/>
      <c r="AM12" s="36"/>
      <c r="AN12" s="36"/>
      <c r="AO12" s="78"/>
    </row>
    <row r="13" spans="1:86" ht="15.75" x14ac:dyDescent="0.25">
      <c r="P13" s="55"/>
      <c r="Q13" s="83" t="s">
        <v>33</v>
      </c>
      <c r="R13" s="55"/>
      <c r="S13" s="55"/>
      <c r="T13" s="55"/>
      <c r="U13" s="55"/>
      <c r="V13" s="55"/>
      <c r="W13" s="55"/>
      <c r="X13" s="55"/>
      <c r="Z13" s="60">
        <v>2011</v>
      </c>
      <c r="AA13" s="60"/>
      <c r="AB13" s="61">
        <v>1.05</v>
      </c>
      <c r="AC13" s="23"/>
      <c r="AD13" s="23"/>
      <c r="AE13" s="68">
        <v>1.3927050000000001</v>
      </c>
      <c r="AF13" s="55"/>
      <c r="AG13" s="55"/>
      <c r="AH13" s="28"/>
      <c r="AJ13" s="36"/>
      <c r="AK13" s="34"/>
      <c r="AL13" s="34"/>
      <c r="AM13" s="34"/>
      <c r="AN13" s="34"/>
      <c r="AO13" s="78"/>
    </row>
    <row r="14" spans="1:86" ht="15.75" x14ac:dyDescent="0.25">
      <c r="P14" s="55"/>
      <c r="Q14" s="81"/>
      <c r="R14" s="55"/>
      <c r="S14" s="55"/>
      <c r="T14" s="55"/>
      <c r="U14" s="55"/>
      <c r="V14" s="55"/>
      <c r="W14" s="55"/>
      <c r="X14" s="55"/>
      <c r="Z14" s="60">
        <v>2010</v>
      </c>
      <c r="AA14" s="60"/>
      <c r="AB14" s="61">
        <v>1.0900000000000001</v>
      </c>
      <c r="AC14" s="23"/>
      <c r="AD14" s="23"/>
      <c r="AE14" s="68">
        <v>1.327386</v>
      </c>
      <c r="AF14" s="55"/>
      <c r="AG14" s="55"/>
      <c r="AH14" s="28"/>
      <c r="AJ14" s="34"/>
      <c r="AK14" s="84"/>
      <c r="AL14" s="84"/>
      <c r="AM14" s="84"/>
      <c r="AN14" s="84"/>
      <c r="AO14" s="78"/>
    </row>
    <row r="15" spans="1:86" s="10" customFormat="1" ht="18" x14ac:dyDescent="0.25">
      <c r="A15" s="85" t="s">
        <v>34</v>
      </c>
      <c r="B15" s="85"/>
      <c r="C15" s="86"/>
      <c r="D15" s="86"/>
      <c r="E15" s="86"/>
      <c r="F15" s="86"/>
      <c r="G15" s="86"/>
      <c r="H15" s="86"/>
      <c r="I15" s="86"/>
      <c r="J15" s="86"/>
      <c r="K15" s="86"/>
      <c r="L15" s="86"/>
      <c r="M15" s="87"/>
      <c r="N15" s="87"/>
      <c r="O15" s="88"/>
      <c r="P15" s="89" t="s">
        <v>35</v>
      </c>
      <c r="Q15" s="89"/>
      <c r="R15" s="90" t="s">
        <v>2</v>
      </c>
      <c r="S15" s="90"/>
      <c r="T15" s="90"/>
      <c r="U15" s="90"/>
      <c r="V15" s="90"/>
      <c r="W15" s="90"/>
      <c r="X15" s="91"/>
      <c r="Y15" s="8"/>
      <c r="Z15" s="60">
        <v>2009</v>
      </c>
      <c r="AA15" s="60"/>
      <c r="AB15" s="61">
        <v>1.1000000000000001</v>
      </c>
      <c r="AC15" s="23"/>
      <c r="AD15" s="23"/>
      <c r="AE15" s="55"/>
      <c r="AF15" s="55"/>
      <c r="AG15" s="55"/>
      <c r="AH15" s="28"/>
      <c r="AI15" s="8"/>
      <c r="AJ15" s="17" t="s">
        <v>36</v>
      </c>
      <c r="AK15" s="17"/>
      <c r="AL15" s="18" t="s">
        <v>2</v>
      </c>
      <c r="AM15" s="18"/>
      <c r="AN15" s="18"/>
      <c r="AO15" s="7"/>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9"/>
      <c r="BY15" s="8"/>
      <c r="BZ15" s="8"/>
      <c r="CA15" s="8"/>
      <c r="CB15" s="8"/>
      <c r="CC15" s="8"/>
      <c r="CD15" s="8"/>
      <c r="CE15" s="8"/>
      <c r="CF15" s="8"/>
      <c r="CG15" s="8"/>
      <c r="CH15" s="8"/>
    </row>
    <row r="16" spans="1:86" ht="15.75" x14ac:dyDescent="0.25">
      <c r="A16" s="92" t="s">
        <v>37</v>
      </c>
      <c r="B16" s="92"/>
      <c r="C16" s="87"/>
      <c r="D16" s="87"/>
      <c r="E16" s="87"/>
      <c r="F16" s="87"/>
      <c r="G16" s="87"/>
      <c r="H16" s="87"/>
      <c r="I16" s="87"/>
      <c r="J16" s="87"/>
      <c r="K16" s="87"/>
      <c r="L16" s="87"/>
      <c r="M16" s="87"/>
      <c r="N16" s="87"/>
      <c r="O16" s="88"/>
      <c r="P16" s="93"/>
      <c r="Q16" s="93"/>
      <c r="R16" s="94" t="s">
        <v>38</v>
      </c>
      <c r="S16" s="94" t="s">
        <v>39</v>
      </c>
      <c r="T16" s="94" t="s">
        <v>40</v>
      </c>
      <c r="U16" s="94" t="s">
        <v>41</v>
      </c>
      <c r="V16" s="94" t="s">
        <v>42</v>
      </c>
      <c r="W16" s="38" t="s">
        <v>43</v>
      </c>
      <c r="X16" s="55"/>
      <c r="Z16" s="60">
        <v>2008</v>
      </c>
      <c r="AA16" s="60"/>
      <c r="AB16" s="61">
        <v>1.1000000000000001</v>
      </c>
      <c r="AC16" s="23"/>
      <c r="AD16" s="23"/>
      <c r="AE16" s="55"/>
      <c r="AF16" s="55"/>
      <c r="AG16" s="55"/>
      <c r="AH16" s="28"/>
      <c r="AJ16" s="24"/>
      <c r="AK16" s="24"/>
      <c r="AL16" s="25" t="s">
        <v>44</v>
      </c>
      <c r="AM16" s="25" t="s">
        <v>45</v>
      </c>
      <c r="AN16" s="25" t="s">
        <v>46</v>
      </c>
      <c r="AO16" s="78"/>
    </row>
    <row r="17" spans="1:76" s="28" customFormat="1" ht="14.25" customHeight="1" thickBot="1" x14ac:dyDescent="0.3">
      <c r="J17" s="82"/>
      <c r="K17" s="82"/>
      <c r="L17" s="95"/>
      <c r="M17" s="95"/>
      <c r="N17" s="95"/>
      <c r="O17" s="82"/>
      <c r="P17" s="55"/>
      <c r="Q17" s="27" t="s">
        <v>25</v>
      </c>
      <c r="R17" s="55"/>
      <c r="S17" s="29"/>
      <c r="T17" s="29"/>
      <c r="U17" s="29"/>
      <c r="V17" s="29"/>
      <c r="W17" s="29"/>
      <c r="X17" s="55"/>
      <c r="Z17" s="60">
        <v>2007</v>
      </c>
      <c r="AA17" s="60"/>
      <c r="AB17" s="61">
        <v>1.1399999999999999</v>
      </c>
      <c r="AC17" s="96"/>
      <c r="AD17" s="96"/>
      <c r="AE17" s="97"/>
      <c r="AF17" s="68">
        <v>0.93510000000000004</v>
      </c>
      <c r="AG17" s="97"/>
      <c r="AJ17" s="32"/>
      <c r="AK17" s="33" t="s">
        <v>25</v>
      </c>
      <c r="AL17" s="34"/>
      <c r="AM17" s="35"/>
      <c r="AN17" s="35"/>
      <c r="AO17" s="98"/>
      <c r="BX17" s="99"/>
    </row>
    <row r="18" spans="1:76" s="82" customFormat="1" ht="15.95" customHeight="1" thickBot="1" x14ac:dyDescent="0.3">
      <c r="C18" s="100" t="s">
        <v>47</v>
      </c>
      <c r="D18" s="101"/>
      <c r="E18" s="101"/>
      <c r="F18" s="101"/>
      <c r="G18" s="101"/>
      <c r="H18" s="101"/>
      <c r="I18" s="102"/>
      <c r="J18" s="103"/>
      <c r="K18" s="103"/>
      <c r="L18" s="104"/>
      <c r="M18" s="105"/>
      <c r="N18" s="105"/>
      <c r="P18" s="106" t="s">
        <v>27</v>
      </c>
      <c r="Q18" s="38" t="s">
        <v>48</v>
      </c>
      <c r="R18" s="107">
        <v>1</v>
      </c>
      <c r="S18" s="108">
        <v>0.83267418500000001</v>
      </c>
      <c r="T18" s="108">
        <v>2.3809523799999999E-2</v>
      </c>
      <c r="U18" s="108">
        <v>0.13368055600000001</v>
      </c>
      <c r="V18" s="108">
        <v>3.78541178</v>
      </c>
      <c r="W18" s="108">
        <v>3.7854117800000002E-3</v>
      </c>
      <c r="X18" s="55"/>
      <c r="Y18" s="28"/>
      <c r="Z18" s="60">
        <v>2006</v>
      </c>
      <c r="AA18" s="60"/>
      <c r="AB18" s="61">
        <v>1.17</v>
      </c>
      <c r="AC18" s="109"/>
      <c r="AD18" s="109"/>
      <c r="AH18" s="28"/>
      <c r="AJ18" s="43" t="s">
        <v>27</v>
      </c>
      <c r="AK18" s="25" t="s">
        <v>44</v>
      </c>
      <c r="AL18" s="39">
        <v>1</v>
      </c>
      <c r="AM18" s="52">
        <v>0.01</v>
      </c>
      <c r="AN18" s="64">
        <v>1E-8</v>
      </c>
      <c r="AO18" s="110"/>
      <c r="BX18" s="111"/>
    </row>
    <row r="19" spans="1:76" s="28" customFormat="1" ht="15" customHeight="1" x14ac:dyDescent="0.25">
      <c r="A19" s="28">
        <v>1</v>
      </c>
      <c r="C19" s="112" t="e">
        <f ca="1">HYPERLINK("#"&amp;"'"&amp;A$1&amp;"'!"&amp;CELL("address",C46),C46)</f>
        <v>#VALUE!</v>
      </c>
      <c r="D19" s="113"/>
      <c r="E19" s="113"/>
      <c r="F19" s="113"/>
      <c r="G19" s="114"/>
      <c r="H19" s="115">
        <v>20</v>
      </c>
      <c r="I19" s="112" t="e">
        <f ca="1">HYPERLINK("#"&amp;"'"&amp;A$1&amp;"'!VariableSolutionIndirectCO2",VariableSolutionIndirectCO2)</f>
        <v>#VALUE!</v>
      </c>
      <c r="J19" s="114"/>
      <c r="K19" s="116"/>
      <c r="L19" s="117"/>
      <c r="M19" s="105"/>
      <c r="N19" s="105"/>
      <c r="P19" s="106"/>
      <c r="Q19" s="38" t="s">
        <v>49</v>
      </c>
      <c r="R19" s="108">
        <v>1.2009499299999999</v>
      </c>
      <c r="S19" s="107">
        <v>1</v>
      </c>
      <c r="T19" s="108">
        <v>2.8594045799999999E-2</v>
      </c>
      <c r="U19" s="108">
        <v>0.16054365300000001</v>
      </c>
      <c r="V19" s="108">
        <v>4.5460900000000004</v>
      </c>
      <c r="W19" s="108">
        <v>4.54609E-3</v>
      </c>
      <c r="X19" s="55"/>
      <c r="Z19" s="60">
        <v>2005</v>
      </c>
      <c r="AA19" s="60"/>
      <c r="AB19" s="61">
        <v>1.21</v>
      </c>
      <c r="AC19" s="118"/>
      <c r="AD19" s="96"/>
      <c r="AJ19" s="43"/>
      <c r="AK19" s="25" t="s">
        <v>45</v>
      </c>
      <c r="AL19" s="47">
        <v>100</v>
      </c>
      <c r="AM19" s="39">
        <v>1</v>
      </c>
      <c r="AN19" s="64">
        <v>9.9999999999999995E-7</v>
      </c>
      <c r="AO19" s="98"/>
      <c r="BX19" s="99"/>
    </row>
    <row r="20" spans="1:76" s="28" customFormat="1" ht="15.75" x14ac:dyDescent="0.25">
      <c r="A20" s="28">
        <v>2</v>
      </c>
      <c r="C20" s="119" t="e">
        <f ca="1">HYPERLINK("#"&amp;"'"&amp;A$1&amp;"'!VariableConventionalFirstCost",VariableConventionalFirstCost)</f>
        <v>#VALUE!</v>
      </c>
      <c r="D20" s="120"/>
      <c r="E20" s="120"/>
      <c r="F20" s="120"/>
      <c r="H20" s="121">
        <v>21</v>
      </c>
      <c r="I20" s="119" t="e">
        <f ca="1">HYPERLINK("#"&amp;"'"&amp;A$1&amp;"'!VariableCH4Reduced",VariableCH4Reduced)</f>
        <v>#VALUE!</v>
      </c>
      <c r="K20" s="122"/>
      <c r="L20" s="123"/>
      <c r="M20" s="105"/>
      <c r="N20" s="105"/>
      <c r="P20" s="106"/>
      <c r="Q20" s="38" t="s">
        <v>50</v>
      </c>
      <c r="R20" s="124">
        <v>42</v>
      </c>
      <c r="S20" s="108">
        <v>34.972315799999997</v>
      </c>
      <c r="T20" s="107">
        <v>1</v>
      </c>
      <c r="U20" s="108">
        <v>5.6145833300000003</v>
      </c>
      <c r="V20" s="108">
        <v>158.98729499999999</v>
      </c>
      <c r="W20" s="108">
        <v>0.158987295</v>
      </c>
      <c r="X20" s="55"/>
      <c r="Z20" s="60">
        <v>2004</v>
      </c>
      <c r="AA20" s="60"/>
      <c r="AB20" s="61">
        <v>1.25</v>
      </c>
      <c r="AC20" s="96"/>
      <c r="AD20" s="96"/>
      <c r="AE20" s="96"/>
      <c r="AF20" s="96"/>
      <c r="AG20" s="96"/>
      <c r="AJ20" s="43"/>
      <c r="AK20" s="25" t="s">
        <v>46</v>
      </c>
      <c r="AL20" s="47">
        <v>100000000</v>
      </c>
      <c r="AM20" s="47">
        <v>1000000</v>
      </c>
      <c r="AN20" s="39">
        <v>1</v>
      </c>
      <c r="AO20" s="98"/>
      <c r="BX20" s="99"/>
    </row>
    <row r="21" spans="1:76" s="28" customFormat="1" ht="15.75" x14ac:dyDescent="0.25">
      <c r="A21" s="28">
        <v>3</v>
      </c>
      <c r="C21" s="119" t="e">
        <f ca="1">HYPERLINK("#"&amp;"'"&amp;A$1&amp;"'!VariableSolutionFirstCost",VariableSolutionFirstCost)</f>
        <v>#VALUE!</v>
      </c>
      <c r="D21" s="120"/>
      <c r="E21" s="120"/>
      <c r="F21" s="120"/>
      <c r="H21" s="121">
        <v>22</v>
      </c>
      <c r="I21" s="119" t="e">
        <f ca="1">HYPERLINK("#"&amp;"'"&amp;A$1&amp;"'!Variable20",Variable20)</f>
        <v>#VALUE!</v>
      </c>
      <c r="K21" s="122"/>
      <c r="L21" s="125"/>
      <c r="M21" s="105"/>
      <c r="N21" s="105"/>
      <c r="P21" s="106"/>
      <c r="Q21" s="38" t="s">
        <v>41</v>
      </c>
      <c r="R21" s="108">
        <v>7.4805194799999999</v>
      </c>
      <c r="S21" s="108">
        <v>6.22883546</v>
      </c>
      <c r="T21" s="108">
        <v>0.178107607</v>
      </c>
      <c r="U21" s="107">
        <v>1</v>
      </c>
      <c r="V21" s="108">
        <v>28.316846600000002</v>
      </c>
      <c r="W21" s="108">
        <v>2.8316846600000001E-2</v>
      </c>
      <c r="X21" s="55"/>
      <c r="Y21" s="55"/>
      <c r="Z21" s="60">
        <v>2003</v>
      </c>
      <c r="AA21" s="60"/>
      <c r="AB21" s="61">
        <v>1.29</v>
      </c>
      <c r="AC21" s="96"/>
      <c r="AD21" s="96"/>
      <c r="AE21" s="96"/>
      <c r="AF21" s="96"/>
      <c r="AG21" s="96"/>
      <c r="AH21" s="55"/>
      <c r="AJ21" s="43"/>
      <c r="AK21" s="36"/>
      <c r="AL21" s="36"/>
      <c r="AM21" s="36"/>
      <c r="AN21" s="36"/>
      <c r="AO21" s="98"/>
      <c r="BX21" s="99"/>
    </row>
    <row r="22" spans="1:76" s="28" customFormat="1" ht="15.75" x14ac:dyDescent="0.25">
      <c r="A22" s="28">
        <v>4</v>
      </c>
      <c r="C22" s="119" t="e">
        <f ca="1">HYPERLINK("#"&amp;"'"&amp;A$1&amp;"'!VariableConventionalLifetime",VariableConventionalLifetime)</f>
        <v>#VALUE!</v>
      </c>
      <c r="D22" s="120"/>
      <c r="E22" s="120"/>
      <c r="F22" s="120"/>
      <c r="H22" s="121">
        <v>23</v>
      </c>
      <c r="I22" s="119" t="e">
        <f ca="1">HYPERLINK("#"&amp;"'"&amp;A$1&amp;"'!Variable21",Variable21)</f>
        <v>#VALUE!</v>
      </c>
      <c r="K22" s="122"/>
      <c r="L22" s="125"/>
      <c r="M22" s="105"/>
      <c r="N22" s="105"/>
      <c r="P22" s="106"/>
      <c r="Q22" s="38" t="s">
        <v>51</v>
      </c>
      <c r="R22" s="108">
        <v>0.26417205199999999</v>
      </c>
      <c r="S22" s="108">
        <v>0.21996924800000001</v>
      </c>
      <c r="T22" s="108">
        <v>6.2898107700000002E-3</v>
      </c>
      <c r="U22" s="108">
        <v>3.5314666699999997E-2</v>
      </c>
      <c r="V22" s="107">
        <v>1</v>
      </c>
      <c r="W22" s="108">
        <v>1E-3</v>
      </c>
      <c r="X22" s="126"/>
      <c r="Y22" s="55"/>
      <c r="Z22" s="60">
        <v>2002</v>
      </c>
      <c r="AA22" s="60"/>
      <c r="AB22" s="61">
        <v>1.32</v>
      </c>
      <c r="AC22" s="96"/>
      <c r="AD22" s="96"/>
      <c r="AE22" s="96"/>
      <c r="AF22" s="96"/>
      <c r="AG22" s="118"/>
      <c r="AH22" s="55"/>
      <c r="AJ22" s="34"/>
      <c r="AK22" s="34"/>
      <c r="AL22" s="34"/>
      <c r="AM22" s="34"/>
      <c r="AN22" s="34"/>
      <c r="AO22" s="98"/>
      <c r="BX22" s="99"/>
    </row>
    <row r="23" spans="1:76" s="28" customFormat="1" ht="15.75" x14ac:dyDescent="0.25">
      <c r="A23" s="28">
        <v>5</v>
      </c>
      <c r="C23" s="119" t="e">
        <f ca="1">HYPERLINK("#"&amp;"'"&amp;A$1&amp;"'!VariableSolutionLifetime",VariableSolutionLifetime)</f>
        <v>#VALUE!</v>
      </c>
      <c r="D23" s="120"/>
      <c r="E23" s="120"/>
      <c r="F23" s="120"/>
      <c r="H23" s="121">
        <v>24</v>
      </c>
      <c r="I23" s="119" t="e">
        <f ca="1">HYPERLINK("#"&amp;"'"&amp;A$1&amp;"'!Variable22",Variable22)</f>
        <v>#VALUE!</v>
      </c>
      <c r="K23" s="122"/>
      <c r="L23" s="125"/>
      <c r="M23" s="105"/>
      <c r="N23" s="105"/>
      <c r="P23" s="106"/>
      <c r="Q23" s="38" t="s">
        <v>43</v>
      </c>
      <c r="R23" s="127">
        <v>264.17205200000001</v>
      </c>
      <c r="S23" s="127">
        <v>219.96924799999999</v>
      </c>
      <c r="T23" s="127">
        <v>6.2898107699999999</v>
      </c>
      <c r="U23" s="127">
        <v>35.314666699999997</v>
      </c>
      <c r="V23" s="124">
        <v>1000</v>
      </c>
      <c r="W23" s="128">
        <v>1</v>
      </c>
      <c r="Y23" s="55"/>
      <c r="Z23" s="60">
        <v>2001</v>
      </c>
      <c r="AA23" s="60"/>
      <c r="AB23" s="61">
        <v>1.34</v>
      </c>
      <c r="AC23" s="96"/>
      <c r="AD23" s="96"/>
      <c r="AE23" s="96"/>
      <c r="AF23" s="96"/>
      <c r="AG23" s="118"/>
      <c r="AH23" s="55"/>
      <c r="AJ23" s="34"/>
      <c r="AK23" s="34"/>
      <c r="AL23" s="34"/>
      <c r="AM23" s="34"/>
      <c r="AN23" s="129"/>
      <c r="AO23" s="98"/>
      <c r="BX23" s="99"/>
    </row>
    <row r="24" spans="1:76" s="28" customFormat="1" ht="15.75" x14ac:dyDescent="0.25">
      <c r="A24" s="28">
        <v>6</v>
      </c>
      <c r="C24" s="119" t="e">
        <f ca="1">HYPERLINK("#"&amp;"'"&amp;A$1&amp;"'!VariableConventionalAnnualCapacity",VariableConventionalAnnualCapacity)</f>
        <v>#VALUE!</v>
      </c>
      <c r="D24" s="120"/>
      <c r="E24" s="120"/>
      <c r="F24" s="120"/>
      <c r="H24" s="121">
        <v>25</v>
      </c>
      <c r="I24" s="119" t="e">
        <f ca="1">HYPERLINK("#"&amp;"'"&amp;A$1&amp;"'!Variable23",Variable23)</f>
        <v>#VALUE!</v>
      </c>
      <c r="K24" s="122"/>
      <c r="L24" s="125"/>
      <c r="M24" s="105"/>
      <c r="N24" s="105"/>
      <c r="Q24" s="83" t="s">
        <v>33</v>
      </c>
      <c r="Y24" s="55"/>
      <c r="Z24" s="60">
        <v>2000</v>
      </c>
      <c r="AA24" s="60"/>
      <c r="AB24" s="61">
        <v>1.37</v>
      </c>
      <c r="AC24" s="96"/>
      <c r="AD24" s="96"/>
      <c r="AE24" s="96"/>
      <c r="AF24" s="96"/>
      <c r="AG24" s="96"/>
      <c r="AH24" s="55"/>
      <c r="AI24" s="122"/>
      <c r="AO24" s="98"/>
      <c r="BX24" s="99"/>
    </row>
    <row r="25" spans="1:76" s="28" customFormat="1" ht="12.95" customHeight="1" x14ac:dyDescent="0.25">
      <c r="A25" s="28">
        <v>7</v>
      </c>
      <c r="C25" s="119" t="e">
        <f ca="1">HYPERLINK("#"&amp;"'"&amp;A$1&amp;"'!VariableSolutionAnnualCapacity",VariableSolutionAnnualCapacity)</f>
        <v>#VALUE!</v>
      </c>
      <c r="D25" s="120"/>
      <c r="E25" s="120"/>
      <c r="F25" s="120"/>
      <c r="H25" s="121">
        <v>26</v>
      </c>
      <c r="I25" s="119" t="e">
        <f ca="1">HYPERLINK("#"&amp;"'"&amp;A$1&amp;"'!Variable24",Variable24)</f>
        <v>#VALUE!</v>
      </c>
      <c r="K25" s="122"/>
      <c r="L25" s="125"/>
      <c r="M25" s="105"/>
      <c r="N25" s="105"/>
      <c r="Q25" s="130"/>
      <c r="Y25" s="55"/>
      <c r="Z25" s="131" t="s">
        <v>52</v>
      </c>
      <c r="AA25" s="96"/>
      <c r="AB25" s="96"/>
      <c r="AC25" s="96"/>
      <c r="AD25" s="96"/>
      <c r="AE25" s="96"/>
      <c r="AF25" s="96"/>
      <c r="AG25" s="96"/>
      <c r="AH25" s="55"/>
      <c r="AO25" s="98"/>
      <c r="BX25" s="99"/>
    </row>
    <row r="26" spans="1:76" s="28" customFormat="1" ht="12.95" customHeight="1" x14ac:dyDescent="0.25">
      <c r="A26" s="28">
        <v>8</v>
      </c>
      <c r="C26" s="119" t="e">
        <f ca="1">HYPERLINK("#"&amp;"'"&amp;A$1&amp;"'!VariableConventionalOperatingCost",VariableConventionalOperatingCost)</f>
        <v>#VALUE!</v>
      </c>
      <c r="D26" s="120"/>
      <c r="E26" s="120"/>
      <c r="F26" s="120"/>
      <c r="H26" s="121">
        <v>27</v>
      </c>
      <c r="I26" s="119" t="e">
        <f ca="1">HYPERLINK("#"&amp;"'"&amp;A$1&amp;"'!Variable25",Variable25)</f>
        <v>#VALUE!</v>
      </c>
      <c r="K26" s="122"/>
      <c r="L26" s="125"/>
      <c r="M26" s="105"/>
      <c r="N26" s="105"/>
      <c r="Q26" s="130"/>
      <c r="Y26" s="55"/>
      <c r="Z26" s="8"/>
      <c r="AA26" s="132"/>
      <c r="AB26" s="133"/>
      <c r="AD26" s="55"/>
      <c r="AE26" s="55"/>
      <c r="AF26" s="55"/>
      <c r="AG26" s="55"/>
      <c r="AH26" s="55"/>
      <c r="AO26" s="98"/>
      <c r="BX26" s="99"/>
    </row>
    <row r="27" spans="1:76" s="28" customFormat="1" ht="15.75" x14ac:dyDescent="0.25">
      <c r="A27" s="28">
        <v>9</v>
      </c>
      <c r="C27" s="119" t="e">
        <f ca="1">HYPERLINK("#"&amp;"'"&amp;A$1&amp;"'!VariableSolutionOperatingCost",VariableSolutionOperatingCost)</f>
        <v>#VALUE!</v>
      </c>
      <c r="D27" s="120"/>
      <c r="E27" s="120"/>
      <c r="F27" s="120"/>
      <c r="H27" s="121">
        <v>28</v>
      </c>
      <c r="I27" s="119" t="e">
        <f ca="1">HYPERLINK("#"&amp;"'"&amp;A$1&amp;"'!Variable26",Variable26)</f>
        <v>#VALUE!</v>
      </c>
      <c r="L27" s="123"/>
      <c r="M27" s="122"/>
      <c r="N27" s="122"/>
      <c r="P27" s="134" t="s">
        <v>53</v>
      </c>
      <c r="Q27" s="134"/>
      <c r="R27" s="135" t="s">
        <v>2</v>
      </c>
      <c r="S27" s="135"/>
      <c r="T27" s="135"/>
      <c r="U27" s="136"/>
      <c r="V27" s="136"/>
      <c r="W27" s="99"/>
      <c r="X27" s="99"/>
      <c r="Y27" s="55"/>
      <c r="Z27" s="16" t="s">
        <v>54</v>
      </c>
      <c r="AA27" s="137"/>
      <c r="AB27" s="138" t="s">
        <v>55</v>
      </c>
      <c r="AC27" s="139"/>
      <c r="AD27" s="91"/>
      <c r="AE27" s="91"/>
      <c r="AF27" s="91"/>
      <c r="AG27" s="91"/>
      <c r="AH27" s="91"/>
      <c r="AJ27" s="17" t="s">
        <v>56</v>
      </c>
      <c r="AK27" s="17"/>
      <c r="AL27" s="17"/>
      <c r="AM27" s="17"/>
      <c r="AN27" s="17"/>
      <c r="AO27" s="98"/>
      <c r="BX27" s="99"/>
    </row>
    <row r="28" spans="1:76" s="55" customFormat="1" ht="15.75" x14ac:dyDescent="0.25">
      <c r="A28" s="28">
        <v>10</v>
      </c>
      <c r="C28" s="119" t="e">
        <f ca="1">HYPERLINK("#"&amp;"'"&amp;A$1&amp;"'!VariableConventionalDisposal",VariableConventionalDisposal)</f>
        <v>#VALUE!</v>
      </c>
      <c r="H28" s="121">
        <v>29</v>
      </c>
      <c r="I28" s="119" t="e">
        <f ca="1">HYPERLINK("#"&amp;"'"&amp;A$1&amp;"'!Variable27",Variable27)</f>
        <v>#VALUE!</v>
      </c>
      <c r="L28" s="140"/>
      <c r="P28" s="29"/>
      <c r="Q28" s="141"/>
      <c r="R28" s="21" t="s">
        <v>57</v>
      </c>
      <c r="S28" s="21" t="s">
        <v>58</v>
      </c>
      <c r="T28" s="21" t="s">
        <v>59</v>
      </c>
      <c r="U28" s="21" t="s">
        <v>60</v>
      </c>
      <c r="W28" s="29"/>
      <c r="X28" s="29"/>
      <c r="Z28" s="11" t="s">
        <v>61</v>
      </c>
      <c r="AA28" s="8"/>
      <c r="AB28" s="8"/>
      <c r="AC28" s="8"/>
      <c r="AJ28" s="142"/>
      <c r="AK28" s="143"/>
      <c r="AL28" s="34"/>
      <c r="AM28" s="34"/>
      <c r="AN28" s="142"/>
      <c r="AO28" s="144"/>
      <c r="BX28" s="91"/>
    </row>
    <row r="29" spans="1:76" s="55" customFormat="1" ht="18" customHeight="1" x14ac:dyDescent="0.25">
      <c r="A29" s="28">
        <v>11</v>
      </c>
      <c r="C29" s="119" t="e">
        <f ca="1">HYPERLINK("#"&amp;"'"&amp;A$1&amp;"'!VariableSolutionDisposal",VariableSolutionDisposal)</f>
        <v>#VALUE!</v>
      </c>
      <c r="H29" s="121">
        <v>30</v>
      </c>
      <c r="I29" s="119" t="e">
        <f ca="1">HYPERLINK("#"&amp;"'"&amp;A$1&amp;"'!Variable28",Variable28)</f>
        <v>#VALUE!</v>
      </c>
      <c r="L29" s="140"/>
      <c r="P29" s="29"/>
      <c r="Q29" s="145" t="s">
        <v>25</v>
      </c>
      <c r="R29" s="29"/>
      <c r="S29" s="29"/>
      <c r="T29" s="29"/>
      <c r="W29" s="29"/>
      <c r="X29" s="29"/>
      <c r="AJ29" s="146" t="s">
        <v>62</v>
      </c>
      <c r="AK29" s="147" t="s">
        <v>63</v>
      </c>
      <c r="AN29" s="142"/>
      <c r="AO29" s="144"/>
      <c r="BX29" s="91"/>
    </row>
    <row r="30" spans="1:76" s="55" customFormat="1" ht="15.75" x14ac:dyDescent="0.25">
      <c r="A30" s="28">
        <v>12</v>
      </c>
      <c r="C30" s="119" t="e">
        <f ca="1">HYPERLINK("#"&amp;"'"&amp;A$1&amp;"'!VariableAnnualEnergyConv",VariableAnnualEnergyConv)</f>
        <v>#VALUE!</v>
      </c>
      <c r="H30" s="121">
        <v>31</v>
      </c>
      <c r="I30" s="119" t="e">
        <f ca="1">HYPERLINK("#"&amp;"'"&amp;A$1&amp;"'!"&amp;CELL("address",C1762),C1762)</f>
        <v>#VALUE!</v>
      </c>
      <c r="L30" s="140"/>
      <c r="P30" s="37" t="s">
        <v>27</v>
      </c>
      <c r="Q30" s="148" t="s">
        <v>64</v>
      </c>
      <c r="R30" s="107">
        <v>1</v>
      </c>
      <c r="S30" s="149">
        <v>1E-3</v>
      </c>
      <c r="T30" s="149">
        <v>9.9999999999999995E-7</v>
      </c>
      <c r="U30" s="150"/>
      <c r="W30" s="29"/>
      <c r="X30" s="29"/>
      <c r="AJ30" s="151" t="s">
        <v>65</v>
      </c>
      <c r="AK30" s="147" t="s">
        <v>66</v>
      </c>
      <c r="AN30" s="142"/>
      <c r="AO30" s="144"/>
      <c r="BX30" s="91"/>
    </row>
    <row r="31" spans="1:76" s="55" customFormat="1" ht="18" customHeight="1" x14ac:dyDescent="0.25">
      <c r="A31" s="28">
        <v>13</v>
      </c>
      <c r="C31" s="119" t="e">
        <f ca="1">HYPERLINK("#"&amp;"'"&amp;A$1&amp;"'!VariableAnnualEnergyReduced",VariableAnnualEnergyReduced)</f>
        <v>#VALUE!</v>
      </c>
      <c r="H31" s="121">
        <v>32</v>
      </c>
      <c r="I31" s="119" t="e">
        <f ca="1">HYPERLINK("#"&amp;"'"&amp;A$1&amp;"'!"&amp;CELL("address",C1797),C1797)</f>
        <v>#VALUE!</v>
      </c>
      <c r="L31" s="140"/>
      <c r="P31" s="37"/>
      <c r="Q31" s="152" t="s">
        <v>67</v>
      </c>
      <c r="R31" s="153">
        <v>1000</v>
      </c>
      <c r="S31" s="107">
        <v>1</v>
      </c>
      <c r="T31" s="150">
        <v>1E-3</v>
      </c>
      <c r="U31" s="150"/>
      <c r="W31" s="29"/>
      <c r="X31" s="29"/>
      <c r="AJ31" s="151" t="s">
        <v>68</v>
      </c>
      <c r="AK31" s="147" t="s">
        <v>69</v>
      </c>
      <c r="AN31" s="142"/>
      <c r="AO31" s="91"/>
      <c r="BX31" s="91"/>
    </row>
    <row r="32" spans="1:76" s="55" customFormat="1" ht="15.75" x14ac:dyDescent="0.25">
      <c r="A32" s="28">
        <v>14</v>
      </c>
      <c r="C32" s="119" t="e">
        <f ca="1">HYPERLINK("#"&amp;"'"&amp;A$1&amp;"'!Variable30",Variable30)</f>
        <v>#VALUE!</v>
      </c>
      <c r="H32" s="121">
        <v>33</v>
      </c>
      <c r="I32" s="119" t="e">
        <f ca="1">HYPERLINK("#"&amp;"'"&amp;A$1&amp;"'!"&amp;CELL("address",C1833),C1833)</f>
        <v>#VALUE!</v>
      </c>
      <c r="L32" s="140"/>
      <c r="P32" s="37"/>
      <c r="Q32" s="152" t="s">
        <v>70</v>
      </c>
      <c r="R32" s="153">
        <v>1000000</v>
      </c>
      <c r="S32" s="153">
        <v>1000</v>
      </c>
      <c r="T32" s="107">
        <v>1</v>
      </c>
      <c r="U32" s="150">
        <f>2204.62082351524</f>
        <v>2204.6208235152399</v>
      </c>
      <c r="W32" s="29"/>
      <c r="X32" s="29"/>
      <c r="AJ32" s="151" t="s">
        <v>68</v>
      </c>
      <c r="AK32" s="147" t="s">
        <v>71</v>
      </c>
      <c r="AN32" s="142"/>
      <c r="AO32" s="91"/>
      <c r="BX32" s="91"/>
    </row>
    <row r="33" spans="1:76" s="55" customFormat="1" ht="15.75" x14ac:dyDescent="0.25">
      <c r="A33" s="28">
        <v>15</v>
      </c>
      <c r="C33" s="119" t="e">
        <f ca="1">HYPERLINK("#"&amp;"'"&amp;A$1&amp;"'!VariableFuelConsumed",VariableFuelConsumed)</f>
        <v>#VALUE!</v>
      </c>
      <c r="H33" s="121">
        <v>34</v>
      </c>
      <c r="I33" s="119" t="e">
        <f ca="1">HYPERLINK("#"&amp;"'"&amp;A$1&amp;"'!"&amp;CELL("address",C1869),C1869)</f>
        <v>#VALUE!</v>
      </c>
      <c r="L33" s="140"/>
      <c r="P33" s="29"/>
      <c r="Q33" s="152" t="s">
        <v>60</v>
      </c>
      <c r="R33" s="149"/>
      <c r="S33" s="149"/>
      <c r="T33" s="149">
        <f>1/U32</f>
        <v>4.5359274000030203E-4</v>
      </c>
      <c r="U33" s="107">
        <v>1</v>
      </c>
      <c r="V33" s="29"/>
      <c r="W33" s="29"/>
      <c r="X33" s="29"/>
      <c r="AN33" s="142"/>
      <c r="AO33" s="91"/>
      <c r="BX33" s="91"/>
    </row>
    <row r="34" spans="1:76" s="55" customFormat="1" ht="15.75" x14ac:dyDescent="0.25">
      <c r="A34" s="28">
        <v>16</v>
      </c>
      <c r="C34" s="119" t="e">
        <f ca="1">HYPERLINK("#"&amp;"'"&amp;A$1&amp;"'!Variable19",Variable19)</f>
        <v>#VALUE!</v>
      </c>
      <c r="H34" s="121">
        <v>35</v>
      </c>
      <c r="I34" s="119" t="e">
        <f ca="1">HYPERLINK("#"&amp;"'"&amp;A$1&amp;"'!"&amp;CELL("address",C1903),C1903)</f>
        <v>#VALUE!</v>
      </c>
      <c r="L34" s="140"/>
      <c r="P34" s="134" t="s">
        <v>72</v>
      </c>
      <c r="Q34" s="134"/>
      <c r="R34" s="135" t="s">
        <v>2</v>
      </c>
      <c r="S34" s="135"/>
      <c r="T34" s="154"/>
      <c r="U34" s="91"/>
      <c r="V34" s="91"/>
      <c r="W34" s="91"/>
      <c r="X34" s="91"/>
      <c r="Z34" s="155" t="s">
        <v>73</v>
      </c>
      <c r="AA34" s="91"/>
      <c r="AB34" s="91"/>
      <c r="AC34" s="91"/>
      <c r="AD34" s="91"/>
      <c r="AE34" s="91"/>
      <c r="AF34" s="91"/>
      <c r="AG34" s="91"/>
      <c r="AH34" s="91"/>
      <c r="AJ34" s="17" t="s">
        <v>74</v>
      </c>
      <c r="AK34" s="17"/>
      <c r="AL34" s="17"/>
      <c r="AM34" s="17"/>
      <c r="AN34" s="17"/>
      <c r="AO34" s="91"/>
      <c r="BX34" s="91"/>
    </row>
    <row r="35" spans="1:76" s="55" customFormat="1" ht="15.75" x14ac:dyDescent="0.25">
      <c r="A35" s="28">
        <v>17</v>
      </c>
      <c r="C35" s="119" t="e">
        <f ca="1">HYPERLINK("#"&amp;"'"&amp;A$1&amp;"'!VariableConventionalDirectEmissions",VariableConventionalDirectEmissions)</f>
        <v>#VALUE!</v>
      </c>
      <c r="H35" s="121">
        <v>36</v>
      </c>
      <c r="I35" s="119" t="e">
        <f ca="1">HYPERLINK("#"&amp;"'"&amp;A$1&amp;"'!"&amp;CELL("address",C1937),C1937)</f>
        <v>#VALUE!</v>
      </c>
      <c r="L35" s="140"/>
      <c r="P35" s="29"/>
      <c r="Q35" s="141"/>
      <c r="R35" s="21" t="s">
        <v>75</v>
      </c>
      <c r="S35" s="21" t="s">
        <v>76</v>
      </c>
      <c r="T35" s="21"/>
      <c r="Z35" s="156" t="s">
        <v>77</v>
      </c>
      <c r="AA35" s="157">
        <v>3</v>
      </c>
      <c r="AB35" s="55" t="s">
        <v>78</v>
      </c>
      <c r="AJ35" s="142"/>
      <c r="AK35" s="143" t="s">
        <v>79</v>
      </c>
      <c r="AL35" s="143" t="s">
        <v>79</v>
      </c>
      <c r="AM35" s="34"/>
      <c r="AN35" s="142"/>
      <c r="AO35" s="91"/>
      <c r="BX35" s="91"/>
    </row>
    <row r="36" spans="1:76" s="55" customFormat="1" ht="15.75" x14ac:dyDescent="0.25">
      <c r="A36" s="28">
        <v>18</v>
      </c>
      <c r="C36" s="119" t="e">
        <f ca="1">HYPERLINK("#"&amp;"'"&amp;A$1&amp;"'!VariableSolutionDirectEmissions",VariableSolutionDirectEmissions)</f>
        <v>#VALUE!</v>
      </c>
      <c r="H36" s="121"/>
      <c r="I36" s="158"/>
      <c r="L36" s="140"/>
      <c r="P36" s="29"/>
      <c r="Q36" s="145" t="s">
        <v>25</v>
      </c>
      <c r="R36" s="29"/>
      <c r="S36" s="29"/>
      <c r="T36" s="29"/>
      <c r="AK36" s="55" t="s">
        <v>80</v>
      </c>
      <c r="AL36" s="55" t="s">
        <v>81</v>
      </c>
      <c r="AN36" s="142"/>
      <c r="AO36" s="91"/>
      <c r="BX36" s="91"/>
    </row>
    <row r="37" spans="1:76" s="55" customFormat="1" ht="16.5" thickBot="1" x14ac:dyDescent="0.3">
      <c r="A37" s="28">
        <v>19</v>
      </c>
      <c r="C37" s="159" t="e">
        <f ca="1">HYPERLINK("#"&amp;"'"&amp;A$1&amp;"'!VariableConventionalIndirectCO2",VariableConventionalIndirectCO2)</f>
        <v>#VALUE!</v>
      </c>
      <c r="D37" s="160"/>
      <c r="E37" s="160"/>
      <c r="F37" s="160"/>
      <c r="G37" s="160"/>
      <c r="H37" s="160"/>
      <c r="I37" s="159" t="e">
        <f ca="1">HYPERLINK("#"&amp;"'"&amp;A$1&amp;"'!EstimateLearningRate",A1973)</f>
        <v>#VALUE!</v>
      </c>
      <c r="J37" s="161"/>
      <c r="K37" s="160"/>
      <c r="L37" s="162"/>
      <c r="P37" s="37" t="s">
        <v>27</v>
      </c>
      <c r="Q37" s="148" t="s">
        <v>82</v>
      </c>
      <c r="R37" s="107">
        <v>1</v>
      </c>
      <c r="S37" s="149">
        <v>1.6093440000000001</v>
      </c>
      <c r="T37" s="29"/>
      <c r="Z37" s="155" t="s">
        <v>83</v>
      </c>
      <c r="AA37" s="91"/>
      <c r="AB37" s="91"/>
      <c r="AC37" s="91"/>
      <c r="AD37" s="91"/>
      <c r="AE37" s="91"/>
      <c r="AF37" s="91"/>
      <c r="AG37" s="91"/>
      <c r="AH37" s="91"/>
      <c r="AJ37" s="163" t="s">
        <v>84</v>
      </c>
      <c r="AK37" s="164">
        <v>84</v>
      </c>
      <c r="AL37" s="164">
        <v>28</v>
      </c>
      <c r="AN37" s="142"/>
      <c r="AO37" s="91"/>
      <c r="BX37" s="91"/>
    </row>
    <row r="38" spans="1:76" s="126" customFormat="1" ht="26.25" x14ac:dyDescent="0.25">
      <c r="C38" s="165"/>
      <c r="D38" s="166"/>
      <c r="E38" s="166"/>
      <c r="F38" s="166"/>
      <c r="G38" s="166"/>
      <c r="H38" s="166"/>
      <c r="I38" s="166"/>
      <c r="J38" s="167"/>
      <c r="P38" s="37"/>
      <c r="Q38" s="152" t="s">
        <v>85</v>
      </c>
      <c r="R38" s="168">
        <v>0.62137119223699999</v>
      </c>
      <c r="S38" s="107">
        <v>1</v>
      </c>
      <c r="T38" s="169"/>
      <c r="Z38" s="170" t="s">
        <v>86</v>
      </c>
      <c r="AA38" s="171">
        <f>AD38*AD39</f>
        <v>8760</v>
      </c>
      <c r="AC38" s="172" t="s">
        <v>87</v>
      </c>
      <c r="AD38" s="173">
        <v>365</v>
      </c>
      <c r="AJ38" s="174" t="s">
        <v>88</v>
      </c>
      <c r="AK38" s="164">
        <v>264</v>
      </c>
      <c r="AL38" s="164">
        <v>265</v>
      </c>
      <c r="AN38" s="142"/>
      <c r="AO38" s="175"/>
      <c r="BX38" s="175"/>
    </row>
    <row r="39" spans="1:76" s="126" customFormat="1" ht="15.75" x14ac:dyDescent="0.25">
      <c r="C39" s="176"/>
      <c r="D39" s="166"/>
      <c r="E39" s="166"/>
      <c r="F39" s="166"/>
      <c r="G39" s="166"/>
      <c r="J39" s="166"/>
      <c r="K39" s="166"/>
      <c r="P39" s="37"/>
      <c r="Q39" s="152"/>
      <c r="R39" s="169"/>
      <c r="S39" s="169"/>
      <c r="T39" s="169"/>
      <c r="AC39" s="172" t="s">
        <v>89</v>
      </c>
      <c r="AD39" s="173">
        <v>24</v>
      </c>
      <c r="AJ39" s="177"/>
      <c r="AK39" s="178"/>
      <c r="AL39" s="178"/>
      <c r="AN39" s="142"/>
      <c r="AO39" s="175"/>
      <c r="BX39" s="175"/>
    </row>
    <row r="40" spans="1:76" s="126" customFormat="1" ht="15.75" x14ac:dyDescent="0.25">
      <c r="C40" s="176"/>
      <c r="D40" s="166"/>
      <c r="E40" s="166"/>
      <c r="F40" s="166"/>
      <c r="G40" s="166"/>
      <c r="J40" s="166"/>
      <c r="K40" s="166"/>
      <c r="Q40" s="179"/>
      <c r="AJ40" s="177"/>
      <c r="AK40" s="178"/>
      <c r="AL40" s="178"/>
      <c r="AN40" s="142"/>
      <c r="AO40" s="175"/>
      <c r="BX40" s="175"/>
    </row>
    <row r="42" spans="1:76" s="28" customFormat="1" ht="15.75" x14ac:dyDescent="0.25">
      <c r="C42" s="180"/>
      <c r="D42" s="120"/>
      <c r="E42" s="120"/>
      <c r="F42" s="120"/>
      <c r="G42" s="120"/>
      <c r="J42" s="120"/>
      <c r="K42" s="120"/>
      <c r="Q42" s="181"/>
      <c r="AO42" s="9"/>
      <c r="BX42" s="9"/>
    </row>
    <row r="43" spans="1:76" s="28" customFormat="1" ht="44.25" customHeight="1" x14ac:dyDescent="0.25">
      <c r="C43" s="180"/>
      <c r="D43" s="120"/>
      <c r="E43" s="120"/>
      <c r="F43" s="120"/>
      <c r="G43" s="120"/>
      <c r="J43" s="120"/>
      <c r="K43" s="120"/>
      <c r="Q43" s="181"/>
      <c r="AO43" s="9"/>
      <c r="BX43" s="9"/>
    </row>
    <row r="44" spans="1:76" s="185" customFormat="1" ht="30" x14ac:dyDescent="0.4">
      <c r="A44" s="182" t="s">
        <v>90</v>
      </c>
      <c r="B44" s="182"/>
      <c r="C44" s="183"/>
      <c r="D44" s="184"/>
      <c r="E44" s="184"/>
      <c r="F44" s="184"/>
      <c r="G44" s="184"/>
      <c r="J44" s="184"/>
      <c r="K44" s="184"/>
      <c r="Q44" s="186"/>
      <c r="R44" s="187"/>
      <c r="S44" s="187"/>
      <c r="T44" s="187"/>
      <c r="AH44" s="185" t="s">
        <v>91</v>
      </c>
    </row>
    <row r="45" spans="1:76" s="28" customFormat="1" ht="15.75" x14ac:dyDescent="0.25">
      <c r="C45" s="180"/>
      <c r="D45" s="120"/>
      <c r="E45" s="120"/>
      <c r="F45" s="120"/>
      <c r="G45" s="120"/>
      <c r="J45" s="120"/>
      <c r="K45" s="120"/>
      <c r="Q45" s="181"/>
      <c r="AO45" s="9"/>
      <c r="BX45" s="9"/>
    </row>
    <row r="46" spans="1:76" s="9" customFormat="1" ht="18" x14ac:dyDescent="0.25">
      <c r="A46" s="188">
        <v>1</v>
      </c>
      <c r="B46" s="189"/>
      <c r="C46" s="16" t="s">
        <v>92</v>
      </c>
      <c r="D46" s="190" t="str">
        <f>CONCATENATE("in ",FunctionalUnitOfMeasure)</f>
        <v>in kg of protein</v>
      </c>
      <c r="E46" s="191"/>
      <c r="F46" s="191"/>
      <c r="G46" s="191"/>
      <c r="J46" s="191"/>
      <c r="K46" s="191"/>
      <c r="L46" s="192"/>
      <c r="M46" s="192"/>
      <c r="N46" s="192"/>
      <c r="Q46" s="193"/>
      <c r="R46" s="194" t="s">
        <v>93</v>
      </c>
      <c r="S46" s="194"/>
      <c r="T46" s="194"/>
      <c r="U46" s="194"/>
      <c r="AP46" s="175">
        <f>A46</f>
        <v>1</v>
      </c>
      <c r="AQ46" s="175" t="str">
        <f>C46</f>
        <v>Current Adoption</v>
      </c>
      <c r="AT46" s="9">
        <v>45</v>
      </c>
      <c r="AU46" s="9">
        <v>46</v>
      </c>
      <c r="AV46" s="9">
        <v>47</v>
      </c>
      <c r="AW46" s="9">
        <v>48</v>
      </c>
      <c r="AX46" s="9">
        <v>49</v>
      </c>
      <c r="AY46" s="9">
        <v>50</v>
      </c>
      <c r="AZ46" s="9">
        <v>51</v>
      </c>
      <c r="BA46" s="9">
        <v>52</v>
      </c>
      <c r="BB46" s="9">
        <v>53</v>
      </c>
      <c r="BC46" s="9">
        <v>54</v>
      </c>
      <c r="BD46" s="9">
        <v>55</v>
      </c>
      <c r="BE46" s="9">
        <v>56</v>
      </c>
      <c r="BF46" s="9">
        <v>57</v>
      </c>
      <c r="BG46" s="9">
        <v>58</v>
      </c>
      <c r="BH46" s="9">
        <v>59</v>
      </c>
      <c r="BI46" s="9">
        <v>60</v>
      </c>
      <c r="BJ46" s="9">
        <v>61</v>
      </c>
      <c r="BK46" s="9">
        <v>62</v>
      </c>
      <c r="BL46" s="9">
        <v>63</v>
      </c>
      <c r="BM46" s="9">
        <v>64</v>
      </c>
      <c r="BN46" s="9">
        <v>65</v>
      </c>
      <c r="BO46" s="9">
        <v>66</v>
      </c>
      <c r="BP46" s="9">
        <v>67</v>
      </c>
      <c r="BQ46" s="9">
        <v>68</v>
      </c>
      <c r="BR46" s="9">
        <v>69</v>
      </c>
      <c r="BS46" s="9">
        <v>70</v>
      </c>
      <c r="BT46" s="9">
        <v>71</v>
      </c>
      <c r="BU46" s="9">
        <v>72</v>
      </c>
      <c r="BV46" s="9">
        <v>73</v>
      </c>
    </row>
    <row r="47" spans="1:76" s="55" customFormat="1" x14ac:dyDescent="0.25">
      <c r="A47" s="195"/>
      <c r="B47" s="196"/>
      <c r="C47" s="195"/>
      <c r="D47" s="120"/>
      <c r="E47" s="120"/>
      <c r="F47" s="120"/>
      <c r="G47" s="120"/>
      <c r="J47" s="120"/>
      <c r="K47" s="120"/>
      <c r="L47" s="122"/>
      <c r="M47" s="122"/>
      <c r="N47" s="122"/>
      <c r="Q47" s="197" t="s">
        <v>94</v>
      </c>
      <c r="R47" s="197"/>
      <c r="S47" s="197"/>
      <c r="T47" s="197"/>
      <c r="U47" s="197"/>
      <c r="Y47" s="91"/>
      <c r="AO47" s="91"/>
      <c r="AP47" s="28"/>
      <c r="AQ47" s="28"/>
      <c r="AR47" s="28"/>
      <c r="AS47" s="28"/>
      <c r="AT47" s="198" t="s">
        <v>95</v>
      </c>
      <c r="AU47" s="198"/>
      <c r="AV47" s="198"/>
      <c r="AW47" s="198" t="s">
        <v>96</v>
      </c>
      <c r="AX47" s="198"/>
      <c r="AY47" s="28"/>
      <c r="AZ47" s="198" t="s">
        <v>97</v>
      </c>
      <c r="BA47" s="198"/>
      <c r="BB47" s="28"/>
      <c r="BC47" s="198" t="s">
        <v>98</v>
      </c>
      <c r="BD47" s="198"/>
      <c r="BE47" s="28"/>
      <c r="BF47" s="198" t="s">
        <v>99</v>
      </c>
      <c r="BG47" s="198"/>
      <c r="BH47" s="28"/>
      <c r="BI47" s="198" t="s">
        <v>100</v>
      </c>
      <c r="BJ47" s="198"/>
      <c r="BK47" s="28"/>
      <c r="BL47" s="198" t="s">
        <v>101</v>
      </c>
      <c r="BM47" s="198"/>
      <c r="BN47" s="28"/>
      <c r="BO47" s="198" t="s">
        <v>102</v>
      </c>
      <c r="BP47" s="198"/>
      <c r="BQ47" s="28"/>
      <c r="BR47" s="198" t="s">
        <v>103</v>
      </c>
      <c r="BS47" s="198"/>
      <c r="BT47" s="28"/>
      <c r="BU47" s="198" t="s">
        <v>104</v>
      </c>
      <c r="BV47" s="198"/>
      <c r="BW47" s="28"/>
      <c r="BX47" s="91"/>
    </row>
    <row r="48" spans="1:76" s="55" customFormat="1" ht="54" customHeight="1" thickBot="1" x14ac:dyDescent="0.3">
      <c r="A48" s="199" t="s">
        <v>105</v>
      </c>
      <c r="B48" s="200" t="s">
        <v>106</v>
      </c>
      <c r="C48" s="201" t="s">
        <v>107</v>
      </c>
      <c r="D48" s="202" t="s">
        <v>108</v>
      </c>
      <c r="E48" s="202" t="s">
        <v>109</v>
      </c>
      <c r="F48" s="201" t="s">
        <v>110</v>
      </c>
      <c r="G48" s="201" t="s">
        <v>111</v>
      </c>
      <c r="H48" s="202" t="s">
        <v>112</v>
      </c>
      <c r="I48" s="203" t="s">
        <v>113</v>
      </c>
      <c r="J48" s="204" t="s">
        <v>114</v>
      </c>
      <c r="K48" s="205" t="s">
        <v>115</v>
      </c>
      <c r="L48" s="206" t="s">
        <v>116</v>
      </c>
      <c r="M48" s="207" t="s">
        <v>117</v>
      </c>
      <c r="N48" s="208" t="s">
        <v>118</v>
      </c>
      <c r="O48" s="209" t="s">
        <v>119</v>
      </c>
      <c r="P48" s="210"/>
      <c r="Q48" s="211" t="s">
        <v>120</v>
      </c>
      <c r="R48" s="212" t="s">
        <v>121</v>
      </c>
      <c r="S48" s="212" t="s">
        <v>122</v>
      </c>
      <c r="T48" s="212" t="s">
        <v>123</v>
      </c>
      <c r="U48" s="213" t="s">
        <v>124</v>
      </c>
      <c r="V48" s="210"/>
      <c r="W48" s="210"/>
      <c r="Y48" s="91"/>
      <c r="AO48" s="91"/>
      <c r="AP48" s="210"/>
      <c r="AQ48" s="210"/>
      <c r="AR48" s="213" t="s">
        <v>125</v>
      </c>
      <c r="AS48" s="210"/>
      <c r="AT48" s="214" t="s">
        <v>126</v>
      </c>
      <c r="AU48" s="214" t="s">
        <v>127</v>
      </c>
      <c r="AV48" s="215"/>
      <c r="AW48" s="214" t="s">
        <v>128</v>
      </c>
      <c r="AX48" s="214" t="s">
        <v>127</v>
      </c>
      <c r="AY48" s="210"/>
      <c r="AZ48" s="214" t="s">
        <v>128</v>
      </c>
      <c r="BA48" s="214" t="s">
        <v>127</v>
      </c>
      <c r="BB48" s="210"/>
      <c r="BC48" s="214" t="s">
        <v>128</v>
      </c>
      <c r="BD48" s="214" t="s">
        <v>127</v>
      </c>
      <c r="BE48" s="210"/>
      <c r="BF48" s="214" t="s">
        <v>128</v>
      </c>
      <c r="BG48" s="214" t="s">
        <v>127</v>
      </c>
      <c r="BH48" s="210"/>
      <c r="BI48" s="214" t="s">
        <v>128</v>
      </c>
      <c r="BJ48" s="214" t="s">
        <v>127</v>
      </c>
      <c r="BK48" s="210"/>
      <c r="BL48" s="214" t="s">
        <v>128</v>
      </c>
      <c r="BM48" s="214" t="s">
        <v>127</v>
      </c>
      <c r="BN48" s="210"/>
      <c r="BO48" s="214" t="s">
        <v>128</v>
      </c>
      <c r="BP48" s="214" t="s">
        <v>127</v>
      </c>
      <c r="BQ48" s="210"/>
      <c r="BR48" s="214" t="s">
        <v>128</v>
      </c>
      <c r="BS48" s="214" t="s">
        <v>127</v>
      </c>
      <c r="BT48" s="210"/>
      <c r="BU48" s="214" t="s">
        <v>128</v>
      </c>
      <c r="BV48" s="214" t="s">
        <v>127</v>
      </c>
      <c r="BW48" s="210"/>
      <c r="BX48" s="91"/>
    </row>
    <row r="49" spans="1:76" s="55" customFormat="1" ht="15.75" x14ac:dyDescent="0.25">
      <c r="A49" s="195">
        <v>1</v>
      </c>
      <c r="B49" s="216" t="str">
        <f t="shared" ref="B49:B54" si="0">CONCATENATE(E49,": ",C49)</f>
        <v>World: Mottet et al. 2017 (supplementary) and Opio et al. 2013 (Appendix B)</v>
      </c>
      <c r="C49" s="217" t="s">
        <v>129</v>
      </c>
      <c r="D49" s="218" t="s">
        <v>130</v>
      </c>
      <c r="E49" s="219" t="s">
        <v>95</v>
      </c>
      <c r="F49" s="219"/>
      <c r="G49" s="220"/>
      <c r="H49" s="221">
        <v>2010</v>
      </c>
      <c r="I49" s="220"/>
      <c r="J49" s="222">
        <f>SUM([1]rations!AG18:AG20)</f>
        <v>9134560880.3101978</v>
      </c>
      <c r="K49" s="223" t="s">
        <v>131</v>
      </c>
      <c r="L49" s="224"/>
      <c r="M49" s="225" t="str">
        <f t="shared" ref="M49:M55" si="1">FunctionalUnitOfMeasure</f>
        <v>kg of protein</v>
      </c>
      <c r="N49" s="226"/>
      <c r="O49" s="227" t="s">
        <v>132</v>
      </c>
      <c r="P49" s="122"/>
      <c r="Q49" s="228"/>
      <c r="R49" s="229">
        <f>IF(OR(Q49="Y",AND(L49="",J49=""),E49&lt;&gt;"World"),"",IF(L49="",J49,L49))</f>
        <v>9134560880.3101978</v>
      </c>
      <c r="S49" s="230">
        <f t="shared" ref="S49:S68" si="2">IF(R49="","",IF($R$77="Y",T49,IF(R49&gt;=$R$69-$AA$35*$R$73,IF(R49&lt;=$R$69+$AA$35*$R$73,R49,""),"")))</f>
        <v>9134560880.3101978</v>
      </c>
      <c r="T49" s="231">
        <f t="shared" ref="T49:T68" si="3">IF(OR(Q49="Y",IFERROR(R49&gt;$R$69+$R$73*$AA$35,0),IFERROR(R49&lt;$R$69-$R$73*$AA$35,0)),"",IFERROR(R49*N49,""))</f>
        <v>0</v>
      </c>
      <c r="U49" s="232" t="str">
        <f t="shared" ref="U49:U68" si="4">IF(AND(M49="",K49=""),"",IF(M49="",K49,M49))</f>
        <v>kg of protein</v>
      </c>
      <c r="V49" s="28"/>
      <c r="W49" s="28"/>
      <c r="Y49" s="91"/>
      <c r="AO49" s="91"/>
      <c r="AP49" s="28"/>
      <c r="AQ49" s="28"/>
      <c r="AR49" s="233" t="str">
        <f>$U49</f>
        <v>kg of protein</v>
      </c>
      <c r="AS49" s="28"/>
      <c r="AT49" s="234">
        <f>IF($E49=AT$47,IF(AND($Q49&lt;&gt;"Y",OR($J49&lt;&gt;"",$L49&lt;&gt;"")),IF($L49="",$J49,$L49),""),"")</f>
        <v>9134560880.3101978</v>
      </c>
      <c r="AU49" s="234">
        <f t="shared" ref="AU49:AU68" si="5">IFERROR(IF($Q49&lt;&gt;"Y",IF($F49&lt;&gt;"",AVERAGEIFS(AT$49:AT$68,$E$49:$E$68,AT$47,$F$49:$F$68,$F49)/COUNTIFS($E$49:$E$68,AT$47,$F$49:$F$68,$F49), IF(AND($E49=AT$47,AT49&gt;=AT$69-AT$75*$AA$35,AT49&lt;=AT$69+AT$75*$AA$35),AT49,"")),""),"")</f>
        <v>9134560880.3101978</v>
      </c>
      <c r="AV49" s="235"/>
      <c r="AW49" s="234" t="str">
        <f>IF($E49=AW$47,IF(AND($Q49&lt;&gt;"Y",OR($J49&lt;&gt;"",$L49&lt;&gt;"")),IF($L49="",$J49,$L49),""),"")</f>
        <v/>
      </c>
      <c r="AX49" s="234" t="str">
        <f t="shared" ref="AX49:AX68" si="6">IFERROR(IF($Q49&lt;&gt;"Y",IF($F49&lt;&gt;"",AVERAGEIFS(AW$49:AW$68,$E$49:$E$68,AW$47,$F$49:$F$68,$F49)/COUNTIFS($E$49:$E$68,AW$47,$F$49:$F$68,$F49), IF(AND($E49=AW$47,AW49&gt;=AW$69-AW$75*$AA$35,AW49&lt;=AW$69+AW$75*$AA$35),AW49,"")),""),"")</f>
        <v/>
      </c>
      <c r="AY49" s="235"/>
      <c r="AZ49" s="234" t="str">
        <f>IF($E49=AZ$47,IF(AND($Q49&lt;&gt;"Y",OR($J49&lt;&gt;"",$L49&lt;&gt;"")),IF($L49="",$J49,$L49),""),"")</f>
        <v/>
      </c>
      <c r="BA49" s="234" t="str">
        <f t="shared" ref="BA49:BA68" si="7">IFERROR(IF($Q49&lt;&gt;"Y",IF($F49&lt;&gt;"",AVERAGEIFS(AZ$49:AZ$68,$E$49:$E$68,AZ$47,$F$49:$F$68,$F49)/COUNTIFS($E$49:$E$68,AZ$47,$F$49:$F$68,$F49), IF(AND($E49=AZ$47,AZ49&gt;=AZ$69-AZ$75*$AA$35,AZ49&lt;=AZ$69+AZ$75*$AA$35),AZ49,"")),""),"")</f>
        <v/>
      </c>
      <c r="BB49" s="235"/>
      <c r="BC49" s="234" t="str">
        <f>IF($E49=BC$47,IF(AND($Q49&lt;&gt;"Y",OR($J49&lt;&gt;"",$L49&lt;&gt;"")),IF($L49="",$J49,$L49),""),"")</f>
        <v/>
      </c>
      <c r="BD49" s="234" t="str">
        <f t="shared" ref="BD49:BD68" si="8">IFERROR(IF($Q49&lt;&gt;"Y",IF($F49&lt;&gt;"",AVERAGEIFS(BC$49:BC$68,$E$49:$E$68,BC$47,$F$49:$F$68,$F49)/COUNTIFS($E$49:$E$68,BC$47,$F$49:$F$68,$F49), IF(AND($E49=BC$47,BC49&gt;=BC$69-BC$75*$AA$35,BC49&lt;=BC$69+BC$75*$AA$35),BC49,"")),""),"")</f>
        <v/>
      </c>
      <c r="BE49" s="235"/>
      <c r="BF49" s="234" t="str">
        <f>IF($E49=BF$47,IF(AND($Q49&lt;&gt;"Y",OR($J49&lt;&gt;"",$L49&lt;&gt;"")),IF($L49="",$J49,$L49),""),"")</f>
        <v/>
      </c>
      <c r="BG49" s="234" t="str">
        <f t="shared" ref="BG49:BG68" si="9">IFERROR(IF($Q49&lt;&gt;"Y",IF($F49&lt;&gt;"",AVERAGEIFS(BF$49:BF$68,$E$49:$E$68,BF$47,$F$49:$F$68,$F49)/COUNTIFS($E$49:$E$68,BF$47,$F$49:$F$68,$F49), IF(AND($E49=BF$47,BF49&gt;=BF$69-BF$75*$AA$35,BF49&lt;=BF$69+BF$75*$AA$35),BF49,"")),""),"")</f>
        <v/>
      </c>
      <c r="BH49" s="235"/>
      <c r="BI49" s="234" t="str">
        <f>IF($E49=BI$47,IF(AND($Q49&lt;&gt;"Y",OR($J49&lt;&gt;"",$L49&lt;&gt;"")),IF($L49="",$J49,$L49),""),"")</f>
        <v/>
      </c>
      <c r="BJ49" s="234" t="str">
        <f t="shared" ref="BJ49:BJ68" si="10">IFERROR(IF($Q49&lt;&gt;"Y",IF($F49&lt;&gt;"",AVERAGEIFS(BI$49:BI$68,$E$49:$E$68,BI$47,$F$49:$F$68,$F49)/COUNTIFS($E$49:$E$68,BI$47,$F$49:$F$68,$F49), IF(AND($E49=BI$47,BI49&gt;=BI$69-BI$75*$AA$35,BI49&lt;=BI$69+BI$75*$AA$35),BI49,"")),""),"")</f>
        <v/>
      </c>
      <c r="BK49" s="235"/>
      <c r="BL49" s="234" t="str">
        <f>IF($E49=BL$47,IF(AND($Q49&lt;&gt;"Y",OR($J49&lt;&gt;"",$L49&lt;&gt;"")),IF($L49="",$J49,$L49),""),"")</f>
        <v/>
      </c>
      <c r="BM49" s="234" t="str">
        <f t="shared" ref="BM49:BM68" si="11">IFERROR(IF($Q49&lt;&gt;"Y",IF($F49&lt;&gt;"",AVERAGEIFS(BL$49:BL$68,$E$49:$E$68,BL$47,$F$49:$F$68,$F49)/COUNTIFS($E$49:$E$68,BL$47,$F$49:$F$68,$F49), IF(AND($E49=BL$47,BL49&gt;=BL$69-BL$75*$AA$35,BL49&lt;=BL$69+BL$75*$AA$35),BL49,"")),""),"")</f>
        <v/>
      </c>
      <c r="BN49" s="235"/>
      <c r="BO49" s="234" t="str">
        <f>IF($E49=BO$47,IF(AND($Q49&lt;&gt;"Y",OR($J49&lt;&gt;"",$L49&lt;&gt;"")),IF($L49="",$J49,$L49),""),"")</f>
        <v/>
      </c>
      <c r="BP49" s="234" t="str">
        <f t="shared" ref="BP49:BP68" si="12">IFERROR(IF($Q49&lt;&gt;"Y",IF($F49&lt;&gt;"",AVERAGEIFS(BO$49:BO$68,$E$49:$E$68,BO$47,$F$49:$F$68,$F49)/COUNTIFS($E$49:$E$68,BO$47,$F$49:$F$68,$F49), IF(AND($E49=BO$47,BO49&gt;=BO$69-BO$75*$AA$35,BO49&lt;=BO$69+BO$75*$AA$35),BO49,"")),""),"")</f>
        <v/>
      </c>
      <c r="BQ49" s="235"/>
      <c r="BR49" s="234" t="str">
        <f>IF($E49=BR$47,IF(AND($Q49&lt;&gt;"Y",OR($J49&lt;&gt;"",$L49&lt;&gt;"")),IF($L49="",$J49,$L49),""),"")</f>
        <v/>
      </c>
      <c r="BS49" s="234" t="str">
        <f t="shared" ref="BS49:BS68" si="13">IFERROR(IF($Q49&lt;&gt;"Y",IF($F49&lt;&gt;"",AVERAGEIFS(BR$49:BR$68,$E$49:$E$68,BR$47,$F$49:$F$68,$F49)/COUNTIFS($E$49:$E$68,BR$47,$F$49:$F$68,$F49), IF(AND($E49=BR$47,BR49&gt;=BR$69-BR$75*$AA$35,BR49&lt;=BR$69+BR$75*$AA$35),BR49,"")),""),"")</f>
        <v/>
      </c>
      <c r="BT49" s="235"/>
      <c r="BU49" s="234" t="str">
        <f>IF($E49=BU$47,IF(AND($Q49&lt;&gt;"Y",OR($J49&lt;&gt;"",$L49&lt;&gt;"")),IF($L49="",$J49,$L49),""),"")</f>
        <v/>
      </c>
      <c r="BV49" s="234" t="str">
        <f t="shared" ref="BV49:BV68" si="14">IFERROR(IF($Q49&lt;&gt;"Y",IF($F49&lt;&gt;"",AVERAGEIFS(BU$49:BU$68,$E$49:$E$68,BU$47,$F$49:$F$68,$F49)/COUNTIFS($E$49:$E$68,BU$47,$F$49:$F$68,$F49), IF(AND($E49=BU$47,BU49&gt;=BU$69-BU$75*$AA$35,BU49&lt;=BU$69+BU$75*$AA$35),BU49,"")),""),"")</f>
        <v/>
      </c>
      <c r="BW49" s="235"/>
      <c r="BX49" s="91"/>
    </row>
    <row r="50" spans="1:76" s="55" customFormat="1" ht="15.75" x14ac:dyDescent="0.25">
      <c r="A50" s="195">
        <v>2</v>
      </c>
      <c r="B50" s="216" t="str">
        <f t="shared" si="0"/>
        <v>OECD90: Mottet et al. 2017 (supplementary) and Opio et al. 2013 (Appendix B)</v>
      </c>
      <c r="C50" s="217" t="s">
        <v>129</v>
      </c>
      <c r="D50" s="218" t="s">
        <v>130</v>
      </c>
      <c r="E50" s="219" t="s">
        <v>96</v>
      </c>
      <c r="F50" s="219"/>
      <c r="G50" s="220"/>
      <c r="H50" s="221">
        <v>2010</v>
      </c>
      <c r="I50" s="220"/>
      <c r="J50" s="222">
        <f>SUM([1]rations!AG15:AG17)</f>
        <v>6236702146.8902903</v>
      </c>
      <c r="K50" s="223" t="s">
        <v>131</v>
      </c>
      <c r="L50" s="236"/>
      <c r="M50" s="225" t="str">
        <f t="shared" si="1"/>
        <v>kg of protein</v>
      </c>
      <c r="N50" s="227"/>
      <c r="O50" s="227" t="s">
        <v>132</v>
      </c>
      <c r="P50" s="122"/>
      <c r="Q50" s="228"/>
      <c r="R50" s="229" t="str">
        <f t="shared" ref="R50:R68" si="15">IF(OR(Q50="Y",AND(L50="",J50=""),E50&lt;&gt;"World"),"",IF(L50="",J50,L50))</f>
        <v/>
      </c>
      <c r="S50" s="230" t="str">
        <f t="shared" si="2"/>
        <v/>
      </c>
      <c r="T50" s="231" t="str">
        <f t="shared" si="3"/>
        <v/>
      </c>
      <c r="U50" s="232" t="str">
        <f t="shared" si="4"/>
        <v>kg of protein</v>
      </c>
      <c r="V50" s="28"/>
      <c r="W50" s="28"/>
      <c r="Y50" s="91"/>
      <c r="AO50" s="91"/>
      <c r="AP50" s="28"/>
      <c r="AQ50" s="28"/>
      <c r="AR50" s="237"/>
      <c r="AS50" s="28"/>
      <c r="AT50" s="234" t="str">
        <f t="shared" ref="AT50:AT68" si="16">IF($E50=AT$47,IF(AND($Q50&lt;&gt;"Y",OR($J50&lt;&gt;"",$L50&lt;&gt;"")),IF($L50="",$J50,$L50),""),"")</f>
        <v/>
      </c>
      <c r="AU50" s="234" t="str">
        <f t="shared" si="5"/>
        <v/>
      </c>
      <c r="AV50" s="235"/>
      <c r="AW50" s="234">
        <f t="shared" ref="AW50:AW68" si="17">IF($E50=AW$47,IF(AND($Q50&lt;&gt;"Y",OR($J50&lt;&gt;"",$L50&lt;&gt;"")),IF($L50="",$J50,$L50),""),"")</f>
        <v>6236702146.8902903</v>
      </c>
      <c r="AX50" s="234">
        <f t="shared" si="6"/>
        <v>6236702146.8902903</v>
      </c>
      <c r="AY50" s="235"/>
      <c r="AZ50" s="234" t="str">
        <f t="shared" ref="AZ50:AZ68" si="18">IF($E50=AZ$47,IF(AND($Q50&lt;&gt;"Y",OR($J50&lt;&gt;"",$L50&lt;&gt;"")),IF($L50="",$J50,$L50),""),"")</f>
        <v/>
      </c>
      <c r="BA50" s="234" t="str">
        <f t="shared" si="7"/>
        <v/>
      </c>
      <c r="BB50" s="235"/>
      <c r="BC50" s="234" t="str">
        <f t="shared" ref="BC50:BC68" si="19">IF($E50=BC$47,IF(AND($Q50&lt;&gt;"Y",OR($J50&lt;&gt;"",$L50&lt;&gt;"")),IF($L50="",$J50,$L50),""),"")</f>
        <v/>
      </c>
      <c r="BD50" s="234" t="str">
        <f t="shared" si="8"/>
        <v/>
      </c>
      <c r="BE50" s="235"/>
      <c r="BF50" s="234" t="str">
        <f t="shared" ref="BF50:BF68" si="20">IF($E50=BF$47,IF(AND($Q50&lt;&gt;"Y",OR($J50&lt;&gt;"",$L50&lt;&gt;"")),IF($L50="",$J50,$L50),""),"")</f>
        <v/>
      </c>
      <c r="BG50" s="234" t="str">
        <f t="shared" si="9"/>
        <v/>
      </c>
      <c r="BH50" s="235"/>
      <c r="BI50" s="234" t="str">
        <f t="shared" ref="BI50:BI68" si="21">IF($E50=BI$47,IF(AND($Q50&lt;&gt;"Y",OR($J50&lt;&gt;"",$L50&lt;&gt;"")),IF($L50="",$J50,$L50),""),"")</f>
        <v/>
      </c>
      <c r="BJ50" s="234" t="str">
        <f t="shared" si="10"/>
        <v/>
      </c>
      <c r="BK50" s="235"/>
      <c r="BL50" s="234" t="str">
        <f t="shared" ref="BL50:BL68" si="22">IF($E50=BL$47,IF(AND($Q50&lt;&gt;"Y",OR($J50&lt;&gt;"",$L50&lt;&gt;"")),IF($L50="",$J50,$L50),""),"")</f>
        <v/>
      </c>
      <c r="BM50" s="234" t="str">
        <f t="shared" si="11"/>
        <v/>
      </c>
      <c r="BN50" s="235"/>
      <c r="BO50" s="234" t="str">
        <f t="shared" ref="BO50:BO68" si="23">IF($E50=BO$47,IF(AND($Q50&lt;&gt;"Y",OR($J50&lt;&gt;"",$L50&lt;&gt;"")),IF($L50="",$J50,$L50),""),"")</f>
        <v/>
      </c>
      <c r="BP50" s="234" t="str">
        <f t="shared" si="12"/>
        <v/>
      </c>
      <c r="BQ50" s="235"/>
      <c r="BR50" s="234" t="str">
        <f t="shared" ref="BR50:BR68" si="24">IF($E50=BR$47,IF(AND($Q50&lt;&gt;"Y",OR($J50&lt;&gt;"",$L50&lt;&gt;"")),IF($L50="",$J50,$L50),""),"")</f>
        <v/>
      </c>
      <c r="BS50" s="234" t="str">
        <f t="shared" si="13"/>
        <v/>
      </c>
      <c r="BT50" s="235"/>
      <c r="BU50" s="234" t="str">
        <f t="shared" ref="BU50:BU68" si="25">IF($E50=BU$47,IF(AND($Q50&lt;&gt;"Y",OR($J50&lt;&gt;"",$L50&lt;&gt;"")),IF($L50="",$J50,$L50),""),"")</f>
        <v/>
      </c>
      <c r="BV50" s="234" t="str">
        <f t="shared" si="14"/>
        <v/>
      </c>
      <c r="BW50" s="235"/>
      <c r="BX50" s="91"/>
    </row>
    <row r="51" spans="1:76" s="55" customFormat="1" ht="15.75" x14ac:dyDescent="0.25">
      <c r="A51" s="195">
        <v>3</v>
      </c>
      <c r="B51" s="216" t="str">
        <f>CONCATENATE(E51,": ",C51)</f>
        <v>Eastern Europe: Mottet et al. 2017 (supplementary) and Opio et al. 2013 (Appendix B)</v>
      </c>
      <c r="C51" s="217" t="s">
        <v>129</v>
      </c>
      <c r="D51" s="218" t="s">
        <v>130</v>
      </c>
      <c r="E51" s="219" t="s">
        <v>97</v>
      </c>
      <c r="F51" s="219"/>
      <c r="G51" s="220"/>
      <c r="H51" s="221">
        <v>2010</v>
      </c>
      <c r="I51" s="220"/>
      <c r="J51" s="222">
        <f>SUM([1]rations!AG22:AG24)</f>
        <v>1278866877.0192232</v>
      </c>
      <c r="K51" s="223" t="s">
        <v>131</v>
      </c>
      <c r="L51" s="236"/>
      <c r="M51" s="225" t="str">
        <f t="shared" si="1"/>
        <v>kg of protein</v>
      </c>
      <c r="N51" s="227"/>
      <c r="O51" s="227" t="s">
        <v>132</v>
      </c>
      <c r="P51" s="122"/>
      <c r="Q51" s="228"/>
      <c r="R51" s="229" t="str">
        <f t="shared" si="15"/>
        <v/>
      </c>
      <c r="S51" s="230" t="str">
        <f t="shared" si="2"/>
        <v/>
      </c>
      <c r="T51" s="231" t="str">
        <f t="shared" si="3"/>
        <v/>
      </c>
      <c r="U51" s="232" t="str">
        <f t="shared" si="4"/>
        <v>kg of protein</v>
      </c>
      <c r="V51" s="28"/>
      <c r="W51" s="28"/>
      <c r="Y51" s="91"/>
      <c r="AO51" s="91"/>
      <c r="AP51" s="28"/>
      <c r="AQ51" s="28"/>
      <c r="AR51" s="237"/>
      <c r="AS51" s="28"/>
      <c r="AT51" s="234" t="str">
        <f t="shared" si="16"/>
        <v/>
      </c>
      <c r="AU51" s="234" t="str">
        <f t="shared" si="5"/>
        <v/>
      </c>
      <c r="AV51" s="235"/>
      <c r="AW51" s="234" t="str">
        <f t="shared" si="17"/>
        <v/>
      </c>
      <c r="AX51" s="234" t="str">
        <f t="shared" si="6"/>
        <v/>
      </c>
      <c r="AY51" s="235"/>
      <c r="AZ51" s="234">
        <f t="shared" si="18"/>
        <v>1278866877.0192232</v>
      </c>
      <c r="BA51" s="234">
        <f t="shared" si="7"/>
        <v>1278866877.0192232</v>
      </c>
      <c r="BB51" s="235"/>
      <c r="BC51" s="234" t="str">
        <f t="shared" si="19"/>
        <v/>
      </c>
      <c r="BD51" s="234" t="str">
        <f t="shared" si="8"/>
        <v/>
      </c>
      <c r="BE51" s="235"/>
      <c r="BF51" s="234" t="str">
        <f t="shared" si="20"/>
        <v/>
      </c>
      <c r="BG51" s="234" t="str">
        <f t="shared" si="9"/>
        <v/>
      </c>
      <c r="BH51" s="235"/>
      <c r="BI51" s="234" t="str">
        <f t="shared" si="21"/>
        <v/>
      </c>
      <c r="BJ51" s="234" t="str">
        <f t="shared" si="10"/>
        <v/>
      </c>
      <c r="BK51" s="235"/>
      <c r="BL51" s="234" t="str">
        <f t="shared" si="22"/>
        <v/>
      </c>
      <c r="BM51" s="234" t="str">
        <f t="shared" si="11"/>
        <v/>
      </c>
      <c r="BN51" s="235"/>
      <c r="BO51" s="234" t="str">
        <f t="shared" si="23"/>
        <v/>
      </c>
      <c r="BP51" s="234" t="str">
        <f t="shared" si="12"/>
        <v/>
      </c>
      <c r="BQ51" s="235"/>
      <c r="BR51" s="234" t="str">
        <f t="shared" si="24"/>
        <v/>
      </c>
      <c r="BS51" s="234" t="str">
        <f t="shared" si="13"/>
        <v/>
      </c>
      <c r="BT51" s="235"/>
      <c r="BU51" s="234" t="str">
        <f t="shared" si="25"/>
        <v/>
      </c>
      <c r="BV51" s="234" t="str">
        <f t="shared" si="14"/>
        <v/>
      </c>
      <c r="BW51" s="235"/>
      <c r="BX51" s="91"/>
    </row>
    <row r="52" spans="1:76" s="55" customFormat="1" ht="15.75" x14ac:dyDescent="0.25">
      <c r="A52" s="195">
        <v>4</v>
      </c>
      <c r="B52" s="216" t="str">
        <f t="shared" si="0"/>
        <v>Asia (Sans Japan): Mottet et al. 2017 (supplementary) and Opio et al. 2013 (Appendix B)</v>
      </c>
      <c r="C52" s="217" t="s">
        <v>129</v>
      </c>
      <c r="D52" s="218" t="s">
        <v>130</v>
      </c>
      <c r="E52" s="219" t="s">
        <v>98</v>
      </c>
      <c r="F52" s="219"/>
      <c r="G52" s="220"/>
      <c r="H52" s="221">
        <v>2010</v>
      </c>
      <c r="I52" s="220"/>
      <c r="J52" s="222">
        <f>SUM([1]rations!AG25:AG27)</f>
        <v>731591462.75700438</v>
      </c>
      <c r="K52" s="223" t="s">
        <v>131</v>
      </c>
      <c r="L52" s="236"/>
      <c r="M52" s="225" t="str">
        <f t="shared" si="1"/>
        <v>kg of protein</v>
      </c>
      <c r="N52" s="238"/>
      <c r="O52" s="227" t="s">
        <v>132</v>
      </c>
      <c r="P52" s="122"/>
      <c r="Q52" s="228"/>
      <c r="R52" s="229" t="str">
        <f t="shared" si="15"/>
        <v/>
      </c>
      <c r="S52" s="230" t="str">
        <f t="shared" si="2"/>
        <v/>
      </c>
      <c r="T52" s="231" t="str">
        <f t="shared" si="3"/>
        <v/>
      </c>
      <c r="U52" s="232" t="str">
        <f t="shared" si="4"/>
        <v>kg of protein</v>
      </c>
      <c r="V52" s="28"/>
      <c r="W52" s="28"/>
      <c r="Y52" s="91"/>
      <c r="AO52" s="91"/>
      <c r="AP52" s="28"/>
      <c r="AQ52" s="28"/>
      <c r="AR52" s="237"/>
      <c r="AS52" s="28"/>
      <c r="AT52" s="234" t="str">
        <f t="shared" si="16"/>
        <v/>
      </c>
      <c r="AU52" s="234" t="str">
        <f t="shared" si="5"/>
        <v/>
      </c>
      <c r="AV52" s="235"/>
      <c r="AW52" s="234" t="str">
        <f t="shared" si="17"/>
        <v/>
      </c>
      <c r="AX52" s="234" t="str">
        <f t="shared" si="6"/>
        <v/>
      </c>
      <c r="AY52" s="235"/>
      <c r="AZ52" s="234" t="str">
        <f t="shared" si="18"/>
        <v/>
      </c>
      <c r="BA52" s="234" t="str">
        <f t="shared" si="7"/>
        <v/>
      </c>
      <c r="BB52" s="235"/>
      <c r="BC52" s="234">
        <f t="shared" si="19"/>
        <v>731591462.75700438</v>
      </c>
      <c r="BD52" s="234">
        <f t="shared" si="8"/>
        <v>731591462.75700438</v>
      </c>
      <c r="BE52" s="235"/>
      <c r="BF52" s="234" t="str">
        <f t="shared" si="20"/>
        <v/>
      </c>
      <c r="BG52" s="234" t="str">
        <f t="shared" si="9"/>
        <v/>
      </c>
      <c r="BH52" s="235"/>
      <c r="BI52" s="234" t="str">
        <f t="shared" si="21"/>
        <v/>
      </c>
      <c r="BJ52" s="234" t="str">
        <f t="shared" si="10"/>
        <v/>
      </c>
      <c r="BK52" s="235"/>
      <c r="BL52" s="234" t="str">
        <f t="shared" si="22"/>
        <v/>
      </c>
      <c r="BM52" s="234" t="str">
        <f t="shared" si="11"/>
        <v/>
      </c>
      <c r="BN52" s="235"/>
      <c r="BO52" s="234" t="str">
        <f t="shared" si="23"/>
        <v/>
      </c>
      <c r="BP52" s="234" t="str">
        <f t="shared" si="12"/>
        <v/>
      </c>
      <c r="BQ52" s="235"/>
      <c r="BR52" s="234" t="str">
        <f t="shared" si="24"/>
        <v/>
      </c>
      <c r="BS52" s="234" t="str">
        <f t="shared" si="13"/>
        <v/>
      </c>
      <c r="BT52" s="235"/>
      <c r="BU52" s="234" t="str">
        <f t="shared" si="25"/>
        <v/>
      </c>
      <c r="BV52" s="234" t="str">
        <f t="shared" si="14"/>
        <v/>
      </c>
      <c r="BW52" s="235"/>
      <c r="BX52" s="91"/>
    </row>
    <row r="53" spans="1:76" s="55" customFormat="1" ht="15.75" x14ac:dyDescent="0.25">
      <c r="A53" s="195">
        <v>5</v>
      </c>
      <c r="B53" s="216" t="str">
        <f t="shared" si="0"/>
        <v>Middle East and Africa: Mottet et al. 2017 (supplementary) and Opio et al. 2013 (Appendix B)</v>
      </c>
      <c r="C53" s="217" t="s">
        <v>129</v>
      </c>
      <c r="D53" s="218" t="s">
        <v>130</v>
      </c>
      <c r="E53" s="219" t="s">
        <v>99</v>
      </c>
      <c r="F53" s="219"/>
      <c r="G53" s="220"/>
      <c r="H53" s="221">
        <v>2010</v>
      </c>
      <c r="I53" s="220"/>
      <c r="J53" s="239">
        <f>SUM([1]rations!AG28:AG30)</f>
        <v>307254129.9257437</v>
      </c>
      <c r="K53" s="223" t="s">
        <v>131</v>
      </c>
      <c r="L53" s="236"/>
      <c r="M53" s="225" t="str">
        <f t="shared" si="1"/>
        <v>kg of protein</v>
      </c>
      <c r="N53" s="227"/>
      <c r="O53" s="227" t="s">
        <v>132</v>
      </c>
      <c r="P53" s="122"/>
      <c r="Q53" s="228"/>
      <c r="R53" s="229" t="str">
        <f t="shared" si="15"/>
        <v/>
      </c>
      <c r="S53" s="230" t="str">
        <f t="shared" si="2"/>
        <v/>
      </c>
      <c r="T53" s="231" t="str">
        <f t="shared" si="3"/>
        <v/>
      </c>
      <c r="U53" s="232" t="str">
        <f t="shared" si="4"/>
        <v>kg of protein</v>
      </c>
      <c r="V53" s="28"/>
      <c r="W53" s="28"/>
      <c r="Y53" s="91"/>
      <c r="AO53" s="91"/>
      <c r="AP53" s="28"/>
      <c r="AQ53" s="28"/>
      <c r="AR53" s="237"/>
      <c r="AS53" s="28"/>
      <c r="AT53" s="234" t="str">
        <f t="shared" si="16"/>
        <v/>
      </c>
      <c r="AU53" s="234" t="str">
        <f t="shared" si="5"/>
        <v/>
      </c>
      <c r="AV53" s="235"/>
      <c r="AW53" s="234" t="str">
        <f t="shared" si="17"/>
        <v/>
      </c>
      <c r="AX53" s="234" t="str">
        <f t="shared" si="6"/>
        <v/>
      </c>
      <c r="AY53" s="235"/>
      <c r="AZ53" s="234" t="str">
        <f t="shared" si="18"/>
        <v/>
      </c>
      <c r="BA53" s="234" t="str">
        <f t="shared" si="7"/>
        <v/>
      </c>
      <c r="BB53" s="235"/>
      <c r="BC53" s="234" t="str">
        <f t="shared" si="19"/>
        <v/>
      </c>
      <c r="BD53" s="234" t="str">
        <f t="shared" si="8"/>
        <v/>
      </c>
      <c r="BE53" s="235"/>
      <c r="BF53" s="234">
        <f t="shared" si="20"/>
        <v>307254129.9257437</v>
      </c>
      <c r="BG53" s="234">
        <f t="shared" si="9"/>
        <v>307254129.9257437</v>
      </c>
      <c r="BH53" s="235"/>
      <c r="BI53" s="234" t="str">
        <f t="shared" si="21"/>
        <v/>
      </c>
      <c r="BJ53" s="234" t="str">
        <f t="shared" si="10"/>
        <v/>
      </c>
      <c r="BK53" s="235"/>
      <c r="BL53" s="234" t="str">
        <f t="shared" si="22"/>
        <v/>
      </c>
      <c r="BM53" s="234" t="str">
        <f t="shared" si="11"/>
        <v/>
      </c>
      <c r="BN53" s="235"/>
      <c r="BO53" s="234" t="str">
        <f t="shared" si="23"/>
        <v/>
      </c>
      <c r="BP53" s="234" t="str">
        <f t="shared" si="12"/>
        <v/>
      </c>
      <c r="BQ53" s="235"/>
      <c r="BR53" s="234" t="str">
        <f t="shared" si="24"/>
        <v/>
      </c>
      <c r="BS53" s="234" t="str">
        <f t="shared" si="13"/>
        <v/>
      </c>
      <c r="BT53" s="235"/>
      <c r="BU53" s="234" t="str">
        <f t="shared" si="25"/>
        <v/>
      </c>
      <c r="BV53" s="234" t="str">
        <f t="shared" si="14"/>
        <v/>
      </c>
      <c r="BW53" s="235"/>
      <c r="BX53" s="91"/>
    </row>
    <row r="54" spans="1:76" s="55" customFormat="1" ht="15.75" x14ac:dyDescent="0.25">
      <c r="A54" s="195">
        <v>6</v>
      </c>
      <c r="B54" s="216" t="str">
        <f t="shared" si="0"/>
        <v>Latin America: Mottet et al. 2017 (supplementary) and Opio et al. 2013 (Appendix B)</v>
      </c>
      <c r="C54" s="217" t="s">
        <v>129</v>
      </c>
      <c r="D54" s="218" t="s">
        <v>130</v>
      </c>
      <c r="E54" s="219" t="s">
        <v>100</v>
      </c>
      <c r="F54" s="219"/>
      <c r="G54" s="220"/>
      <c r="H54" s="221">
        <v>2010</v>
      </c>
      <c r="I54" s="220"/>
      <c r="J54" s="239">
        <f>SUM([1]rations!AG31:AG33)</f>
        <v>580146263.71793568</v>
      </c>
      <c r="K54" s="223" t="s">
        <v>131</v>
      </c>
      <c r="L54" s="236"/>
      <c r="M54" s="225" t="str">
        <f t="shared" si="1"/>
        <v>kg of protein</v>
      </c>
      <c r="N54" s="227"/>
      <c r="O54" s="227" t="s">
        <v>132</v>
      </c>
      <c r="P54" s="122"/>
      <c r="Q54" s="228"/>
      <c r="R54" s="229" t="str">
        <f t="shared" si="15"/>
        <v/>
      </c>
      <c r="S54" s="230" t="str">
        <f t="shared" si="2"/>
        <v/>
      </c>
      <c r="T54" s="231" t="str">
        <f t="shared" si="3"/>
        <v/>
      </c>
      <c r="U54" s="232" t="str">
        <f t="shared" si="4"/>
        <v>kg of protein</v>
      </c>
      <c r="V54" s="28"/>
      <c r="W54" s="28"/>
      <c r="Y54" s="91"/>
      <c r="AO54" s="91"/>
      <c r="AP54" s="28"/>
      <c r="AQ54" s="28"/>
      <c r="AR54" s="237"/>
      <c r="AS54" s="28"/>
      <c r="AT54" s="234" t="str">
        <f t="shared" si="16"/>
        <v/>
      </c>
      <c r="AU54" s="234" t="str">
        <f t="shared" si="5"/>
        <v/>
      </c>
      <c r="AV54" s="235"/>
      <c r="AW54" s="234" t="str">
        <f t="shared" si="17"/>
        <v/>
      </c>
      <c r="AX54" s="234" t="str">
        <f t="shared" si="6"/>
        <v/>
      </c>
      <c r="AY54" s="235"/>
      <c r="AZ54" s="234" t="str">
        <f t="shared" si="18"/>
        <v/>
      </c>
      <c r="BA54" s="234" t="str">
        <f t="shared" si="7"/>
        <v/>
      </c>
      <c r="BB54" s="235"/>
      <c r="BC54" s="234" t="str">
        <f t="shared" si="19"/>
        <v/>
      </c>
      <c r="BD54" s="234" t="str">
        <f t="shared" si="8"/>
        <v/>
      </c>
      <c r="BE54" s="235"/>
      <c r="BF54" s="234" t="str">
        <f t="shared" si="20"/>
        <v/>
      </c>
      <c r="BG54" s="234" t="str">
        <f t="shared" si="9"/>
        <v/>
      </c>
      <c r="BH54" s="235"/>
      <c r="BI54" s="234">
        <f t="shared" si="21"/>
        <v>580146263.71793568</v>
      </c>
      <c r="BJ54" s="234">
        <f t="shared" si="10"/>
        <v>580146263.71793568</v>
      </c>
      <c r="BK54" s="235"/>
      <c r="BL54" s="234" t="str">
        <f t="shared" si="22"/>
        <v/>
      </c>
      <c r="BM54" s="234" t="str">
        <f t="shared" si="11"/>
        <v/>
      </c>
      <c r="BN54" s="235"/>
      <c r="BO54" s="234" t="str">
        <f t="shared" si="23"/>
        <v/>
      </c>
      <c r="BP54" s="234" t="str">
        <f t="shared" si="12"/>
        <v/>
      </c>
      <c r="BQ54" s="235"/>
      <c r="BR54" s="234" t="str">
        <f t="shared" si="24"/>
        <v/>
      </c>
      <c r="BS54" s="234" t="str">
        <f t="shared" si="13"/>
        <v/>
      </c>
      <c r="BT54" s="235"/>
      <c r="BU54" s="234" t="str">
        <f t="shared" si="25"/>
        <v/>
      </c>
      <c r="BV54" s="234" t="str">
        <f t="shared" si="14"/>
        <v/>
      </c>
      <c r="BW54" s="235"/>
      <c r="BX54" s="91"/>
    </row>
    <row r="55" spans="1:76" s="55" customFormat="1" ht="15.75" x14ac:dyDescent="0.25">
      <c r="A55" s="195">
        <v>7</v>
      </c>
      <c r="B55" s="216"/>
      <c r="C55" s="217"/>
      <c r="D55" s="218"/>
      <c r="E55" s="219"/>
      <c r="F55" s="221"/>
      <c r="G55" s="240"/>
      <c r="H55" s="221"/>
      <c r="I55" s="240"/>
      <c r="J55" s="239"/>
      <c r="K55" s="223"/>
      <c r="L55" s="236"/>
      <c r="M55" s="225" t="str">
        <f t="shared" si="1"/>
        <v>kg of protein</v>
      </c>
      <c r="N55" s="227"/>
      <c r="O55" s="227"/>
      <c r="P55" s="122"/>
      <c r="Q55" s="228"/>
      <c r="R55" s="229" t="str">
        <f t="shared" si="15"/>
        <v/>
      </c>
      <c r="S55" s="230" t="str">
        <f t="shared" si="2"/>
        <v/>
      </c>
      <c r="T55" s="231" t="str">
        <f t="shared" si="3"/>
        <v/>
      </c>
      <c r="U55" s="232" t="str">
        <f t="shared" si="4"/>
        <v>kg of protein</v>
      </c>
      <c r="V55" s="28"/>
      <c r="W55" s="28"/>
      <c r="Y55" s="91"/>
      <c r="AO55" s="91"/>
      <c r="AP55" s="28"/>
      <c r="AQ55" s="28"/>
      <c r="AR55" s="237"/>
      <c r="AS55" s="28"/>
      <c r="AT55" s="234" t="str">
        <f t="shared" si="16"/>
        <v/>
      </c>
      <c r="AU55" s="234" t="str">
        <f t="shared" si="5"/>
        <v/>
      </c>
      <c r="AV55" s="235"/>
      <c r="AW55" s="234" t="str">
        <f t="shared" si="17"/>
        <v/>
      </c>
      <c r="AX55" s="234" t="str">
        <f t="shared" si="6"/>
        <v/>
      </c>
      <c r="AY55" s="235"/>
      <c r="AZ55" s="234" t="str">
        <f t="shared" si="18"/>
        <v/>
      </c>
      <c r="BA55" s="234" t="str">
        <f t="shared" si="7"/>
        <v/>
      </c>
      <c r="BB55" s="235"/>
      <c r="BC55" s="234" t="str">
        <f t="shared" si="19"/>
        <v/>
      </c>
      <c r="BD55" s="234" t="str">
        <f t="shared" si="8"/>
        <v/>
      </c>
      <c r="BE55" s="235"/>
      <c r="BF55" s="234" t="str">
        <f t="shared" si="20"/>
        <v/>
      </c>
      <c r="BG55" s="234" t="str">
        <f t="shared" si="9"/>
        <v/>
      </c>
      <c r="BH55" s="235"/>
      <c r="BI55" s="234" t="str">
        <f t="shared" si="21"/>
        <v/>
      </c>
      <c r="BJ55" s="234" t="str">
        <f t="shared" si="10"/>
        <v/>
      </c>
      <c r="BK55" s="235"/>
      <c r="BL55" s="234" t="str">
        <f t="shared" si="22"/>
        <v/>
      </c>
      <c r="BM55" s="234" t="str">
        <f t="shared" si="11"/>
        <v/>
      </c>
      <c r="BN55" s="235"/>
      <c r="BO55" s="234" t="str">
        <f t="shared" si="23"/>
        <v/>
      </c>
      <c r="BP55" s="234" t="str">
        <f t="shared" si="12"/>
        <v/>
      </c>
      <c r="BQ55" s="235"/>
      <c r="BR55" s="234" t="str">
        <f t="shared" si="24"/>
        <v/>
      </c>
      <c r="BS55" s="234" t="str">
        <f t="shared" si="13"/>
        <v/>
      </c>
      <c r="BT55" s="235"/>
      <c r="BU55" s="234" t="str">
        <f t="shared" si="25"/>
        <v/>
      </c>
      <c r="BV55" s="234" t="str">
        <f t="shared" si="14"/>
        <v/>
      </c>
      <c r="BW55" s="235"/>
      <c r="BX55" s="91"/>
    </row>
    <row r="56" spans="1:76" s="55" customFormat="1" x14ac:dyDescent="0.25">
      <c r="A56" s="195">
        <v>8</v>
      </c>
      <c r="B56" s="216" t="str">
        <f t="shared" ref="B56:B68" si="26">CONCATENATE(E56,": ",C56)</f>
        <v xml:space="preserve">: </v>
      </c>
      <c r="C56" s="217"/>
      <c r="D56" s="221"/>
      <c r="E56" s="221"/>
      <c r="F56" s="221"/>
      <c r="G56" s="240"/>
      <c r="H56" s="221"/>
      <c r="I56" s="240"/>
      <c r="J56" s="239"/>
      <c r="K56" s="241"/>
      <c r="L56" s="236"/>
      <c r="M56" s="225" t="str">
        <f t="shared" ref="M56:M68" si="27">FunctionalUnitOfMeasure</f>
        <v>kg of protein</v>
      </c>
      <c r="N56" s="227"/>
      <c r="O56" s="242"/>
      <c r="P56" s="122"/>
      <c r="Q56" s="228"/>
      <c r="R56" s="229" t="str">
        <f t="shared" si="15"/>
        <v/>
      </c>
      <c r="S56" s="230" t="str">
        <f t="shared" si="2"/>
        <v/>
      </c>
      <c r="T56" s="231" t="str">
        <f t="shared" si="3"/>
        <v/>
      </c>
      <c r="U56" s="232" t="str">
        <f t="shared" si="4"/>
        <v>kg of protein</v>
      </c>
      <c r="V56" s="28"/>
      <c r="W56" s="28"/>
      <c r="Y56" s="91"/>
      <c r="AO56" s="91"/>
      <c r="AP56" s="28"/>
      <c r="AQ56" s="28"/>
      <c r="AR56" s="237"/>
      <c r="AS56" s="28"/>
      <c r="AT56" s="234" t="str">
        <f t="shared" si="16"/>
        <v/>
      </c>
      <c r="AU56" s="234" t="str">
        <f t="shared" si="5"/>
        <v/>
      </c>
      <c r="AV56" s="235"/>
      <c r="AW56" s="234" t="str">
        <f t="shared" si="17"/>
        <v/>
      </c>
      <c r="AX56" s="234" t="str">
        <f t="shared" si="6"/>
        <v/>
      </c>
      <c r="AY56" s="235"/>
      <c r="AZ56" s="234" t="str">
        <f t="shared" si="18"/>
        <v/>
      </c>
      <c r="BA56" s="234" t="str">
        <f t="shared" si="7"/>
        <v/>
      </c>
      <c r="BB56" s="235"/>
      <c r="BC56" s="234" t="str">
        <f t="shared" si="19"/>
        <v/>
      </c>
      <c r="BD56" s="234" t="str">
        <f t="shared" si="8"/>
        <v/>
      </c>
      <c r="BE56" s="235"/>
      <c r="BF56" s="234" t="str">
        <f t="shared" si="20"/>
        <v/>
      </c>
      <c r="BG56" s="234" t="str">
        <f t="shared" si="9"/>
        <v/>
      </c>
      <c r="BH56" s="235"/>
      <c r="BI56" s="234" t="str">
        <f t="shared" si="21"/>
        <v/>
      </c>
      <c r="BJ56" s="234" t="str">
        <f t="shared" si="10"/>
        <v/>
      </c>
      <c r="BK56" s="235"/>
      <c r="BL56" s="234" t="str">
        <f t="shared" si="22"/>
        <v/>
      </c>
      <c r="BM56" s="234" t="str">
        <f t="shared" si="11"/>
        <v/>
      </c>
      <c r="BN56" s="235"/>
      <c r="BO56" s="234" t="str">
        <f t="shared" si="23"/>
        <v/>
      </c>
      <c r="BP56" s="234" t="str">
        <f t="shared" si="12"/>
        <v/>
      </c>
      <c r="BQ56" s="235"/>
      <c r="BR56" s="234" t="str">
        <f t="shared" si="24"/>
        <v/>
      </c>
      <c r="BS56" s="234" t="str">
        <f t="shared" si="13"/>
        <v/>
      </c>
      <c r="BT56" s="235"/>
      <c r="BU56" s="234" t="str">
        <f t="shared" si="25"/>
        <v/>
      </c>
      <c r="BV56" s="234" t="str">
        <f t="shared" si="14"/>
        <v/>
      </c>
      <c r="BW56" s="235"/>
      <c r="BX56" s="91"/>
    </row>
    <row r="57" spans="1:76" s="55" customFormat="1" x14ac:dyDescent="0.25">
      <c r="A57" s="195">
        <v>9</v>
      </c>
      <c r="B57" s="216" t="str">
        <f t="shared" si="26"/>
        <v xml:space="preserve">: </v>
      </c>
      <c r="C57" s="217"/>
      <c r="D57" s="221"/>
      <c r="E57" s="221"/>
      <c r="F57" s="221"/>
      <c r="G57" s="240"/>
      <c r="H57" s="221"/>
      <c r="I57" s="240"/>
      <c r="J57" s="243"/>
      <c r="K57" s="241"/>
      <c r="L57" s="236"/>
      <c r="M57" s="225" t="str">
        <f t="shared" si="27"/>
        <v>kg of protein</v>
      </c>
      <c r="N57" s="227"/>
      <c r="O57" s="242"/>
      <c r="P57" s="122"/>
      <c r="Q57" s="228"/>
      <c r="R57" s="229" t="str">
        <f t="shared" si="15"/>
        <v/>
      </c>
      <c r="S57" s="230" t="str">
        <f t="shared" si="2"/>
        <v/>
      </c>
      <c r="T57" s="231" t="str">
        <f t="shared" si="3"/>
        <v/>
      </c>
      <c r="U57" s="232" t="str">
        <f t="shared" si="4"/>
        <v>kg of protein</v>
      </c>
      <c r="V57" s="28"/>
      <c r="W57" s="28"/>
      <c r="Y57" s="91"/>
      <c r="AO57" s="91"/>
      <c r="AP57" s="28"/>
      <c r="AQ57" s="28"/>
      <c r="AR57" s="237"/>
      <c r="AS57" s="28"/>
      <c r="AT57" s="234" t="str">
        <f t="shared" si="16"/>
        <v/>
      </c>
      <c r="AU57" s="234" t="str">
        <f t="shared" si="5"/>
        <v/>
      </c>
      <c r="AV57" s="235"/>
      <c r="AW57" s="234" t="str">
        <f t="shared" si="17"/>
        <v/>
      </c>
      <c r="AX57" s="234" t="str">
        <f t="shared" si="6"/>
        <v/>
      </c>
      <c r="AY57" s="235"/>
      <c r="AZ57" s="234" t="str">
        <f t="shared" si="18"/>
        <v/>
      </c>
      <c r="BA57" s="234" t="str">
        <f t="shared" si="7"/>
        <v/>
      </c>
      <c r="BB57" s="235"/>
      <c r="BC57" s="234" t="str">
        <f t="shared" si="19"/>
        <v/>
      </c>
      <c r="BD57" s="234" t="str">
        <f t="shared" si="8"/>
        <v/>
      </c>
      <c r="BE57" s="235"/>
      <c r="BF57" s="234" t="str">
        <f t="shared" si="20"/>
        <v/>
      </c>
      <c r="BG57" s="234" t="str">
        <f t="shared" si="9"/>
        <v/>
      </c>
      <c r="BH57" s="235"/>
      <c r="BI57" s="234" t="str">
        <f t="shared" si="21"/>
        <v/>
      </c>
      <c r="BJ57" s="234" t="str">
        <f t="shared" si="10"/>
        <v/>
      </c>
      <c r="BK57" s="235"/>
      <c r="BL57" s="234" t="str">
        <f t="shared" si="22"/>
        <v/>
      </c>
      <c r="BM57" s="234" t="str">
        <f t="shared" si="11"/>
        <v/>
      </c>
      <c r="BN57" s="235"/>
      <c r="BO57" s="234" t="str">
        <f t="shared" si="23"/>
        <v/>
      </c>
      <c r="BP57" s="234" t="str">
        <f t="shared" si="12"/>
        <v/>
      </c>
      <c r="BQ57" s="235"/>
      <c r="BR57" s="234" t="str">
        <f t="shared" si="24"/>
        <v/>
      </c>
      <c r="BS57" s="234" t="str">
        <f t="shared" si="13"/>
        <v/>
      </c>
      <c r="BT57" s="235"/>
      <c r="BU57" s="234" t="str">
        <f t="shared" si="25"/>
        <v/>
      </c>
      <c r="BV57" s="234" t="str">
        <f t="shared" si="14"/>
        <v/>
      </c>
      <c r="BW57" s="235"/>
      <c r="BX57" s="91"/>
    </row>
    <row r="58" spans="1:76" s="55" customFormat="1" x14ac:dyDescent="0.25">
      <c r="A58" s="195">
        <v>10</v>
      </c>
      <c r="B58" s="216" t="str">
        <f t="shared" si="26"/>
        <v xml:space="preserve">: </v>
      </c>
      <c r="C58" s="217"/>
      <c r="D58" s="221"/>
      <c r="E58" s="221"/>
      <c r="F58" s="221"/>
      <c r="G58" s="240"/>
      <c r="H58" s="221"/>
      <c r="I58" s="240"/>
      <c r="J58" s="242"/>
      <c r="K58" s="241"/>
      <c r="L58" s="236"/>
      <c r="M58" s="225" t="str">
        <f t="shared" si="27"/>
        <v>kg of protein</v>
      </c>
      <c r="N58" s="227"/>
      <c r="O58" s="242"/>
      <c r="P58" s="122"/>
      <c r="Q58" s="228"/>
      <c r="R58" s="229" t="str">
        <f t="shared" si="15"/>
        <v/>
      </c>
      <c r="S58" s="230" t="str">
        <f t="shared" si="2"/>
        <v/>
      </c>
      <c r="T58" s="231" t="str">
        <f t="shared" si="3"/>
        <v/>
      </c>
      <c r="U58" s="232" t="str">
        <f t="shared" si="4"/>
        <v>kg of protein</v>
      </c>
      <c r="V58" s="28"/>
      <c r="W58" s="28"/>
      <c r="Y58" s="91"/>
      <c r="AO58" s="91"/>
      <c r="AP58" s="28"/>
      <c r="AQ58" s="28"/>
      <c r="AR58" s="237"/>
      <c r="AS58" s="28"/>
      <c r="AT58" s="234" t="str">
        <f t="shared" si="16"/>
        <v/>
      </c>
      <c r="AU58" s="234" t="str">
        <f t="shared" si="5"/>
        <v/>
      </c>
      <c r="AV58" s="235"/>
      <c r="AW58" s="234" t="str">
        <f t="shared" si="17"/>
        <v/>
      </c>
      <c r="AX58" s="234" t="str">
        <f t="shared" si="6"/>
        <v/>
      </c>
      <c r="AY58" s="235"/>
      <c r="AZ58" s="234" t="str">
        <f t="shared" si="18"/>
        <v/>
      </c>
      <c r="BA58" s="234" t="str">
        <f t="shared" si="7"/>
        <v/>
      </c>
      <c r="BB58" s="235"/>
      <c r="BC58" s="234" t="str">
        <f t="shared" si="19"/>
        <v/>
      </c>
      <c r="BD58" s="234" t="str">
        <f t="shared" si="8"/>
        <v/>
      </c>
      <c r="BE58" s="235"/>
      <c r="BF58" s="234" t="str">
        <f t="shared" si="20"/>
        <v/>
      </c>
      <c r="BG58" s="234" t="str">
        <f t="shared" si="9"/>
        <v/>
      </c>
      <c r="BH58" s="235"/>
      <c r="BI58" s="234" t="str">
        <f t="shared" si="21"/>
        <v/>
      </c>
      <c r="BJ58" s="234" t="str">
        <f t="shared" si="10"/>
        <v/>
      </c>
      <c r="BK58" s="235"/>
      <c r="BL58" s="234" t="str">
        <f t="shared" si="22"/>
        <v/>
      </c>
      <c r="BM58" s="234" t="str">
        <f t="shared" si="11"/>
        <v/>
      </c>
      <c r="BN58" s="235"/>
      <c r="BO58" s="234" t="str">
        <f t="shared" si="23"/>
        <v/>
      </c>
      <c r="BP58" s="234" t="str">
        <f t="shared" si="12"/>
        <v/>
      </c>
      <c r="BQ58" s="235"/>
      <c r="BR58" s="234" t="str">
        <f t="shared" si="24"/>
        <v/>
      </c>
      <c r="BS58" s="234" t="str">
        <f t="shared" si="13"/>
        <v/>
      </c>
      <c r="BT58" s="235"/>
      <c r="BU58" s="234" t="str">
        <f t="shared" si="25"/>
        <v/>
      </c>
      <c r="BV58" s="234" t="str">
        <f t="shared" si="14"/>
        <v/>
      </c>
      <c r="BW58" s="235"/>
      <c r="BX58" s="91"/>
    </row>
    <row r="59" spans="1:76" s="55" customFormat="1" x14ac:dyDescent="0.25">
      <c r="A59" s="195">
        <v>11</v>
      </c>
      <c r="B59" s="216" t="str">
        <f t="shared" si="26"/>
        <v xml:space="preserve">: </v>
      </c>
      <c r="C59" s="217"/>
      <c r="D59" s="221"/>
      <c r="E59" s="221"/>
      <c r="F59" s="221"/>
      <c r="G59" s="240"/>
      <c r="H59" s="221"/>
      <c r="I59" s="240"/>
      <c r="J59" s="243"/>
      <c r="K59" s="241"/>
      <c r="L59" s="236"/>
      <c r="M59" s="225" t="str">
        <f t="shared" si="27"/>
        <v>kg of protein</v>
      </c>
      <c r="N59" s="227"/>
      <c r="O59" s="242"/>
      <c r="P59" s="122"/>
      <c r="Q59" s="228"/>
      <c r="R59" s="229" t="str">
        <f t="shared" si="15"/>
        <v/>
      </c>
      <c r="S59" s="230" t="str">
        <f t="shared" si="2"/>
        <v/>
      </c>
      <c r="T59" s="231" t="str">
        <f t="shared" si="3"/>
        <v/>
      </c>
      <c r="U59" s="232" t="str">
        <f t="shared" si="4"/>
        <v>kg of protein</v>
      </c>
      <c r="V59" s="28"/>
      <c r="W59" s="28"/>
      <c r="Y59" s="91"/>
      <c r="AO59" s="91"/>
      <c r="AP59" s="28"/>
      <c r="AQ59" s="28"/>
      <c r="AR59" s="237"/>
      <c r="AS59" s="28"/>
      <c r="AT59" s="234" t="str">
        <f t="shared" si="16"/>
        <v/>
      </c>
      <c r="AU59" s="234" t="str">
        <f t="shared" si="5"/>
        <v/>
      </c>
      <c r="AV59" s="235"/>
      <c r="AW59" s="234" t="str">
        <f t="shared" si="17"/>
        <v/>
      </c>
      <c r="AX59" s="234" t="str">
        <f t="shared" si="6"/>
        <v/>
      </c>
      <c r="AY59" s="235"/>
      <c r="AZ59" s="234" t="str">
        <f t="shared" si="18"/>
        <v/>
      </c>
      <c r="BA59" s="234" t="str">
        <f t="shared" si="7"/>
        <v/>
      </c>
      <c r="BB59" s="235"/>
      <c r="BC59" s="234" t="str">
        <f t="shared" si="19"/>
        <v/>
      </c>
      <c r="BD59" s="234" t="str">
        <f t="shared" si="8"/>
        <v/>
      </c>
      <c r="BE59" s="235"/>
      <c r="BF59" s="234" t="str">
        <f t="shared" si="20"/>
        <v/>
      </c>
      <c r="BG59" s="234" t="str">
        <f t="shared" si="9"/>
        <v/>
      </c>
      <c r="BH59" s="235"/>
      <c r="BI59" s="234" t="str">
        <f t="shared" si="21"/>
        <v/>
      </c>
      <c r="BJ59" s="234" t="str">
        <f t="shared" si="10"/>
        <v/>
      </c>
      <c r="BK59" s="235"/>
      <c r="BL59" s="234" t="str">
        <f t="shared" si="22"/>
        <v/>
      </c>
      <c r="BM59" s="234" t="str">
        <f t="shared" si="11"/>
        <v/>
      </c>
      <c r="BN59" s="235"/>
      <c r="BO59" s="234" t="str">
        <f t="shared" si="23"/>
        <v/>
      </c>
      <c r="BP59" s="234" t="str">
        <f t="shared" si="12"/>
        <v/>
      </c>
      <c r="BQ59" s="235"/>
      <c r="BR59" s="234" t="str">
        <f t="shared" si="24"/>
        <v/>
      </c>
      <c r="BS59" s="234" t="str">
        <f t="shared" si="13"/>
        <v/>
      </c>
      <c r="BT59" s="235"/>
      <c r="BU59" s="234" t="str">
        <f t="shared" si="25"/>
        <v/>
      </c>
      <c r="BV59" s="234" t="str">
        <f t="shared" si="14"/>
        <v/>
      </c>
      <c r="BW59" s="235"/>
      <c r="BX59" s="91"/>
    </row>
    <row r="60" spans="1:76" s="55" customFormat="1" x14ac:dyDescent="0.25">
      <c r="A60" s="195">
        <v>12</v>
      </c>
      <c r="B60" s="216" t="str">
        <f t="shared" si="26"/>
        <v xml:space="preserve">: </v>
      </c>
      <c r="C60" s="217"/>
      <c r="D60" s="221"/>
      <c r="E60" s="221"/>
      <c r="F60" s="221"/>
      <c r="G60" s="240"/>
      <c r="H60" s="221"/>
      <c r="I60" s="240"/>
      <c r="J60" s="243"/>
      <c r="K60" s="241"/>
      <c r="L60" s="236"/>
      <c r="M60" s="225" t="str">
        <f t="shared" si="27"/>
        <v>kg of protein</v>
      </c>
      <c r="N60" s="227"/>
      <c r="O60" s="242"/>
      <c r="P60" s="122"/>
      <c r="Q60" s="228"/>
      <c r="R60" s="229" t="str">
        <f t="shared" si="15"/>
        <v/>
      </c>
      <c r="S60" s="230" t="str">
        <f t="shared" si="2"/>
        <v/>
      </c>
      <c r="T60" s="231" t="str">
        <f t="shared" si="3"/>
        <v/>
      </c>
      <c r="U60" s="232" t="str">
        <f t="shared" si="4"/>
        <v>kg of protein</v>
      </c>
      <c r="V60" s="28"/>
      <c r="W60" s="28"/>
      <c r="Y60" s="91"/>
      <c r="AO60" s="91"/>
      <c r="AP60" s="28"/>
      <c r="AQ60" s="28"/>
      <c r="AR60" s="237"/>
      <c r="AS60" s="28"/>
      <c r="AT60" s="234" t="str">
        <f t="shared" si="16"/>
        <v/>
      </c>
      <c r="AU60" s="234" t="str">
        <f t="shared" si="5"/>
        <v/>
      </c>
      <c r="AV60" s="235"/>
      <c r="AW60" s="234" t="str">
        <f t="shared" si="17"/>
        <v/>
      </c>
      <c r="AX60" s="234" t="str">
        <f t="shared" si="6"/>
        <v/>
      </c>
      <c r="AY60" s="235"/>
      <c r="AZ60" s="234" t="str">
        <f t="shared" si="18"/>
        <v/>
      </c>
      <c r="BA60" s="234" t="str">
        <f t="shared" si="7"/>
        <v/>
      </c>
      <c r="BB60" s="235"/>
      <c r="BC60" s="234" t="str">
        <f t="shared" si="19"/>
        <v/>
      </c>
      <c r="BD60" s="234" t="str">
        <f t="shared" si="8"/>
        <v/>
      </c>
      <c r="BE60" s="235"/>
      <c r="BF60" s="234" t="str">
        <f t="shared" si="20"/>
        <v/>
      </c>
      <c r="BG60" s="234" t="str">
        <f t="shared" si="9"/>
        <v/>
      </c>
      <c r="BH60" s="235"/>
      <c r="BI60" s="234" t="str">
        <f t="shared" si="21"/>
        <v/>
      </c>
      <c r="BJ60" s="234" t="str">
        <f t="shared" si="10"/>
        <v/>
      </c>
      <c r="BK60" s="235"/>
      <c r="BL60" s="234" t="str">
        <f t="shared" si="22"/>
        <v/>
      </c>
      <c r="BM60" s="234" t="str">
        <f t="shared" si="11"/>
        <v/>
      </c>
      <c r="BN60" s="235"/>
      <c r="BO60" s="234" t="str">
        <f t="shared" si="23"/>
        <v/>
      </c>
      <c r="BP60" s="234" t="str">
        <f t="shared" si="12"/>
        <v/>
      </c>
      <c r="BQ60" s="235"/>
      <c r="BR60" s="234" t="str">
        <f t="shared" si="24"/>
        <v/>
      </c>
      <c r="BS60" s="234" t="str">
        <f t="shared" si="13"/>
        <v/>
      </c>
      <c r="BT60" s="235"/>
      <c r="BU60" s="234" t="str">
        <f t="shared" si="25"/>
        <v/>
      </c>
      <c r="BV60" s="234" t="str">
        <f t="shared" si="14"/>
        <v/>
      </c>
      <c r="BW60" s="235"/>
      <c r="BX60" s="91"/>
    </row>
    <row r="61" spans="1:76" s="55" customFormat="1" x14ac:dyDescent="0.25">
      <c r="A61" s="195">
        <v>13</v>
      </c>
      <c r="B61" s="216" t="str">
        <f t="shared" si="26"/>
        <v xml:space="preserve">: </v>
      </c>
      <c r="C61" s="217"/>
      <c r="D61" s="221"/>
      <c r="E61" s="221"/>
      <c r="F61" s="221"/>
      <c r="G61" s="240"/>
      <c r="H61" s="221"/>
      <c r="I61" s="240"/>
      <c r="J61" s="242"/>
      <c r="K61" s="241"/>
      <c r="L61" s="236"/>
      <c r="M61" s="225" t="str">
        <f t="shared" si="27"/>
        <v>kg of protein</v>
      </c>
      <c r="N61" s="227"/>
      <c r="O61" s="242"/>
      <c r="P61" s="122"/>
      <c r="Q61" s="228"/>
      <c r="R61" s="229" t="str">
        <f t="shared" si="15"/>
        <v/>
      </c>
      <c r="S61" s="230" t="str">
        <f t="shared" si="2"/>
        <v/>
      </c>
      <c r="T61" s="231" t="str">
        <f t="shared" si="3"/>
        <v/>
      </c>
      <c r="U61" s="232" t="str">
        <f t="shared" si="4"/>
        <v>kg of protein</v>
      </c>
      <c r="V61" s="28"/>
      <c r="W61" s="28"/>
      <c r="Y61" s="91"/>
      <c r="AO61" s="91"/>
      <c r="AP61" s="28"/>
      <c r="AQ61" s="28"/>
      <c r="AR61" s="237"/>
      <c r="AS61" s="28"/>
      <c r="AT61" s="234" t="str">
        <f t="shared" si="16"/>
        <v/>
      </c>
      <c r="AU61" s="234" t="str">
        <f t="shared" si="5"/>
        <v/>
      </c>
      <c r="AV61" s="235"/>
      <c r="AW61" s="234" t="str">
        <f t="shared" si="17"/>
        <v/>
      </c>
      <c r="AX61" s="234" t="str">
        <f t="shared" si="6"/>
        <v/>
      </c>
      <c r="AY61" s="235"/>
      <c r="AZ61" s="234" t="str">
        <f t="shared" si="18"/>
        <v/>
      </c>
      <c r="BA61" s="234" t="str">
        <f t="shared" si="7"/>
        <v/>
      </c>
      <c r="BB61" s="235"/>
      <c r="BC61" s="234" t="str">
        <f t="shared" si="19"/>
        <v/>
      </c>
      <c r="BD61" s="234" t="str">
        <f t="shared" si="8"/>
        <v/>
      </c>
      <c r="BE61" s="235"/>
      <c r="BF61" s="234" t="str">
        <f t="shared" si="20"/>
        <v/>
      </c>
      <c r="BG61" s="234" t="str">
        <f t="shared" si="9"/>
        <v/>
      </c>
      <c r="BH61" s="235"/>
      <c r="BI61" s="234" t="str">
        <f t="shared" si="21"/>
        <v/>
      </c>
      <c r="BJ61" s="234" t="str">
        <f t="shared" si="10"/>
        <v/>
      </c>
      <c r="BK61" s="235"/>
      <c r="BL61" s="234" t="str">
        <f t="shared" si="22"/>
        <v/>
      </c>
      <c r="BM61" s="234" t="str">
        <f t="shared" si="11"/>
        <v/>
      </c>
      <c r="BN61" s="235"/>
      <c r="BO61" s="234" t="str">
        <f t="shared" si="23"/>
        <v/>
      </c>
      <c r="BP61" s="234" t="str">
        <f t="shared" si="12"/>
        <v/>
      </c>
      <c r="BQ61" s="235"/>
      <c r="BR61" s="234" t="str">
        <f t="shared" si="24"/>
        <v/>
      </c>
      <c r="BS61" s="234" t="str">
        <f t="shared" si="13"/>
        <v/>
      </c>
      <c r="BT61" s="235"/>
      <c r="BU61" s="234" t="str">
        <f t="shared" si="25"/>
        <v/>
      </c>
      <c r="BV61" s="234" t="str">
        <f t="shared" si="14"/>
        <v/>
      </c>
      <c r="BW61" s="235"/>
      <c r="BX61" s="91"/>
    </row>
    <row r="62" spans="1:76" s="55" customFormat="1" x14ac:dyDescent="0.25">
      <c r="A62" s="195">
        <v>14</v>
      </c>
      <c r="B62" s="216" t="str">
        <f t="shared" si="26"/>
        <v xml:space="preserve">: </v>
      </c>
      <c r="C62" s="217"/>
      <c r="D62" s="221"/>
      <c r="E62" s="221"/>
      <c r="F62" s="221"/>
      <c r="G62" s="240"/>
      <c r="H62" s="221"/>
      <c r="I62" s="240"/>
      <c r="J62" s="243"/>
      <c r="K62" s="241"/>
      <c r="L62" s="236"/>
      <c r="M62" s="225" t="str">
        <f t="shared" si="27"/>
        <v>kg of protein</v>
      </c>
      <c r="N62" s="227"/>
      <c r="O62" s="242"/>
      <c r="P62" s="122"/>
      <c r="Q62" s="228"/>
      <c r="R62" s="229" t="str">
        <f t="shared" si="15"/>
        <v/>
      </c>
      <c r="S62" s="230" t="str">
        <f t="shared" si="2"/>
        <v/>
      </c>
      <c r="T62" s="231" t="str">
        <f t="shared" si="3"/>
        <v/>
      </c>
      <c r="U62" s="232" t="str">
        <f t="shared" si="4"/>
        <v>kg of protein</v>
      </c>
      <c r="V62" s="28"/>
      <c r="W62" s="28"/>
      <c r="Y62" s="91"/>
      <c r="AO62" s="91"/>
      <c r="AP62" s="28"/>
      <c r="AQ62" s="28"/>
      <c r="AR62" s="237"/>
      <c r="AS62" s="28"/>
      <c r="AT62" s="234" t="str">
        <f t="shared" si="16"/>
        <v/>
      </c>
      <c r="AU62" s="234" t="str">
        <f t="shared" si="5"/>
        <v/>
      </c>
      <c r="AV62" s="235"/>
      <c r="AW62" s="234" t="str">
        <f t="shared" si="17"/>
        <v/>
      </c>
      <c r="AX62" s="234" t="str">
        <f t="shared" si="6"/>
        <v/>
      </c>
      <c r="AY62" s="235"/>
      <c r="AZ62" s="234" t="str">
        <f t="shared" si="18"/>
        <v/>
      </c>
      <c r="BA62" s="234" t="str">
        <f t="shared" si="7"/>
        <v/>
      </c>
      <c r="BB62" s="235"/>
      <c r="BC62" s="234" t="str">
        <f t="shared" si="19"/>
        <v/>
      </c>
      <c r="BD62" s="234" t="str">
        <f t="shared" si="8"/>
        <v/>
      </c>
      <c r="BE62" s="235"/>
      <c r="BF62" s="234" t="str">
        <f t="shared" si="20"/>
        <v/>
      </c>
      <c r="BG62" s="234" t="str">
        <f t="shared" si="9"/>
        <v/>
      </c>
      <c r="BH62" s="235"/>
      <c r="BI62" s="234" t="str">
        <f t="shared" si="21"/>
        <v/>
      </c>
      <c r="BJ62" s="234" t="str">
        <f t="shared" si="10"/>
        <v/>
      </c>
      <c r="BK62" s="235"/>
      <c r="BL62" s="234" t="str">
        <f t="shared" si="22"/>
        <v/>
      </c>
      <c r="BM62" s="234" t="str">
        <f t="shared" si="11"/>
        <v/>
      </c>
      <c r="BN62" s="235"/>
      <c r="BO62" s="234" t="str">
        <f t="shared" si="23"/>
        <v/>
      </c>
      <c r="BP62" s="234" t="str">
        <f t="shared" si="12"/>
        <v/>
      </c>
      <c r="BQ62" s="235"/>
      <c r="BR62" s="234" t="str">
        <f t="shared" si="24"/>
        <v/>
      </c>
      <c r="BS62" s="234" t="str">
        <f t="shared" si="13"/>
        <v/>
      </c>
      <c r="BT62" s="235"/>
      <c r="BU62" s="234" t="str">
        <f t="shared" si="25"/>
        <v/>
      </c>
      <c r="BV62" s="234" t="str">
        <f t="shared" si="14"/>
        <v/>
      </c>
      <c r="BW62" s="235"/>
      <c r="BX62" s="91"/>
    </row>
    <row r="63" spans="1:76" s="55" customFormat="1" x14ac:dyDescent="0.25">
      <c r="A63" s="195">
        <v>15</v>
      </c>
      <c r="B63" s="216" t="str">
        <f t="shared" si="26"/>
        <v xml:space="preserve">: </v>
      </c>
      <c r="C63" s="217"/>
      <c r="D63" s="221"/>
      <c r="E63" s="221"/>
      <c r="F63" s="221"/>
      <c r="G63" s="240"/>
      <c r="H63" s="221"/>
      <c r="I63" s="240"/>
      <c r="J63" s="243"/>
      <c r="K63" s="241"/>
      <c r="L63" s="236"/>
      <c r="M63" s="225" t="str">
        <f t="shared" si="27"/>
        <v>kg of protein</v>
      </c>
      <c r="N63" s="227"/>
      <c r="O63" s="242"/>
      <c r="P63" s="122"/>
      <c r="Q63" s="228"/>
      <c r="R63" s="229" t="str">
        <f t="shared" si="15"/>
        <v/>
      </c>
      <c r="S63" s="230" t="str">
        <f t="shared" si="2"/>
        <v/>
      </c>
      <c r="T63" s="231" t="str">
        <f t="shared" si="3"/>
        <v/>
      </c>
      <c r="U63" s="232" t="str">
        <f t="shared" si="4"/>
        <v>kg of protein</v>
      </c>
      <c r="V63" s="28"/>
      <c r="W63" s="28"/>
      <c r="Y63" s="91"/>
      <c r="AO63" s="91"/>
      <c r="AP63" s="28"/>
      <c r="AQ63" s="28"/>
      <c r="AR63" s="237"/>
      <c r="AS63" s="28"/>
      <c r="AT63" s="234" t="str">
        <f t="shared" si="16"/>
        <v/>
      </c>
      <c r="AU63" s="234" t="str">
        <f t="shared" si="5"/>
        <v/>
      </c>
      <c r="AV63" s="235"/>
      <c r="AW63" s="234" t="str">
        <f t="shared" si="17"/>
        <v/>
      </c>
      <c r="AX63" s="234" t="str">
        <f t="shared" si="6"/>
        <v/>
      </c>
      <c r="AY63" s="235"/>
      <c r="AZ63" s="234" t="str">
        <f t="shared" si="18"/>
        <v/>
      </c>
      <c r="BA63" s="234" t="str">
        <f t="shared" si="7"/>
        <v/>
      </c>
      <c r="BB63" s="235"/>
      <c r="BC63" s="234" t="str">
        <f t="shared" si="19"/>
        <v/>
      </c>
      <c r="BD63" s="234" t="str">
        <f t="shared" si="8"/>
        <v/>
      </c>
      <c r="BE63" s="235"/>
      <c r="BF63" s="234" t="str">
        <f t="shared" si="20"/>
        <v/>
      </c>
      <c r="BG63" s="234" t="str">
        <f t="shared" si="9"/>
        <v/>
      </c>
      <c r="BH63" s="235"/>
      <c r="BI63" s="234" t="str">
        <f t="shared" si="21"/>
        <v/>
      </c>
      <c r="BJ63" s="234" t="str">
        <f t="shared" si="10"/>
        <v/>
      </c>
      <c r="BK63" s="235"/>
      <c r="BL63" s="234" t="str">
        <f t="shared" si="22"/>
        <v/>
      </c>
      <c r="BM63" s="234" t="str">
        <f t="shared" si="11"/>
        <v/>
      </c>
      <c r="BN63" s="235"/>
      <c r="BO63" s="234" t="str">
        <f t="shared" si="23"/>
        <v/>
      </c>
      <c r="BP63" s="234" t="str">
        <f t="shared" si="12"/>
        <v/>
      </c>
      <c r="BQ63" s="235"/>
      <c r="BR63" s="234" t="str">
        <f t="shared" si="24"/>
        <v/>
      </c>
      <c r="BS63" s="234" t="str">
        <f t="shared" si="13"/>
        <v/>
      </c>
      <c r="BT63" s="235"/>
      <c r="BU63" s="234" t="str">
        <f t="shared" si="25"/>
        <v/>
      </c>
      <c r="BV63" s="234" t="str">
        <f t="shared" si="14"/>
        <v/>
      </c>
      <c r="BW63" s="235"/>
      <c r="BX63" s="91"/>
    </row>
    <row r="64" spans="1:76" s="55" customFormat="1" x14ac:dyDescent="0.25">
      <c r="A64" s="195">
        <v>16</v>
      </c>
      <c r="B64" s="216" t="str">
        <f t="shared" si="26"/>
        <v xml:space="preserve">: </v>
      </c>
      <c r="C64" s="217"/>
      <c r="D64" s="221"/>
      <c r="E64" s="221"/>
      <c r="F64" s="221"/>
      <c r="G64" s="240"/>
      <c r="H64" s="221"/>
      <c r="I64" s="240"/>
      <c r="J64" s="242"/>
      <c r="K64" s="241"/>
      <c r="L64" s="236"/>
      <c r="M64" s="225" t="str">
        <f t="shared" si="27"/>
        <v>kg of protein</v>
      </c>
      <c r="N64" s="227"/>
      <c r="O64" s="242"/>
      <c r="P64" s="122"/>
      <c r="Q64" s="228"/>
      <c r="R64" s="229" t="str">
        <f t="shared" si="15"/>
        <v/>
      </c>
      <c r="S64" s="230" t="str">
        <f t="shared" si="2"/>
        <v/>
      </c>
      <c r="T64" s="231" t="str">
        <f t="shared" si="3"/>
        <v/>
      </c>
      <c r="U64" s="232" t="str">
        <f t="shared" si="4"/>
        <v>kg of protein</v>
      </c>
      <c r="V64" s="28"/>
      <c r="W64" s="28"/>
      <c r="Y64" s="91"/>
      <c r="AO64" s="91"/>
      <c r="AP64" s="28"/>
      <c r="AQ64" s="28"/>
      <c r="AR64" s="237"/>
      <c r="AS64" s="28"/>
      <c r="AT64" s="234" t="str">
        <f t="shared" si="16"/>
        <v/>
      </c>
      <c r="AU64" s="234" t="str">
        <f t="shared" si="5"/>
        <v/>
      </c>
      <c r="AV64" s="235"/>
      <c r="AW64" s="234" t="str">
        <f t="shared" si="17"/>
        <v/>
      </c>
      <c r="AX64" s="234" t="str">
        <f t="shared" si="6"/>
        <v/>
      </c>
      <c r="AY64" s="235"/>
      <c r="AZ64" s="234" t="str">
        <f t="shared" si="18"/>
        <v/>
      </c>
      <c r="BA64" s="234" t="str">
        <f t="shared" si="7"/>
        <v/>
      </c>
      <c r="BB64" s="235"/>
      <c r="BC64" s="234" t="str">
        <f t="shared" si="19"/>
        <v/>
      </c>
      <c r="BD64" s="234" t="str">
        <f t="shared" si="8"/>
        <v/>
      </c>
      <c r="BE64" s="235"/>
      <c r="BF64" s="234" t="str">
        <f t="shared" si="20"/>
        <v/>
      </c>
      <c r="BG64" s="234" t="str">
        <f t="shared" si="9"/>
        <v/>
      </c>
      <c r="BH64" s="235"/>
      <c r="BI64" s="234" t="str">
        <f t="shared" si="21"/>
        <v/>
      </c>
      <c r="BJ64" s="234" t="str">
        <f t="shared" si="10"/>
        <v/>
      </c>
      <c r="BK64" s="235"/>
      <c r="BL64" s="234" t="str">
        <f t="shared" si="22"/>
        <v/>
      </c>
      <c r="BM64" s="234" t="str">
        <f t="shared" si="11"/>
        <v/>
      </c>
      <c r="BN64" s="235"/>
      <c r="BO64" s="234" t="str">
        <f t="shared" si="23"/>
        <v/>
      </c>
      <c r="BP64" s="234" t="str">
        <f t="shared" si="12"/>
        <v/>
      </c>
      <c r="BQ64" s="235"/>
      <c r="BR64" s="234" t="str">
        <f t="shared" si="24"/>
        <v/>
      </c>
      <c r="BS64" s="234" t="str">
        <f t="shared" si="13"/>
        <v/>
      </c>
      <c r="BT64" s="235"/>
      <c r="BU64" s="234" t="str">
        <f t="shared" si="25"/>
        <v/>
      </c>
      <c r="BV64" s="234" t="str">
        <f t="shared" si="14"/>
        <v/>
      </c>
      <c r="BW64" s="235"/>
      <c r="BX64" s="91"/>
    </row>
    <row r="65" spans="1:76" s="55" customFormat="1" x14ac:dyDescent="0.25">
      <c r="A65" s="195">
        <v>17</v>
      </c>
      <c r="B65" s="216" t="str">
        <f t="shared" si="26"/>
        <v xml:space="preserve">: </v>
      </c>
      <c r="C65" s="217"/>
      <c r="D65" s="221"/>
      <c r="E65" s="221"/>
      <c r="F65" s="221"/>
      <c r="G65" s="240"/>
      <c r="H65" s="221"/>
      <c r="I65" s="240"/>
      <c r="J65" s="243"/>
      <c r="K65" s="241"/>
      <c r="L65" s="236"/>
      <c r="M65" s="225" t="str">
        <f t="shared" si="27"/>
        <v>kg of protein</v>
      </c>
      <c r="N65" s="227"/>
      <c r="O65" s="242"/>
      <c r="P65" s="122"/>
      <c r="Q65" s="228"/>
      <c r="R65" s="229" t="str">
        <f t="shared" si="15"/>
        <v/>
      </c>
      <c r="S65" s="230" t="str">
        <f t="shared" si="2"/>
        <v/>
      </c>
      <c r="T65" s="231" t="str">
        <f t="shared" si="3"/>
        <v/>
      </c>
      <c r="U65" s="232" t="str">
        <f t="shared" si="4"/>
        <v>kg of protein</v>
      </c>
      <c r="V65" s="28"/>
      <c r="W65" s="28"/>
      <c r="Y65" s="91"/>
      <c r="AO65" s="91"/>
      <c r="AP65" s="28"/>
      <c r="AQ65" s="28"/>
      <c r="AR65" s="237"/>
      <c r="AS65" s="28"/>
      <c r="AT65" s="234" t="str">
        <f t="shared" si="16"/>
        <v/>
      </c>
      <c r="AU65" s="234" t="str">
        <f t="shared" si="5"/>
        <v/>
      </c>
      <c r="AV65" s="235"/>
      <c r="AW65" s="234" t="str">
        <f t="shared" si="17"/>
        <v/>
      </c>
      <c r="AX65" s="234" t="str">
        <f t="shared" si="6"/>
        <v/>
      </c>
      <c r="AY65" s="235"/>
      <c r="AZ65" s="234" t="str">
        <f t="shared" si="18"/>
        <v/>
      </c>
      <c r="BA65" s="234" t="str">
        <f t="shared" si="7"/>
        <v/>
      </c>
      <c r="BB65" s="235"/>
      <c r="BC65" s="234" t="str">
        <f t="shared" si="19"/>
        <v/>
      </c>
      <c r="BD65" s="234" t="str">
        <f t="shared" si="8"/>
        <v/>
      </c>
      <c r="BE65" s="235"/>
      <c r="BF65" s="234" t="str">
        <f t="shared" si="20"/>
        <v/>
      </c>
      <c r="BG65" s="234" t="str">
        <f t="shared" si="9"/>
        <v/>
      </c>
      <c r="BH65" s="235"/>
      <c r="BI65" s="234" t="str">
        <f t="shared" si="21"/>
        <v/>
      </c>
      <c r="BJ65" s="234" t="str">
        <f t="shared" si="10"/>
        <v/>
      </c>
      <c r="BK65" s="235"/>
      <c r="BL65" s="234" t="str">
        <f t="shared" si="22"/>
        <v/>
      </c>
      <c r="BM65" s="234" t="str">
        <f t="shared" si="11"/>
        <v/>
      </c>
      <c r="BN65" s="235"/>
      <c r="BO65" s="234" t="str">
        <f t="shared" si="23"/>
        <v/>
      </c>
      <c r="BP65" s="234" t="str">
        <f t="shared" si="12"/>
        <v/>
      </c>
      <c r="BQ65" s="235"/>
      <c r="BR65" s="234" t="str">
        <f t="shared" si="24"/>
        <v/>
      </c>
      <c r="BS65" s="234" t="str">
        <f t="shared" si="13"/>
        <v/>
      </c>
      <c r="BT65" s="235"/>
      <c r="BU65" s="234" t="str">
        <f t="shared" si="25"/>
        <v/>
      </c>
      <c r="BV65" s="234" t="str">
        <f t="shared" si="14"/>
        <v/>
      </c>
      <c r="BW65" s="235"/>
      <c r="BX65" s="91"/>
    </row>
    <row r="66" spans="1:76" s="55" customFormat="1" x14ac:dyDescent="0.25">
      <c r="A66" s="195">
        <v>18</v>
      </c>
      <c r="B66" s="216" t="str">
        <f t="shared" si="26"/>
        <v xml:space="preserve">: </v>
      </c>
      <c r="C66" s="217"/>
      <c r="D66" s="221"/>
      <c r="E66" s="221"/>
      <c r="F66" s="221"/>
      <c r="G66" s="240"/>
      <c r="H66" s="221"/>
      <c r="I66" s="240"/>
      <c r="J66" s="243"/>
      <c r="K66" s="241"/>
      <c r="L66" s="236"/>
      <c r="M66" s="225" t="str">
        <f t="shared" si="27"/>
        <v>kg of protein</v>
      </c>
      <c r="N66" s="227"/>
      <c r="O66" s="242"/>
      <c r="P66" s="122"/>
      <c r="Q66" s="228"/>
      <c r="R66" s="229" t="str">
        <f t="shared" si="15"/>
        <v/>
      </c>
      <c r="S66" s="230" t="str">
        <f t="shared" si="2"/>
        <v/>
      </c>
      <c r="T66" s="231" t="str">
        <f t="shared" si="3"/>
        <v/>
      </c>
      <c r="U66" s="232" t="str">
        <f t="shared" si="4"/>
        <v>kg of protein</v>
      </c>
      <c r="V66" s="28"/>
      <c r="W66" s="28"/>
      <c r="Y66" s="91"/>
      <c r="AO66" s="91"/>
      <c r="AP66" s="28"/>
      <c r="AQ66" s="28"/>
      <c r="AR66" s="237"/>
      <c r="AS66" s="28"/>
      <c r="AT66" s="234" t="str">
        <f t="shared" si="16"/>
        <v/>
      </c>
      <c r="AU66" s="234" t="str">
        <f t="shared" si="5"/>
        <v/>
      </c>
      <c r="AV66" s="235"/>
      <c r="AW66" s="234" t="str">
        <f t="shared" si="17"/>
        <v/>
      </c>
      <c r="AX66" s="234" t="str">
        <f t="shared" si="6"/>
        <v/>
      </c>
      <c r="AY66" s="235"/>
      <c r="AZ66" s="234" t="str">
        <f t="shared" si="18"/>
        <v/>
      </c>
      <c r="BA66" s="234" t="str">
        <f t="shared" si="7"/>
        <v/>
      </c>
      <c r="BB66" s="235"/>
      <c r="BC66" s="234" t="str">
        <f t="shared" si="19"/>
        <v/>
      </c>
      <c r="BD66" s="234" t="str">
        <f t="shared" si="8"/>
        <v/>
      </c>
      <c r="BE66" s="235"/>
      <c r="BF66" s="234" t="str">
        <f t="shared" si="20"/>
        <v/>
      </c>
      <c r="BG66" s="234" t="str">
        <f t="shared" si="9"/>
        <v/>
      </c>
      <c r="BH66" s="235"/>
      <c r="BI66" s="234" t="str">
        <f t="shared" si="21"/>
        <v/>
      </c>
      <c r="BJ66" s="234" t="str">
        <f t="shared" si="10"/>
        <v/>
      </c>
      <c r="BK66" s="235"/>
      <c r="BL66" s="234" t="str">
        <f t="shared" si="22"/>
        <v/>
      </c>
      <c r="BM66" s="234" t="str">
        <f t="shared" si="11"/>
        <v/>
      </c>
      <c r="BN66" s="235"/>
      <c r="BO66" s="234" t="str">
        <f t="shared" si="23"/>
        <v/>
      </c>
      <c r="BP66" s="234" t="str">
        <f t="shared" si="12"/>
        <v/>
      </c>
      <c r="BQ66" s="235"/>
      <c r="BR66" s="234" t="str">
        <f t="shared" si="24"/>
        <v/>
      </c>
      <c r="BS66" s="234" t="str">
        <f t="shared" si="13"/>
        <v/>
      </c>
      <c r="BT66" s="235"/>
      <c r="BU66" s="234" t="str">
        <f t="shared" si="25"/>
        <v/>
      </c>
      <c r="BV66" s="234" t="str">
        <f t="shared" si="14"/>
        <v/>
      </c>
      <c r="BW66" s="235"/>
      <c r="BX66" s="91"/>
    </row>
    <row r="67" spans="1:76" s="55" customFormat="1" x14ac:dyDescent="0.25">
      <c r="A67" s="195">
        <v>19</v>
      </c>
      <c r="B67" s="216" t="str">
        <f t="shared" si="26"/>
        <v xml:space="preserve">: </v>
      </c>
      <c r="C67" s="217"/>
      <c r="D67" s="221"/>
      <c r="E67" s="221"/>
      <c r="F67" s="221"/>
      <c r="G67" s="240"/>
      <c r="H67" s="221"/>
      <c r="I67" s="240"/>
      <c r="J67" s="242"/>
      <c r="K67" s="241"/>
      <c r="L67" s="236"/>
      <c r="M67" s="225" t="str">
        <f t="shared" si="27"/>
        <v>kg of protein</v>
      </c>
      <c r="N67" s="227"/>
      <c r="O67" s="242"/>
      <c r="P67" s="122"/>
      <c r="Q67" s="228"/>
      <c r="R67" s="229" t="str">
        <f t="shared" si="15"/>
        <v/>
      </c>
      <c r="S67" s="230" t="str">
        <f t="shared" si="2"/>
        <v/>
      </c>
      <c r="T67" s="231" t="str">
        <f t="shared" si="3"/>
        <v/>
      </c>
      <c r="U67" s="232" t="str">
        <f t="shared" si="4"/>
        <v>kg of protein</v>
      </c>
      <c r="V67" s="28"/>
      <c r="W67" s="28"/>
      <c r="Y67" s="91"/>
      <c r="AO67" s="91"/>
      <c r="AP67" s="28"/>
      <c r="AQ67" s="28"/>
      <c r="AR67" s="237"/>
      <c r="AS67" s="28"/>
      <c r="AT67" s="234" t="str">
        <f t="shared" si="16"/>
        <v/>
      </c>
      <c r="AU67" s="234" t="str">
        <f t="shared" si="5"/>
        <v/>
      </c>
      <c r="AV67" s="235"/>
      <c r="AW67" s="234" t="str">
        <f t="shared" si="17"/>
        <v/>
      </c>
      <c r="AX67" s="234" t="str">
        <f t="shared" si="6"/>
        <v/>
      </c>
      <c r="AY67" s="235"/>
      <c r="AZ67" s="234" t="str">
        <f t="shared" si="18"/>
        <v/>
      </c>
      <c r="BA67" s="234" t="str">
        <f t="shared" si="7"/>
        <v/>
      </c>
      <c r="BB67" s="235"/>
      <c r="BC67" s="234" t="str">
        <f t="shared" si="19"/>
        <v/>
      </c>
      <c r="BD67" s="234" t="str">
        <f t="shared" si="8"/>
        <v/>
      </c>
      <c r="BE67" s="235"/>
      <c r="BF67" s="234" t="str">
        <f t="shared" si="20"/>
        <v/>
      </c>
      <c r="BG67" s="234" t="str">
        <f t="shared" si="9"/>
        <v/>
      </c>
      <c r="BH67" s="235"/>
      <c r="BI67" s="234" t="str">
        <f t="shared" si="21"/>
        <v/>
      </c>
      <c r="BJ67" s="234" t="str">
        <f t="shared" si="10"/>
        <v/>
      </c>
      <c r="BK67" s="235"/>
      <c r="BL67" s="234" t="str">
        <f t="shared" si="22"/>
        <v/>
      </c>
      <c r="BM67" s="234" t="str">
        <f t="shared" si="11"/>
        <v/>
      </c>
      <c r="BN67" s="235"/>
      <c r="BO67" s="234" t="str">
        <f t="shared" si="23"/>
        <v/>
      </c>
      <c r="BP67" s="234" t="str">
        <f t="shared" si="12"/>
        <v/>
      </c>
      <c r="BQ67" s="235"/>
      <c r="BR67" s="234" t="str">
        <f t="shared" si="24"/>
        <v/>
      </c>
      <c r="BS67" s="234" t="str">
        <f t="shared" si="13"/>
        <v/>
      </c>
      <c r="BT67" s="235"/>
      <c r="BU67" s="234" t="str">
        <f t="shared" si="25"/>
        <v/>
      </c>
      <c r="BV67" s="234" t="str">
        <f t="shared" si="14"/>
        <v/>
      </c>
      <c r="BW67" s="235"/>
      <c r="BX67" s="91"/>
    </row>
    <row r="68" spans="1:76" s="55" customFormat="1" ht="15.75" thickBot="1" x14ac:dyDescent="0.3">
      <c r="A68" s="195">
        <v>20</v>
      </c>
      <c r="B68" s="216" t="str">
        <f t="shared" si="26"/>
        <v xml:space="preserve">: </v>
      </c>
      <c r="C68" s="217"/>
      <c r="D68" s="221"/>
      <c r="E68" s="221"/>
      <c r="F68" s="221"/>
      <c r="G68" s="240"/>
      <c r="H68" s="221"/>
      <c r="I68" s="240"/>
      <c r="J68" s="243"/>
      <c r="K68" s="241"/>
      <c r="L68" s="236"/>
      <c r="M68" s="225" t="str">
        <f t="shared" si="27"/>
        <v>kg of protein</v>
      </c>
      <c r="N68" s="227"/>
      <c r="O68" s="242"/>
      <c r="P68" s="122"/>
      <c r="Q68" s="228"/>
      <c r="R68" s="229" t="str">
        <f t="shared" si="15"/>
        <v/>
      </c>
      <c r="S68" s="230" t="str">
        <f t="shared" si="2"/>
        <v/>
      </c>
      <c r="T68" s="231" t="str">
        <f t="shared" si="3"/>
        <v/>
      </c>
      <c r="U68" s="232" t="str">
        <f t="shared" si="4"/>
        <v>kg of protein</v>
      </c>
      <c r="V68" s="28"/>
      <c r="W68" s="28"/>
      <c r="Y68" s="91"/>
      <c r="AO68" s="91"/>
      <c r="AP68" s="28"/>
      <c r="AQ68" s="28"/>
      <c r="AR68" s="237"/>
      <c r="AS68" s="28"/>
      <c r="AT68" s="234" t="str">
        <f t="shared" si="16"/>
        <v/>
      </c>
      <c r="AU68" s="234" t="str">
        <f t="shared" si="5"/>
        <v/>
      </c>
      <c r="AV68" s="235"/>
      <c r="AW68" s="234" t="str">
        <f t="shared" si="17"/>
        <v/>
      </c>
      <c r="AX68" s="234" t="str">
        <f t="shared" si="6"/>
        <v/>
      </c>
      <c r="AY68" s="235"/>
      <c r="AZ68" s="234" t="str">
        <f t="shared" si="18"/>
        <v/>
      </c>
      <c r="BA68" s="234" t="str">
        <f t="shared" si="7"/>
        <v/>
      </c>
      <c r="BB68" s="235"/>
      <c r="BC68" s="234" t="str">
        <f t="shared" si="19"/>
        <v/>
      </c>
      <c r="BD68" s="234" t="str">
        <f t="shared" si="8"/>
        <v/>
      </c>
      <c r="BE68" s="235"/>
      <c r="BF68" s="234" t="str">
        <f t="shared" si="20"/>
        <v/>
      </c>
      <c r="BG68" s="234" t="str">
        <f t="shared" si="9"/>
        <v/>
      </c>
      <c r="BH68" s="235"/>
      <c r="BI68" s="234" t="str">
        <f t="shared" si="21"/>
        <v/>
      </c>
      <c r="BJ68" s="234" t="str">
        <f t="shared" si="10"/>
        <v/>
      </c>
      <c r="BK68" s="235"/>
      <c r="BL68" s="234" t="str">
        <f t="shared" si="22"/>
        <v/>
      </c>
      <c r="BM68" s="234" t="str">
        <f t="shared" si="11"/>
        <v/>
      </c>
      <c r="BN68" s="235"/>
      <c r="BO68" s="234" t="str">
        <f t="shared" si="23"/>
        <v/>
      </c>
      <c r="BP68" s="234" t="str">
        <f t="shared" si="12"/>
        <v/>
      </c>
      <c r="BQ68" s="235"/>
      <c r="BR68" s="234" t="str">
        <f t="shared" si="24"/>
        <v/>
      </c>
      <c r="BS68" s="234" t="str">
        <f t="shared" si="13"/>
        <v/>
      </c>
      <c r="BT68" s="235"/>
      <c r="BU68" s="234" t="str">
        <f t="shared" si="25"/>
        <v/>
      </c>
      <c r="BV68" s="234" t="str">
        <f t="shared" si="14"/>
        <v/>
      </c>
      <c r="BW68" s="235"/>
      <c r="BX68" s="91"/>
    </row>
    <row r="69" spans="1:76" s="55" customFormat="1" ht="30" x14ac:dyDescent="0.25">
      <c r="A69" s="195"/>
      <c r="B69" s="244" t="s">
        <v>133</v>
      </c>
      <c r="C69" s="199"/>
      <c r="D69" s="199"/>
      <c r="E69" s="199"/>
      <c r="F69" s="199"/>
      <c r="G69" s="122"/>
      <c r="H69" s="28"/>
      <c r="I69" s="245"/>
      <c r="J69" s="122"/>
      <c r="K69" s="122"/>
      <c r="L69" s="122" t="s">
        <v>134</v>
      </c>
      <c r="M69" s="122"/>
      <c r="N69" s="122"/>
      <c r="O69" s="122"/>
      <c r="P69" s="122"/>
      <c r="Q69" s="245" t="s">
        <v>135</v>
      </c>
      <c r="R69" s="246">
        <f>AVERAGE(R49:R68)</f>
        <v>9134560880.3101978</v>
      </c>
      <c r="S69" s="247">
        <f>IF(R77="Y",SUM(S49:S68)/SUMPRODUCT(N49:N68,--ISNUMBER(S49:S68)),AVERAGE(S49:S68))</f>
        <v>9134560880.3101978</v>
      </c>
      <c r="T69" s="248" t="e">
        <f>SUM(T49:T68)/SUMPRODUCT(N49:N68,--ISNUMBER(T49:T68))</f>
        <v>#DIV/0!</v>
      </c>
      <c r="U69" s="28"/>
      <c r="V69" s="28"/>
      <c r="W69" s="28"/>
      <c r="Y69" s="249"/>
      <c r="AO69" s="91"/>
      <c r="AP69" s="28"/>
      <c r="AQ69" s="28"/>
      <c r="AR69" s="28"/>
      <c r="AS69" s="245" t="s">
        <v>136</v>
      </c>
      <c r="AT69" s="250">
        <f>IF(AT$47="World",AVERAGE(AT49:AT68),AVERAGEIFS(AT49:AT68,$E49:$E68,AT$47,$F49:$F68,""))</f>
        <v>9134560880.3101978</v>
      </c>
      <c r="AU69" s="250">
        <f t="array" ref="AU69">IF(AT$47="World",AVERAGE(AU49:AU68),SUM(AU49:AU68)/(SUMPRODUCT(--ISNUMBER(AU$49:AU$68),--($E$49:$E$68=AT$47),--($F$49:$F$68=""))+IF(SUM(IF(AU49:AU68&lt;&gt;"",1,0)*IF($E49:$E68=AT$47,1,0)*IF($F49:$F68&lt;&gt;"",1,0))&gt;0,1,0)))</f>
        <v>9134560880.3101978</v>
      </c>
      <c r="AV69" s="251" t="s">
        <v>137</v>
      </c>
      <c r="AW69" s="250">
        <f>IF(AW$47="World",AVERAGE(AW49:AW68),AVERAGEIFS(AW49:AW68,$E49:$E68,AW$47,$F49:$F68,""))</f>
        <v>6236702146.8902903</v>
      </c>
      <c r="AX69" s="250">
        <f t="array" ref="AX69">IF(AW$47="World",AVERAGE(AX49:AX68),SUM(AX49:AX68)/(SUMPRODUCT(--ISNUMBER(AX$49:AX$68),--($E$49:$E$68=AW$47),--($F$49:$F$68=""))+IF(SUM(IF(AX49:AX68&lt;&gt;"",1,0)*IF($E49:$E68=AW$47,1,0)*IF($F49:$F68&lt;&gt;"",1,0))&gt;0,1,0)))</f>
        <v>6236702146.8902903</v>
      </c>
      <c r="AY69" s="251" t="s">
        <v>137</v>
      </c>
      <c r="AZ69" s="250">
        <f>IF(AZ$47="World",AVERAGE(AZ49:AZ68),AVERAGEIFS(AZ49:AZ68,$E49:$E68,AZ$47,$F49:$F68,""))</f>
        <v>1278866877.0192232</v>
      </c>
      <c r="BA69" s="250">
        <f t="array" ref="BA69">IF(AZ$47="World",AVERAGE(BA49:BA68),SUM(BA49:BA68)/(SUMPRODUCT(--ISNUMBER(BA$49:BA$68),--($E$49:$E$68=AZ$47),--($F$49:$F$68=""))+IF(SUM(IF(BA49:BA68&lt;&gt;"",1,0)*IF($E49:$E68=AZ$47,1,0)*IF($F49:$F68&lt;&gt;"",1,0))&gt;0,1,0)))</f>
        <v>1278866877.0192232</v>
      </c>
      <c r="BB69" s="251" t="s">
        <v>137</v>
      </c>
      <c r="BC69" s="250">
        <f>IF(BC$47="World",AVERAGE(BC49:BC68),AVERAGEIFS(BC49:BC68,$E49:$E68,BC$47,$F49:$F68,""))</f>
        <v>731591462.75700438</v>
      </c>
      <c r="BD69" s="250">
        <f t="array" ref="BD69">IF(BC$47="World",AVERAGE(BD49:BD68),SUM(BD49:BD68)/(SUMPRODUCT(--ISNUMBER(BD$49:BD$68),--($E$49:$E$68=BC$47),--($F$49:$F$68=""))+IF(SUM(IF(BD49:BD68&lt;&gt;"",1,0)*IF($E49:$E68=BC$47,1,0)*IF($F49:$F68&lt;&gt;"",1,0))&gt;0,1,0)))</f>
        <v>731591462.75700438</v>
      </c>
      <c r="BE69" s="251" t="s">
        <v>137</v>
      </c>
      <c r="BF69" s="250">
        <f>IF(BF$47="World",AVERAGE(BF49:BF68),AVERAGEIFS(BF49:BF68,$E49:$E68,BF$47,$F49:$F68,""))</f>
        <v>307254129.9257437</v>
      </c>
      <c r="BG69" s="250">
        <f t="array" ref="BG69">IF(BF$47="World",AVERAGE(BG49:BG68),SUM(BG49:BG68)/(SUMPRODUCT(--ISNUMBER(BG$49:BG$68),--($E$49:$E$68=BF$47),--($F$49:$F$68=""))+IF(SUM(IF(BG49:BG68&lt;&gt;"",1,0)*IF($E49:$E68=BF$47,1,0)*IF($F49:$F68&lt;&gt;"",1,0))&gt;0,1,0)))</f>
        <v>307254129.9257437</v>
      </c>
      <c r="BH69" s="251" t="s">
        <v>137</v>
      </c>
      <c r="BI69" s="250">
        <f>IF(BI$47="World",AVERAGE(BI49:BI68),AVERAGEIFS(BI49:BI68,$E49:$E68,BI$47,$F49:$F68,""))</f>
        <v>580146263.71793568</v>
      </c>
      <c r="BJ69" s="250">
        <f t="array" ref="BJ69">IF(BI$47="World",AVERAGE(BJ49:BJ68),SUM(BJ49:BJ68)/(SUMPRODUCT(--ISNUMBER(BJ$49:BJ$68),--($E$49:$E$68=BI$47),--($F$49:$F$68=""))+IF(SUM(IF(BJ49:BJ68&lt;&gt;"",1,0)*IF($E49:$E68=BI$47,1,0)*IF($F49:$F68&lt;&gt;"",1,0))&gt;0,1,0)))</f>
        <v>580146263.71793568</v>
      </c>
      <c r="BK69" s="251" t="s">
        <v>137</v>
      </c>
      <c r="BL69" s="250" t="e">
        <f>IF(BL$47="World",AVERAGE(BL49:BL68),AVERAGEIFS(BL49:BL68,$E49:$E68,BL$47,$F49:$F68,""))</f>
        <v>#DIV/0!</v>
      </c>
      <c r="BM69" s="250" t="e">
        <f t="array" ref="BM69">IF(BL$47="World",AVERAGE(BM49:BM68),SUM(BM49:BM68)/(SUMPRODUCT(--ISNUMBER(BM$49:BM$68),--($E$49:$E$68=BL$47),--($F$49:$F$68=""))+IF(SUM(IF(BM49:BM68&lt;&gt;"",1,0)*IF($E49:$E68=BL$47,1,0)*IF($F49:$F68&lt;&gt;"",1,0))&gt;0,1,0)))</f>
        <v>#DIV/0!</v>
      </c>
      <c r="BN69" s="251" t="s">
        <v>137</v>
      </c>
      <c r="BO69" s="250" t="e">
        <f>IF(BO$47="World",AVERAGE(BO49:BO68),AVERAGEIFS(BO49:BO68,$E49:$E68,BO$47,$F49:$F68,""))</f>
        <v>#DIV/0!</v>
      </c>
      <c r="BP69" s="250" t="e">
        <f t="array" ref="BP69">IF(BO$47="World",AVERAGE(BP49:BP68),SUM(BP49:BP68)/(SUMPRODUCT(--ISNUMBER(BP$49:BP$68),--($E$49:$E$68=BO$47),--($F$49:$F$68=""))+IF(SUM(IF(BP49:BP68&lt;&gt;"",1,0)*IF($E49:$E68=BO$47,1,0)*IF($F49:$F68&lt;&gt;"",1,0))&gt;0,1,0)))</f>
        <v>#DIV/0!</v>
      </c>
      <c r="BQ69" s="251" t="s">
        <v>137</v>
      </c>
      <c r="BR69" s="250" t="e">
        <f>IF(BR$47="World",AVERAGE(BR49:BR68),AVERAGEIFS(BR49:BR68,$E49:$E68,BR$47,$F49:$F68,""))</f>
        <v>#DIV/0!</v>
      </c>
      <c r="BS69" s="250" t="e">
        <f t="array" ref="BS69">IF(BR$47="World",AVERAGE(BS49:BS68),SUM(BS49:BS68)/(SUMPRODUCT(--ISNUMBER(BS$49:BS$68),--($E$49:$E$68=BR$47),--($F$49:$F$68=""))+IF(SUM(IF(BS49:BS68&lt;&gt;"",1,0)*IF($E49:$E68=BR$47,1,0)*IF($F49:$F68&lt;&gt;"",1,0))&gt;0,1,0)))</f>
        <v>#DIV/0!</v>
      </c>
      <c r="BT69" s="251" t="s">
        <v>137</v>
      </c>
      <c r="BU69" s="250" t="e">
        <f>IF(BU$47="World",AVERAGE(BU49:BU68),AVERAGEIFS(BU49:BU68,$E49:$E68,BU$47,$F49:$F68,""))</f>
        <v>#DIV/0!</v>
      </c>
      <c r="BV69" s="250" t="e">
        <f t="array" ref="BV69">IF(BU$47="World",AVERAGE(BV49:BV68),SUM(BV49:BV68)/(SUMPRODUCT(--ISNUMBER(BV$49:BV$68),--($E$49:$E$68=BU$47),--($F$49:$F$68=""))+IF(SUM(IF(BV49:BV68&lt;&gt;"",1,0)*IF($E49:$E68=BU$47,1,0)*IF($F49:$F68&lt;&gt;"",1,0))&gt;0,1,0)))</f>
        <v>#DIV/0!</v>
      </c>
      <c r="BW69" s="251" t="s">
        <v>137</v>
      </c>
      <c r="BX69" s="91"/>
    </row>
    <row r="70" spans="1:76" s="55" customFormat="1" x14ac:dyDescent="0.25">
      <c r="A70" s="195"/>
      <c r="B70" s="244" t="s">
        <v>138</v>
      </c>
      <c r="C70" s="199" t="s">
        <v>139</v>
      </c>
      <c r="D70" s="252" t="s">
        <v>140</v>
      </c>
      <c r="E70" s="253"/>
      <c r="F70" s="253"/>
      <c r="G70" s="253"/>
      <c r="H70" s="253"/>
      <c r="I70" s="253"/>
      <c r="J70" s="254"/>
      <c r="K70" s="122"/>
      <c r="L70" s="122"/>
      <c r="M70" s="255"/>
      <c r="N70" s="122"/>
      <c r="O70" s="122"/>
      <c r="P70" s="122"/>
      <c r="Q70" s="256" t="s">
        <v>141</v>
      </c>
      <c r="R70" s="257">
        <f>R69+U70*R73</f>
        <v>9134560880.3101978</v>
      </c>
      <c r="S70" s="257" t="e">
        <f>S69+U70*S73</f>
        <v>#DIV/0!</v>
      </c>
      <c r="T70" s="257" t="e">
        <f>T69+U70*T73</f>
        <v>#DIV/0!</v>
      </c>
      <c r="U70" s="258">
        <v>1</v>
      </c>
      <c r="V70" s="122" t="s">
        <v>142</v>
      </c>
      <c r="W70" s="28"/>
      <c r="X70" s="259" t="s">
        <v>143</v>
      </c>
      <c r="Y70" s="260"/>
      <c r="AO70" s="91"/>
      <c r="AP70" s="28"/>
      <c r="AQ70" s="28"/>
      <c r="AR70" s="28"/>
      <c r="AS70" s="256" t="s">
        <v>144</v>
      </c>
      <c r="AT70" s="261">
        <f>AT$69+AT72*AT$75</f>
        <v>9134560880.3101978</v>
      </c>
      <c r="AU70" s="261">
        <f>AU$69+AT72*AU$75</f>
        <v>9134560880.3101978</v>
      </c>
      <c r="AV70" s="262" t="s">
        <v>145</v>
      </c>
      <c r="AW70" s="261">
        <f>AW$69+AW72*AW$75</f>
        <v>6236702146.8902903</v>
      </c>
      <c r="AX70" s="261">
        <f>AX$69+AW72*AX$75</f>
        <v>6236702146.8902903</v>
      </c>
      <c r="AY70" s="262" t="s">
        <v>145</v>
      </c>
      <c r="AZ70" s="261">
        <f>AZ$69+AZ72*AZ$75</f>
        <v>1278866877.0192232</v>
      </c>
      <c r="BA70" s="261">
        <f>BA$69+AZ72*BA$75</f>
        <v>1278866877.0192232</v>
      </c>
      <c r="BB70" s="262" t="s">
        <v>145</v>
      </c>
      <c r="BC70" s="261">
        <f>BC$69+BC72*BC$75</f>
        <v>731591462.75700438</v>
      </c>
      <c r="BD70" s="261">
        <f>BD$69+BC72*BD$75</f>
        <v>731591462.75700438</v>
      </c>
      <c r="BE70" s="262" t="s">
        <v>145</v>
      </c>
      <c r="BF70" s="261">
        <f>BF$69+BF72*BF$75</f>
        <v>307254129.9257437</v>
      </c>
      <c r="BG70" s="261">
        <f>BG$69+BF72*BG$75</f>
        <v>307254129.9257437</v>
      </c>
      <c r="BH70" s="262" t="s">
        <v>145</v>
      </c>
      <c r="BI70" s="261">
        <f>BI$69+BI72*BI$75</f>
        <v>580146263.71793568</v>
      </c>
      <c r="BJ70" s="261">
        <f>BJ$69+BI72*BJ$75</f>
        <v>580146263.71793568</v>
      </c>
      <c r="BK70" s="262" t="s">
        <v>145</v>
      </c>
      <c r="BL70" s="261" t="e">
        <f>BL$69+BL72*BL$75</f>
        <v>#DIV/0!</v>
      </c>
      <c r="BM70" s="261" t="e">
        <f>BM$69+BL72*BM$75</f>
        <v>#DIV/0!</v>
      </c>
      <c r="BN70" s="262" t="s">
        <v>145</v>
      </c>
      <c r="BO70" s="261" t="e">
        <f>BO$69+BO72*BO$75</f>
        <v>#DIV/0!</v>
      </c>
      <c r="BP70" s="261" t="e">
        <f>BP$69+BO72*BP$75</f>
        <v>#DIV/0!</v>
      </c>
      <c r="BQ70" s="262" t="s">
        <v>145</v>
      </c>
      <c r="BR70" s="261" t="e">
        <f>BR$69+BR72*BR$75</f>
        <v>#DIV/0!</v>
      </c>
      <c r="BS70" s="261" t="e">
        <f>BS$69+BR72*BS$75</f>
        <v>#DIV/0!</v>
      </c>
      <c r="BT70" s="262" t="s">
        <v>145</v>
      </c>
      <c r="BU70" s="261" t="e">
        <f>BU$69+BU72*BU$75</f>
        <v>#DIV/0!</v>
      </c>
      <c r="BV70" s="261" t="e">
        <f>BV$69+BU72*BV$75</f>
        <v>#DIV/0!</v>
      </c>
      <c r="BW70" s="262" t="s">
        <v>145</v>
      </c>
      <c r="BX70" s="91"/>
    </row>
    <row r="71" spans="1:76" s="55" customFormat="1" x14ac:dyDescent="0.25">
      <c r="A71" s="195"/>
      <c r="B71" s="244" t="s">
        <v>146</v>
      </c>
      <c r="C71" s="195"/>
      <c r="D71" s="263"/>
      <c r="E71" s="264"/>
      <c r="F71" s="264"/>
      <c r="G71" s="264"/>
      <c r="H71" s="264"/>
      <c r="I71" s="264"/>
      <c r="J71" s="265"/>
      <c r="K71" s="28"/>
      <c r="L71" s="28"/>
      <c r="M71" s="255"/>
      <c r="N71" s="122"/>
      <c r="O71" s="122"/>
      <c r="P71" s="122"/>
      <c r="Q71" s="256" t="s">
        <v>147</v>
      </c>
      <c r="R71" s="257">
        <f>IF($X71="Y",MIN(R49:R68),R69-$U71*R73)</f>
        <v>9134560880.3101978</v>
      </c>
      <c r="S71" s="257" t="e">
        <f>IF($X71="Y",MIN(S49:S68),S69-$U71*S73)</f>
        <v>#DIV/0!</v>
      </c>
      <c r="T71" s="257" t="e">
        <f>IF($X71="Y",MIN(T49:T68),T69-$U71*T73)</f>
        <v>#DIV/0!</v>
      </c>
      <c r="U71" s="258">
        <v>1</v>
      </c>
      <c r="V71" s="122" t="s">
        <v>148</v>
      </c>
      <c r="W71" s="28"/>
      <c r="X71" s="266" t="s">
        <v>149</v>
      </c>
      <c r="Y71" s="260"/>
      <c r="AO71" s="91"/>
      <c r="AP71" s="28"/>
      <c r="AQ71" s="28"/>
      <c r="AR71" s="28"/>
      <c r="AS71" s="256" t="s">
        <v>150</v>
      </c>
      <c r="AT71" s="261">
        <f>AT$69-AT73*AT$75</f>
        <v>9134560880.3101978</v>
      </c>
      <c r="AU71" s="261">
        <f>AU$69-AT73*AU$75</f>
        <v>9134560880.3101978</v>
      </c>
      <c r="AV71" s="262" t="s">
        <v>145</v>
      </c>
      <c r="AW71" s="261">
        <f>AW$69-AW73*AW$75</f>
        <v>6236702146.8902903</v>
      </c>
      <c r="AX71" s="261">
        <f>AX$69-AW73*AX$75</f>
        <v>6236702146.8902903</v>
      </c>
      <c r="AY71" s="262" t="s">
        <v>145</v>
      </c>
      <c r="AZ71" s="261">
        <f>AZ$69-AZ73*AZ$75</f>
        <v>1278866877.0192232</v>
      </c>
      <c r="BA71" s="261">
        <f>BA$69-AZ73*BA$75</f>
        <v>1278866877.0192232</v>
      </c>
      <c r="BB71" s="262" t="s">
        <v>145</v>
      </c>
      <c r="BC71" s="261">
        <f>BC$69-BC73*BC$75</f>
        <v>731591462.75700438</v>
      </c>
      <c r="BD71" s="261">
        <f>BD$69-BC73*BD$75</f>
        <v>731591462.75700438</v>
      </c>
      <c r="BE71" s="262" t="s">
        <v>145</v>
      </c>
      <c r="BF71" s="261">
        <f>BF$69-BF73*BF$75</f>
        <v>307254129.9257437</v>
      </c>
      <c r="BG71" s="261">
        <f>BG$69-BF73*BG$75</f>
        <v>307254129.9257437</v>
      </c>
      <c r="BH71" s="262" t="s">
        <v>145</v>
      </c>
      <c r="BI71" s="261">
        <f>BI$69-BI73*BI$75</f>
        <v>580146263.71793568</v>
      </c>
      <c r="BJ71" s="261">
        <f>BJ$69-BI73*BJ$75</f>
        <v>580146263.71793568</v>
      </c>
      <c r="BK71" s="262" t="s">
        <v>145</v>
      </c>
      <c r="BL71" s="261" t="e">
        <f>BL$69-BL73*BL$75</f>
        <v>#DIV/0!</v>
      </c>
      <c r="BM71" s="261" t="e">
        <f>BM$69-BL73*BM$75</f>
        <v>#DIV/0!</v>
      </c>
      <c r="BN71" s="262" t="s">
        <v>145</v>
      </c>
      <c r="BO71" s="261" t="e">
        <f>BO$69-BO73*BO$75</f>
        <v>#DIV/0!</v>
      </c>
      <c r="BP71" s="261" t="e">
        <f>BP$69-BO73*BP$75</f>
        <v>#DIV/0!</v>
      </c>
      <c r="BQ71" s="262" t="s">
        <v>145</v>
      </c>
      <c r="BR71" s="261" t="e">
        <f>BR$69-BR73*BR$75</f>
        <v>#DIV/0!</v>
      </c>
      <c r="BS71" s="261" t="e">
        <f>BS$69-BR73*BS$75</f>
        <v>#DIV/0!</v>
      </c>
      <c r="BT71" s="262" t="s">
        <v>145</v>
      </c>
      <c r="BU71" s="261" t="e">
        <f>BU$69-BU73*BU$75</f>
        <v>#DIV/0!</v>
      </c>
      <c r="BV71" s="261" t="e">
        <f>BV$69-BU73*BV$75</f>
        <v>#DIV/0!</v>
      </c>
      <c r="BW71" s="262" t="s">
        <v>145</v>
      </c>
      <c r="BX71" s="91"/>
    </row>
    <row r="72" spans="1:76" s="55" customFormat="1" x14ac:dyDescent="0.2">
      <c r="A72" s="195"/>
      <c r="B72" s="196"/>
      <c r="C72" s="195"/>
      <c r="D72" s="263"/>
      <c r="E72" s="264"/>
      <c r="F72" s="264"/>
      <c r="G72" s="264"/>
      <c r="H72" s="264"/>
      <c r="I72" s="264"/>
      <c r="J72" s="265"/>
      <c r="K72" s="122"/>
      <c r="L72" s="122"/>
      <c r="M72" s="255"/>
      <c r="N72" s="122"/>
      <c r="O72" s="122"/>
      <c r="P72" s="122"/>
      <c r="Q72" s="256" t="s">
        <v>151</v>
      </c>
      <c r="R72" s="257" t="str">
        <f>IF((0.67*R73)&gt;R69,"no","yes")</f>
        <v>yes</v>
      </c>
      <c r="S72" s="257" t="e">
        <f>IF((0.67*S73)&gt;S69,"no","yes")</f>
        <v>#DIV/0!</v>
      </c>
      <c r="T72" s="257" t="e">
        <f>IF((0.67*T73)&gt;T69,"no","yes")</f>
        <v>#DIV/0!</v>
      </c>
      <c r="U72" s="122"/>
      <c r="V72" s="122"/>
      <c r="W72" s="122"/>
      <c r="Y72" s="260"/>
      <c r="AO72" s="91"/>
      <c r="AP72" s="122"/>
      <c r="AQ72" s="122"/>
      <c r="AR72" s="267" t="s">
        <v>152</v>
      </c>
      <c r="AS72" s="268"/>
      <c r="AT72" s="269">
        <f>U70</f>
        <v>1</v>
      </c>
      <c r="AU72" s="122"/>
      <c r="AV72" s="262" t="s">
        <v>145</v>
      </c>
      <c r="AW72" s="258">
        <v>1</v>
      </c>
      <c r="AX72" s="122"/>
      <c r="AY72" s="262" t="s">
        <v>145</v>
      </c>
      <c r="AZ72" s="258">
        <v>1</v>
      </c>
      <c r="BA72" s="122"/>
      <c r="BB72" s="262" t="s">
        <v>145</v>
      </c>
      <c r="BC72" s="258">
        <v>1</v>
      </c>
      <c r="BD72" s="122"/>
      <c r="BE72" s="262" t="s">
        <v>145</v>
      </c>
      <c r="BF72" s="258">
        <v>1</v>
      </c>
      <c r="BG72" s="122"/>
      <c r="BH72" s="262" t="s">
        <v>145</v>
      </c>
      <c r="BI72" s="258">
        <v>1</v>
      </c>
      <c r="BJ72" s="122"/>
      <c r="BK72" s="262" t="s">
        <v>145</v>
      </c>
      <c r="BL72" s="258">
        <v>1</v>
      </c>
      <c r="BM72" s="122"/>
      <c r="BN72" s="262" t="s">
        <v>145</v>
      </c>
      <c r="BO72" s="258">
        <v>1</v>
      </c>
      <c r="BP72" s="122"/>
      <c r="BQ72" s="262" t="s">
        <v>145</v>
      </c>
      <c r="BR72" s="258">
        <v>1</v>
      </c>
      <c r="BS72" s="122"/>
      <c r="BT72" s="262" t="s">
        <v>145</v>
      </c>
      <c r="BU72" s="258">
        <v>1</v>
      </c>
      <c r="BV72" s="122"/>
      <c r="BW72" s="262" t="s">
        <v>145</v>
      </c>
      <c r="BX72" s="91"/>
    </row>
    <row r="73" spans="1:76" s="55" customFormat="1" x14ac:dyDescent="0.2">
      <c r="A73" s="270" t="e">
        <f ca="1">HYPERLINK("#"&amp;"'"&amp;A$1&amp;"'!a1","Back to top")</f>
        <v>#VALUE!</v>
      </c>
      <c r="B73" s="271"/>
      <c r="C73" s="195"/>
      <c r="D73" s="263"/>
      <c r="E73" s="264"/>
      <c r="F73" s="264"/>
      <c r="G73" s="264"/>
      <c r="H73" s="264"/>
      <c r="I73" s="264"/>
      <c r="J73" s="265"/>
      <c r="K73" s="122"/>
      <c r="L73" s="122"/>
      <c r="M73" s="255"/>
      <c r="N73" s="122"/>
      <c r="O73" s="122"/>
      <c r="P73" s="122"/>
      <c r="Q73" s="256" t="s">
        <v>153</v>
      </c>
      <c r="R73" s="257">
        <f>IF(COUNT(R49:R68)&gt;1,_xlfn.STDEV.S(R49:R68),0)</f>
        <v>0</v>
      </c>
      <c r="S73" s="257" t="e">
        <f t="array" ref="S73">IF(R77="Y",SQRT(SUM(IFERROR(N49:N68*(R49:R68-(S69))^2,0))/((COUNT(S49:S68)-1)/COUNT(S49:S68)*SUMPRODUCT(N49:N68,--ISNUMBER(S49:S68)))),_xlfn.STDEV.S(S49:S68))</f>
        <v>#DIV/0!</v>
      </c>
      <c r="T73" s="257" t="e">
        <f t="array" ref="T73">SQRT(SUM(IFERROR(N49:N68*(R49:R68-(T69))^2,0))/((COUNT(T49:T68)-1)/COUNT(T49:T68)*SUMPRODUCT(N49:N68,--ISNUMBER(T49:T68))))</f>
        <v>#DIV/0!</v>
      </c>
      <c r="U73" s="122"/>
      <c r="V73" s="122"/>
      <c r="W73" s="122"/>
      <c r="Y73" s="260"/>
      <c r="AO73" s="91"/>
      <c r="AP73" s="122"/>
      <c r="AQ73" s="122"/>
      <c r="AR73" s="267"/>
      <c r="AS73" s="268"/>
      <c r="AT73" s="269">
        <f>U71</f>
        <v>1</v>
      </c>
      <c r="AU73" s="122"/>
      <c r="AV73" s="262" t="s">
        <v>145</v>
      </c>
      <c r="AW73" s="258">
        <v>1</v>
      </c>
      <c r="AX73" s="122"/>
      <c r="AY73" s="262" t="s">
        <v>145</v>
      </c>
      <c r="AZ73" s="258">
        <v>1</v>
      </c>
      <c r="BA73" s="122"/>
      <c r="BB73" s="262" t="s">
        <v>145</v>
      </c>
      <c r="BC73" s="258">
        <v>1</v>
      </c>
      <c r="BD73" s="122"/>
      <c r="BE73" s="262" t="s">
        <v>145</v>
      </c>
      <c r="BF73" s="258">
        <v>1</v>
      </c>
      <c r="BG73" s="122"/>
      <c r="BH73" s="262" t="s">
        <v>145</v>
      </c>
      <c r="BI73" s="258">
        <v>1</v>
      </c>
      <c r="BJ73" s="122"/>
      <c r="BK73" s="262" t="s">
        <v>145</v>
      </c>
      <c r="BL73" s="258">
        <v>1</v>
      </c>
      <c r="BM73" s="122"/>
      <c r="BN73" s="262" t="s">
        <v>145</v>
      </c>
      <c r="BO73" s="258">
        <v>1</v>
      </c>
      <c r="BP73" s="122"/>
      <c r="BQ73" s="262" t="s">
        <v>145</v>
      </c>
      <c r="BR73" s="258">
        <v>1</v>
      </c>
      <c r="BS73" s="122"/>
      <c r="BT73" s="262" t="s">
        <v>145</v>
      </c>
      <c r="BU73" s="258">
        <v>1</v>
      </c>
      <c r="BV73" s="122"/>
      <c r="BW73" s="262" t="s">
        <v>145</v>
      </c>
      <c r="BX73" s="91"/>
    </row>
    <row r="74" spans="1:76" s="55" customFormat="1" x14ac:dyDescent="0.25">
      <c r="A74" s="122"/>
      <c r="B74" s="118"/>
      <c r="C74" s="195"/>
      <c r="D74" s="263"/>
      <c r="E74" s="264"/>
      <c r="F74" s="264"/>
      <c r="G74" s="264"/>
      <c r="H74" s="264"/>
      <c r="I74" s="264"/>
      <c r="J74" s="265"/>
      <c r="K74" s="122"/>
      <c r="L74" s="122"/>
      <c r="M74" s="255"/>
      <c r="N74" s="122"/>
      <c r="O74" s="122"/>
      <c r="P74" s="122"/>
      <c r="Q74" s="133" t="s">
        <v>154</v>
      </c>
      <c r="R74" s="272">
        <f>SUM(IFERROR(AT76,0),IFERROR(AW76,0),IFERROR(AZ76,0),IFERROR(BC76,0),IFERROR(BF76,0),IFERROR(BI76,0))</f>
        <v>6</v>
      </c>
      <c r="S74" s="272">
        <f>SUM(IFERROR(AU76,0),IFERROR(AX76,0),IFERROR(BA76,0),IFERROR(BD76,0),IFERROR(BG76,0),IFERROR(BJ76,0))</f>
        <v>6</v>
      </c>
      <c r="T74" s="118"/>
      <c r="U74" s="273" t="s">
        <v>155</v>
      </c>
      <c r="V74" s="122"/>
      <c r="W74" s="122"/>
      <c r="Y74" s="91"/>
      <c r="AO74" s="91"/>
      <c r="AP74" s="122"/>
      <c r="AQ74" s="122"/>
      <c r="AR74" s="122"/>
      <c r="AS74" s="256" t="s">
        <v>151</v>
      </c>
      <c r="AT74" s="261" t="str">
        <f>IF((0.67*AT75)&gt;AT69,"no","yes")</f>
        <v>yes</v>
      </c>
      <c r="AU74" s="261" t="str">
        <f>IF((0.67*AU75)&gt;AU69,"no","yes")</f>
        <v>yes</v>
      </c>
      <c r="AV74" s="262" t="s">
        <v>145</v>
      </c>
      <c r="AW74" s="261" t="str">
        <f>IF((0.67*AW75)&gt;AW69,"no","yes")</f>
        <v>yes</v>
      </c>
      <c r="AX74" s="261" t="str">
        <f>IF((0.67*AX75)&gt;AX69,"no","yes")</f>
        <v>yes</v>
      </c>
      <c r="AY74" s="262" t="s">
        <v>145</v>
      </c>
      <c r="AZ74" s="261" t="str">
        <f>IF((0.67*AZ75)&gt;AZ69,"no","yes")</f>
        <v>yes</v>
      </c>
      <c r="BA74" s="261" t="str">
        <f>IF((0.67*BA75)&gt;BA69,"no","yes")</f>
        <v>yes</v>
      </c>
      <c r="BB74" s="262" t="s">
        <v>145</v>
      </c>
      <c r="BC74" s="261" t="str">
        <f>IF((0.67*BC75)&gt;BC69,"no","yes")</f>
        <v>yes</v>
      </c>
      <c r="BD74" s="261" t="str">
        <f>IF((0.67*BD75)&gt;BD69,"no","yes")</f>
        <v>yes</v>
      </c>
      <c r="BE74" s="262" t="s">
        <v>145</v>
      </c>
      <c r="BF74" s="261" t="str">
        <f>IF((0.67*BF75)&gt;BF69,"no","yes")</f>
        <v>yes</v>
      </c>
      <c r="BG74" s="261" t="str">
        <f>IF((0.67*BG75)&gt;BG69,"no","yes")</f>
        <v>yes</v>
      </c>
      <c r="BH74" s="262" t="s">
        <v>145</v>
      </c>
      <c r="BI74" s="261" t="str">
        <f>IF((0.67*BI75)&gt;BI69,"no","yes")</f>
        <v>yes</v>
      </c>
      <c r="BJ74" s="261" t="str">
        <f>IF((0.67*BJ75)&gt;BJ69,"no","yes")</f>
        <v>yes</v>
      </c>
      <c r="BK74" s="262" t="s">
        <v>145</v>
      </c>
      <c r="BL74" s="261" t="e">
        <f>IF((0.67*BL75)&gt;BL69,"no","yes")</f>
        <v>#DIV/0!</v>
      </c>
      <c r="BM74" s="261" t="e">
        <f>IF((0.67*BM75)&gt;BM69,"no","yes")</f>
        <v>#DIV/0!</v>
      </c>
      <c r="BN74" s="262" t="s">
        <v>145</v>
      </c>
      <c r="BO74" s="261" t="e">
        <f>IF((0.67*BO75)&gt;BO69,"no","yes")</f>
        <v>#DIV/0!</v>
      </c>
      <c r="BP74" s="261" t="e">
        <f>IF((0.67*BP75)&gt;BP69,"no","yes")</f>
        <v>#DIV/0!</v>
      </c>
      <c r="BQ74" s="262" t="s">
        <v>145</v>
      </c>
      <c r="BR74" s="261" t="e">
        <f>IF((0.67*BR75)&gt;BR69,"no","yes")</f>
        <v>#DIV/0!</v>
      </c>
      <c r="BS74" s="261" t="e">
        <f>IF((0.67*BS75)&gt;BS69,"no","yes")</f>
        <v>#DIV/0!</v>
      </c>
      <c r="BT74" s="262" t="s">
        <v>145</v>
      </c>
      <c r="BU74" s="261" t="e">
        <f>IF((0.67*BU75)&gt;BU69,"no","yes")</f>
        <v>#DIV/0!</v>
      </c>
      <c r="BV74" s="261" t="e">
        <f>IF((0.67*BV75)&gt;BV69,"no","yes")</f>
        <v>#DIV/0!</v>
      </c>
      <c r="BW74" s="262" t="s">
        <v>145</v>
      </c>
      <c r="BX74" s="91"/>
    </row>
    <row r="75" spans="1:76" s="55" customFormat="1" x14ac:dyDescent="0.25">
      <c r="B75" s="23"/>
      <c r="C75" s="195"/>
      <c r="D75" s="263"/>
      <c r="E75" s="264"/>
      <c r="F75" s="264"/>
      <c r="G75" s="264"/>
      <c r="H75" s="264"/>
      <c r="I75" s="264"/>
      <c r="J75" s="265"/>
      <c r="K75" s="122"/>
      <c r="L75" s="122"/>
      <c r="M75" s="255"/>
      <c r="N75" s="122"/>
      <c r="O75" s="122"/>
      <c r="P75" s="122"/>
      <c r="Q75" s="245" t="s">
        <v>156</v>
      </c>
      <c r="R75" s="246">
        <f>SUM(IFERROR(AW69,0),IFERROR(AZ69,0),IFERROR(BC69,0),IFERROR(BF69,0),IFERROR(BI69,0))</f>
        <v>9134560880.3101978</v>
      </c>
      <c r="S75" s="246">
        <f>SUM(IFERROR(AX69,0),IFERROR(BA69,0),IFERROR(BD69,0),IFERROR(BG69,0),IFERROR(BJ69,0))</f>
        <v>9134560880.3101978</v>
      </c>
      <c r="T75" s="118"/>
      <c r="U75" s="274"/>
      <c r="V75" s="275"/>
      <c r="W75" s="276"/>
      <c r="Y75" s="91"/>
      <c r="AO75" s="91"/>
      <c r="AP75" s="122"/>
      <c r="AQ75" s="122"/>
      <c r="AR75" s="122"/>
      <c r="AS75" s="256" t="s">
        <v>157</v>
      </c>
      <c r="AT75" s="261">
        <f t="array" ref="AT75">IF(SUM(IF($E49:$E68=AT$47,IF($F49:$F68="",IF($Q49:$Q68&lt;&gt;"Y",IF(ISNUMBER(AT49:AT68),1,0))))) &gt;1,_xlfn.STDEV.S(IF($E49:$E68=AT$47,IF($F49:$F68="",IF($Q49:$Q68&lt;&gt;"Y",IF(ISNUMBER(AT49:AT68),AT49:AT68,""),""),""),"")),0)</f>
        <v>0</v>
      </c>
      <c r="AU75" s="261">
        <f t="array" ref="AU75">IF(SUM(IF($E49:$E68=AT$47,IF($F49:$F68="",IF($Q49:$Q68&lt;&gt;"Y",IF(ISNUMBER(AU49:AU68),1,0))))) &gt;1,_xlfn.STDEV.S(IF($E49:$E68=AT$47,IF($F49:$F68="",IF($Q49:$Q68&lt;&gt;"Y",IF(ISNUMBER(AU49:AU68),AU49:AU68,""),""),""),"")),0)</f>
        <v>0</v>
      </c>
      <c r="AV75" s="262" t="s">
        <v>145</v>
      </c>
      <c r="AW75" s="261">
        <f t="array" ref="AW75">IF(SUM(IF($E49:$E68=AW$47,IF($F49:$F68="",IF($Q49:$Q68&lt;&gt;"Y",IF(ISNUMBER(AW49:AW68),1,0))))) &gt;1,_xlfn.STDEV.S(IF($E49:$E68=AW$47,IF($F49:$F68="",IF($Q49:$Q68&lt;&gt;"Y",IF(ISNUMBER(AW49:AW68),AW49:AW68,""),""),""),"")),0)</f>
        <v>0</v>
      </c>
      <c r="AX75" s="261">
        <f t="array" ref="AX75">IF(SUM(IF($E49:$E68=AW$47,IF($F49:$F68="",IF($Q49:$Q68&lt;&gt;"Y",IF(ISNUMBER(AX49:AX68),1,0))))) &gt;1,_xlfn.STDEV.S(IF($E49:$E68=AW$47,IF($F49:$F68="",IF($Q49:$Q68&lt;&gt;"Y",IF(ISNUMBER(AX49:AX68),AX49:AX68,""),""),""),"")),0)</f>
        <v>0</v>
      </c>
      <c r="AY75" s="262" t="s">
        <v>145</v>
      </c>
      <c r="AZ75" s="261">
        <f t="array" ref="AZ75">IF(SUM(IF($E49:$E68=AZ$47,IF($F49:$F68="",IF($Q49:$Q68&lt;&gt;"Y",IF(ISNUMBER(AZ49:AZ68),1,0))))) &gt;1,_xlfn.STDEV.S(IF($E49:$E68=AZ$47,IF($F49:$F68="",IF($Q49:$Q68&lt;&gt;"Y",IF(ISNUMBER(AZ49:AZ68),AZ49:AZ68,""),""),""),"")),0)</f>
        <v>0</v>
      </c>
      <c r="BA75" s="261">
        <f t="array" ref="BA75">IF(SUM(IF($E49:$E68=AZ$47,IF($F49:$F68="",IF($Q49:$Q68&lt;&gt;"Y",IF(ISNUMBER(BA49:BA68),1,0))))) &gt;1,_xlfn.STDEV.S(IF($E49:$E68=AZ$47,IF($F49:$F68="",IF($Q49:$Q68&lt;&gt;"Y",IF(ISNUMBER(BA49:BA68),BA49:BA68,""),""),""),"")),0)</f>
        <v>0</v>
      </c>
      <c r="BB75" s="262" t="s">
        <v>145</v>
      </c>
      <c r="BC75" s="261">
        <f t="array" ref="BC75">IF(SUM(IF($E49:$E68=BC$47,IF($F49:$F68="",IF($Q49:$Q68&lt;&gt;"Y",IF(ISNUMBER(BC49:BC68),1,0))))) &gt;1,_xlfn.STDEV.S(IF($E49:$E68=BC$47,IF($F49:$F68="",IF($Q49:$Q68&lt;&gt;"Y",IF(ISNUMBER(BC49:BC68),BC49:BC68,""),""),""),"")),0)</f>
        <v>0</v>
      </c>
      <c r="BD75" s="261">
        <f t="array" ref="BD75">IF(SUM(IF($E49:$E68=BC$47,IF($F49:$F68="",IF($Q49:$Q68&lt;&gt;"Y",IF(ISNUMBER(BD49:BD68),1,0))))) &gt;1,_xlfn.STDEV.S(IF($E49:$E68=BC$47,IF($F49:$F68="",IF($Q49:$Q68&lt;&gt;"Y",IF(ISNUMBER(BD49:BD68),BD49:BD68,""),""),""),"")),0)</f>
        <v>0</v>
      </c>
      <c r="BE75" s="262" t="s">
        <v>145</v>
      </c>
      <c r="BF75" s="261">
        <f t="array" ref="BF75">IF(SUM(IF($E49:$E68=BF$47,IF($F49:$F68="",IF($Q49:$Q68&lt;&gt;"Y",IF(ISNUMBER(BF49:BF68),1,0))))) &gt;1,_xlfn.STDEV.S(IF($E49:$E68=BF$47,IF($F49:$F68="",IF($Q49:$Q68&lt;&gt;"Y",IF(ISNUMBER(BF49:BF68),BF49:BF68,""),""),""),"")),0)</f>
        <v>0</v>
      </c>
      <c r="BG75" s="261">
        <f t="array" ref="BG75">IF(SUM(IF($E49:$E68=BF$47,IF($F49:$F68="",IF($Q49:$Q68&lt;&gt;"Y",IF(ISNUMBER(BG49:BG68),1,0))))) &gt;1,_xlfn.STDEV.S(IF($E49:$E68=BF$47,IF($F49:$F68="",IF($Q49:$Q68&lt;&gt;"Y",IF(ISNUMBER(BG49:BG68),BG49:BG68,""),""),""),"")),0)</f>
        <v>0</v>
      </c>
      <c r="BH75" s="262" t="s">
        <v>145</v>
      </c>
      <c r="BI75" s="261">
        <f t="array" ref="BI75">IF(SUM(IF($E49:$E68=BI$47,IF($F49:$F68="",IF($Q49:$Q68&lt;&gt;"Y",IF(ISNUMBER(BI49:BI68),1,0))))) &gt;1,_xlfn.STDEV.S(IF($E49:$E68=BI$47,IF($F49:$F68="",IF($Q49:$Q68&lt;&gt;"Y",IF(ISNUMBER(BI49:BI68),BI49:BI68,""),""),""),"")),0)</f>
        <v>0</v>
      </c>
      <c r="BJ75" s="261">
        <f t="array" ref="BJ75">IF(SUM(IF($E49:$E68=BI$47,IF($F49:$F68="",IF($Q49:$Q68&lt;&gt;"Y",IF(ISNUMBER(BJ49:BJ68),1,0))))) &gt;1,_xlfn.STDEV.S(IF($E49:$E68=BI$47,IF($F49:$F68="",IF($Q49:$Q68&lt;&gt;"Y",IF(ISNUMBER(BJ49:BJ68),BJ49:BJ68,""),""),""),"")),0)</f>
        <v>0</v>
      </c>
      <c r="BK75" s="262" t="s">
        <v>145</v>
      </c>
      <c r="BL75" s="261">
        <f t="array" ref="BL75">IF(SUM(IF($E49:$E68=BL$47,IF($F49:$F68="",IF($Q49:$Q68&lt;&gt;"Y",IF(ISNUMBER(BL49:BL68),1,0))))) &gt;1,_xlfn.STDEV.S(IF($E49:$E68=BL$47,IF($F49:$F68="",IF($Q49:$Q68&lt;&gt;"Y",IF(ISNUMBER(BL49:BL68),BL49:BL68,""),""),""),"")),0)</f>
        <v>0</v>
      </c>
      <c r="BM75" s="261">
        <f t="array" ref="BM75">IF(SUM(IF($E49:$E68=BL$47,IF($F49:$F68="",IF($Q49:$Q68&lt;&gt;"Y",IF(ISNUMBER(BM49:BM68),1,0))))) &gt;1,_xlfn.STDEV.S(IF($E49:$E68=BL$47,IF($F49:$F68="",IF($Q49:$Q68&lt;&gt;"Y",IF(ISNUMBER(BM49:BM68),BM49:BM68,""),""),""),"")),0)</f>
        <v>0</v>
      </c>
      <c r="BN75" s="262" t="s">
        <v>145</v>
      </c>
      <c r="BO75" s="261">
        <f t="array" ref="BO75">IF(SUM(IF($E49:$E68=BO$47,IF($F49:$F68="",IF($Q49:$Q68&lt;&gt;"Y",IF(ISNUMBER(BO49:BO68),1,0))))) &gt;1,_xlfn.STDEV.S(IF($E49:$E68=BO$47,IF($F49:$F68="",IF($Q49:$Q68&lt;&gt;"Y",IF(ISNUMBER(BO49:BO68),BO49:BO68,""),""),""),"")),0)</f>
        <v>0</v>
      </c>
      <c r="BP75" s="261">
        <f t="array" ref="BP75">IF(SUM(IF($E49:$E68=BO$47,IF($F49:$F68="",IF($Q49:$Q68&lt;&gt;"Y",IF(ISNUMBER(BP49:BP68),1,0))))) &gt;1,_xlfn.STDEV.S(IF($E49:$E68=BO$47,IF($F49:$F68="",IF($Q49:$Q68&lt;&gt;"Y",IF(ISNUMBER(BP49:BP68),BP49:BP68,""),""),""),"")),0)</f>
        <v>0</v>
      </c>
      <c r="BQ75" s="262" t="s">
        <v>145</v>
      </c>
      <c r="BR75" s="261">
        <f t="array" ref="BR75">IF(SUM(IF($E49:$E68=BR$47,IF($F49:$F68="",IF($Q49:$Q68&lt;&gt;"Y",IF(ISNUMBER(BR49:BR68),1,0))))) &gt;1,_xlfn.STDEV.S(IF($E49:$E68=BR$47,IF($F49:$F68="",IF($Q49:$Q68&lt;&gt;"Y",IF(ISNUMBER(BR49:BR68),BR49:BR68,""),""),""),"")),0)</f>
        <v>0</v>
      </c>
      <c r="BS75" s="261">
        <f t="array" ref="BS75">IF(SUM(IF($E49:$E68=BR$47,IF($F49:$F68="",IF($Q49:$Q68&lt;&gt;"Y",IF(ISNUMBER(BS49:BS68),1,0))))) &gt;1,_xlfn.STDEV.S(IF($E49:$E68=BR$47,IF($F49:$F68="",IF($Q49:$Q68&lt;&gt;"Y",IF(ISNUMBER(BS49:BS68),BS49:BS68,""),""),""),"")),0)</f>
        <v>0</v>
      </c>
      <c r="BT75" s="262" t="s">
        <v>145</v>
      </c>
      <c r="BU75" s="261">
        <f t="array" ref="BU75">IF(SUM(IF($E49:$E68=BU$47,IF($F49:$F68="",IF($Q49:$Q68&lt;&gt;"Y",IF(ISNUMBER(BU49:BU68),1,0))))) &gt;1,_xlfn.STDEV.S(IF($E49:$E68=BU$47,IF($F49:$F68="",IF($Q49:$Q68&lt;&gt;"Y",IF(ISNUMBER(BU49:BU68),BU49:BU68,""),""),""),"")),0)</f>
        <v>0</v>
      </c>
      <c r="BV75" s="261">
        <f t="array" ref="BV75">IF(SUM(IF($E49:$E68=BU$47,IF($F49:$F68="",IF($Q49:$Q68&lt;&gt;"Y",IF(ISNUMBER(BV49:BV68),1,0))))) &gt;1,_xlfn.STDEV.S(IF($E49:$E68=BU$47,IF($F49:$F68="",IF($Q49:$Q68&lt;&gt;"Y",IF(ISNUMBER(BV49:BV68),BV49:BV68,""),""),""),"")),0)</f>
        <v>0</v>
      </c>
      <c r="BW75" s="262" t="s">
        <v>145</v>
      </c>
      <c r="BX75" s="91"/>
    </row>
    <row r="76" spans="1:76" s="55" customFormat="1" x14ac:dyDescent="0.2">
      <c r="B76" s="23"/>
      <c r="C76" s="122"/>
      <c r="D76" s="277"/>
      <c r="E76" s="278"/>
      <c r="F76" s="278"/>
      <c r="G76" s="278"/>
      <c r="H76" s="278"/>
      <c r="I76" s="278"/>
      <c r="J76" s="279"/>
      <c r="Q76" s="81"/>
      <c r="R76" s="280" t="s">
        <v>158</v>
      </c>
      <c r="T76" s="122"/>
      <c r="U76" s="281"/>
      <c r="V76" s="282"/>
      <c r="W76" s="283"/>
      <c r="Y76" s="91"/>
      <c r="AO76" s="91"/>
      <c r="AP76" s="122"/>
      <c r="AQ76" s="122"/>
      <c r="AR76" s="122"/>
      <c r="AS76" s="133" t="s">
        <v>159</v>
      </c>
      <c r="AT76" s="284">
        <f>COUNTIF(AT49:AT68,"&gt;0")</f>
        <v>1</v>
      </c>
      <c r="AU76" s="284">
        <f>COUNTIF(AU49:AU68,"&gt;0")</f>
        <v>1</v>
      </c>
      <c r="AV76" s="262" t="s">
        <v>160</v>
      </c>
      <c r="AW76" s="284">
        <f>COUNTIF(AW49:AW68,"&gt;0")</f>
        <v>1</v>
      </c>
      <c r="AX76" s="284">
        <f>COUNTIF(AX49:AX68,"&gt;0")</f>
        <v>1</v>
      </c>
      <c r="AY76" s="262" t="s">
        <v>160</v>
      </c>
      <c r="AZ76" s="284">
        <f>COUNTIF(AZ49:AZ68,"&gt;0")</f>
        <v>1</v>
      </c>
      <c r="BA76" s="284">
        <f>COUNTIF(BA49:BA68,"&gt;0")</f>
        <v>1</v>
      </c>
      <c r="BB76" s="262" t="s">
        <v>160</v>
      </c>
      <c r="BC76" s="284">
        <f>COUNTIF(BC49:BC68,"&gt;0")</f>
        <v>1</v>
      </c>
      <c r="BD76" s="284">
        <f>COUNTIF(BD49:BD68,"&gt;0")</f>
        <v>1</v>
      </c>
      <c r="BE76" s="262" t="s">
        <v>160</v>
      </c>
      <c r="BF76" s="284">
        <f>COUNTIF(BF49:BF68,"&gt;0")</f>
        <v>1</v>
      </c>
      <c r="BG76" s="284">
        <f>COUNTIF(BG49:BG68,"&gt;0")</f>
        <v>1</v>
      </c>
      <c r="BH76" s="262" t="s">
        <v>160</v>
      </c>
      <c r="BI76" s="284">
        <f>COUNTIF(BI49:BI68,"&gt;0")</f>
        <v>1</v>
      </c>
      <c r="BJ76" s="284">
        <f>COUNTIF(BJ49:BJ68,"&gt;0")</f>
        <v>1</v>
      </c>
      <c r="BK76" s="262" t="s">
        <v>160</v>
      </c>
      <c r="BL76" s="284">
        <f>COUNTIF(BL49:BL68,"&gt;0")</f>
        <v>0</v>
      </c>
      <c r="BM76" s="284">
        <f>COUNTIF(BM49:BM68,"&gt;0")</f>
        <v>0</v>
      </c>
      <c r="BN76" s="262" t="s">
        <v>160</v>
      </c>
      <c r="BO76" s="284">
        <f>COUNTIF(BO49:BO68,"&gt;0")</f>
        <v>0</v>
      </c>
      <c r="BP76" s="284">
        <f>COUNTIF(BP49:BP68,"&gt;0")</f>
        <v>0</v>
      </c>
      <c r="BQ76" s="262" t="s">
        <v>160</v>
      </c>
      <c r="BR76" s="284">
        <f>COUNTIF(BR49:BR68,"&gt;0")</f>
        <v>0</v>
      </c>
      <c r="BS76" s="284">
        <f>COUNTIF(BS49:BS68,"&gt;0")</f>
        <v>0</v>
      </c>
      <c r="BT76" s="262" t="s">
        <v>160</v>
      </c>
      <c r="BU76" s="284">
        <f>COUNTIF(BU49:BU68,"&gt;0")</f>
        <v>0</v>
      </c>
      <c r="BV76" s="284">
        <f>COUNTIF(BV49:BV68,"&gt;0")</f>
        <v>0</v>
      </c>
      <c r="BW76" s="262" t="s">
        <v>160</v>
      </c>
      <c r="BX76" s="91"/>
    </row>
    <row r="77" spans="1:76" s="55" customFormat="1" ht="14.25" x14ac:dyDescent="0.2">
      <c r="A77" s="285"/>
      <c r="B77" s="286"/>
      <c r="Q77" s="81"/>
      <c r="R77" s="287" t="s">
        <v>149</v>
      </c>
      <c r="T77" s="122"/>
      <c r="U77" s="281"/>
      <c r="V77" s="282"/>
      <c r="W77" s="283"/>
      <c r="Y77" s="91"/>
      <c r="AO77" s="91"/>
      <c r="BX77" s="91"/>
    </row>
    <row r="78" spans="1:76" s="55" customFormat="1" ht="14.25" x14ac:dyDescent="0.2">
      <c r="B78" s="23"/>
      <c r="Q78" s="81"/>
      <c r="T78" s="122"/>
      <c r="U78" s="288"/>
      <c r="V78" s="289"/>
      <c r="W78" s="290"/>
      <c r="Y78" s="91"/>
      <c r="AO78" s="91"/>
      <c r="BX78" s="91"/>
    </row>
    <row r="79" spans="1:76" s="55" customFormat="1" x14ac:dyDescent="0.25">
      <c r="B79" s="23"/>
      <c r="Q79" s="81"/>
      <c r="T79" s="122"/>
      <c r="U79" s="122"/>
      <c r="V79" s="122"/>
      <c r="W79" s="122"/>
      <c r="Y79" s="91"/>
      <c r="AO79" s="91"/>
      <c r="AS79" s="28"/>
      <c r="AT79" s="28"/>
      <c r="AU79" s="28"/>
      <c r="AV79" s="28"/>
      <c r="AW79" s="198"/>
      <c r="AX79" s="198"/>
      <c r="AY79" s="198"/>
      <c r="AZ79" s="28"/>
      <c r="BA79" s="28"/>
      <c r="BB79" s="198"/>
      <c r="BC79" s="198"/>
      <c r="BD79" s="198"/>
      <c r="BE79" s="28"/>
      <c r="BF79" s="28"/>
      <c r="BG79" s="198"/>
      <c r="BH79" s="198"/>
      <c r="BI79" s="198"/>
      <c r="BJ79" s="28"/>
      <c r="BK79" s="28"/>
      <c r="BL79" s="198"/>
      <c r="BM79" s="198"/>
      <c r="BN79" s="198"/>
      <c r="BO79" s="28"/>
      <c r="BP79" s="28"/>
      <c r="BQ79" s="198"/>
      <c r="BR79" s="198"/>
      <c r="BS79" s="198"/>
      <c r="BT79" s="28"/>
      <c r="BU79" s="28"/>
      <c r="BV79" s="198"/>
      <c r="BW79" s="28"/>
      <c r="BX79" s="91"/>
    </row>
    <row r="80" spans="1:76" s="185" customFormat="1" ht="30" x14ac:dyDescent="0.4">
      <c r="A80" s="182" t="s">
        <v>161</v>
      </c>
      <c r="B80" s="291"/>
      <c r="C80" s="183"/>
      <c r="D80" s="184"/>
      <c r="E80" s="184"/>
      <c r="F80" s="184"/>
      <c r="G80" s="184"/>
      <c r="J80" s="184"/>
      <c r="K80" s="184"/>
      <c r="Q80" s="186"/>
      <c r="R80" s="187" t="s">
        <v>93</v>
      </c>
      <c r="S80" s="187"/>
      <c r="T80" s="187"/>
      <c r="AH80" s="185" t="s">
        <v>91</v>
      </c>
    </row>
    <row r="81" spans="1:76" s="28" customFormat="1" ht="12.95" customHeight="1" x14ac:dyDescent="0.25">
      <c r="B81" s="96"/>
      <c r="C81" s="180"/>
      <c r="D81" s="120"/>
      <c r="E81" s="120"/>
      <c r="F81" s="120"/>
      <c r="G81" s="120"/>
      <c r="J81" s="120"/>
      <c r="K81" s="120"/>
      <c r="Q81" s="181"/>
      <c r="R81" s="292"/>
      <c r="S81" s="292"/>
      <c r="T81" s="292"/>
      <c r="Y81" s="99"/>
      <c r="AO81" s="99"/>
      <c r="BX81" s="99"/>
    </row>
    <row r="82" spans="1:76" s="99" customFormat="1" ht="18" x14ac:dyDescent="0.25">
      <c r="A82" s="188">
        <f>A46+1</f>
        <v>2</v>
      </c>
      <c r="B82" s="189"/>
      <c r="C82" s="293" t="s">
        <v>162</v>
      </c>
      <c r="D82" s="192"/>
      <c r="E82" s="192"/>
      <c r="F82" s="192"/>
      <c r="G82" s="175"/>
      <c r="H82" s="192"/>
      <c r="I82" s="192"/>
      <c r="J82" s="192"/>
      <c r="K82" s="192"/>
      <c r="L82" s="192"/>
      <c r="M82" s="192"/>
      <c r="N82" s="192"/>
      <c r="O82" s="192"/>
      <c r="P82" s="192"/>
      <c r="Q82" s="294"/>
      <c r="R82" s="192"/>
      <c r="S82" s="175"/>
      <c r="T82" s="175"/>
      <c r="U82" s="175"/>
      <c r="V82" s="175"/>
      <c r="W82" s="175"/>
      <c r="X82" s="175"/>
      <c r="AP82" s="295">
        <f>A82</f>
        <v>2</v>
      </c>
      <c r="AQ82" s="295" t="str">
        <f>C82</f>
        <v>CONVENTIONAL First Cost per Implementation Unit for replaced practices/technologies</v>
      </c>
      <c r="AR82" s="296"/>
      <c r="AS82" s="296"/>
      <c r="AT82" s="296"/>
      <c r="AU82" s="296"/>
      <c r="AV82" s="296"/>
      <c r="AW82" s="296"/>
      <c r="AX82" s="296"/>
      <c r="AY82" s="296"/>
      <c r="AZ82" s="296"/>
      <c r="BA82" s="296"/>
      <c r="BB82" s="296"/>
      <c r="BC82" s="296"/>
      <c r="BD82" s="296"/>
      <c r="BE82" s="296"/>
      <c r="BF82" s="296"/>
      <c r="BG82" s="296"/>
      <c r="BH82" s="296"/>
      <c r="BI82" s="296"/>
      <c r="BJ82" s="296"/>
      <c r="BK82" s="296"/>
      <c r="BL82" s="296"/>
      <c r="BM82" s="296"/>
      <c r="BN82" s="296"/>
      <c r="BO82" s="296"/>
      <c r="BP82" s="296"/>
      <c r="BQ82" s="296"/>
      <c r="BR82" s="296"/>
      <c r="BS82" s="296"/>
      <c r="BT82" s="296"/>
      <c r="BU82" s="296"/>
      <c r="BV82" s="296"/>
      <c r="BW82" s="296"/>
    </row>
    <row r="83" spans="1:76" s="210" customFormat="1" ht="30.75" thickBot="1" x14ac:dyDescent="0.3">
      <c r="A83" s="297" t="s">
        <v>105</v>
      </c>
      <c r="B83" s="200" t="s">
        <v>106</v>
      </c>
      <c r="C83" s="298" t="s">
        <v>107</v>
      </c>
      <c r="D83" s="299" t="s">
        <v>108</v>
      </c>
      <c r="E83" s="299" t="s">
        <v>109</v>
      </c>
      <c r="F83" s="300" t="s">
        <v>110</v>
      </c>
      <c r="G83" s="201" t="s">
        <v>111</v>
      </c>
      <c r="H83" s="202" t="s">
        <v>112</v>
      </c>
      <c r="I83" s="203" t="s">
        <v>113</v>
      </c>
      <c r="J83" s="301" t="s">
        <v>114</v>
      </c>
      <c r="K83" s="205" t="s">
        <v>115</v>
      </c>
      <c r="L83" s="302" t="s">
        <v>116</v>
      </c>
      <c r="M83" s="207" t="s">
        <v>117</v>
      </c>
      <c r="N83" s="208" t="s">
        <v>118</v>
      </c>
      <c r="O83" s="208" t="s">
        <v>119</v>
      </c>
      <c r="Q83" s="211" t="s">
        <v>120</v>
      </c>
      <c r="R83" s="212" t="s">
        <v>121</v>
      </c>
      <c r="S83" s="212" t="s">
        <v>122</v>
      </c>
      <c r="T83" s="212" t="s">
        <v>123</v>
      </c>
      <c r="U83" s="213" t="s">
        <v>124</v>
      </c>
      <c r="Y83" s="303"/>
      <c r="AO83" s="303"/>
      <c r="AP83" s="28"/>
      <c r="AQ83" s="28"/>
      <c r="AR83" s="28"/>
      <c r="AS83" s="28"/>
      <c r="AT83" s="198" t="s">
        <v>95</v>
      </c>
      <c r="AU83" s="198"/>
      <c r="AV83" s="28"/>
      <c r="AW83" s="198" t="s">
        <v>96</v>
      </c>
      <c r="AX83" s="198"/>
      <c r="AY83" s="28"/>
      <c r="AZ83" s="198" t="s">
        <v>97</v>
      </c>
      <c r="BA83" s="198"/>
      <c r="BB83" s="28"/>
      <c r="BC83" s="198" t="s">
        <v>98</v>
      </c>
      <c r="BD83" s="198"/>
      <c r="BE83" s="28"/>
      <c r="BF83" s="198" t="s">
        <v>99</v>
      </c>
      <c r="BG83" s="198"/>
      <c r="BH83" s="28"/>
      <c r="BI83" s="198" t="s">
        <v>100</v>
      </c>
      <c r="BJ83" s="198"/>
      <c r="BK83" s="28"/>
      <c r="BL83" s="198" t="s">
        <v>101</v>
      </c>
      <c r="BM83" s="198"/>
      <c r="BN83" s="28"/>
      <c r="BO83" s="198" t="s">
        <v>102</v>
      </c>
      <c r="BP83" s="198"/>
      <c r="BQ83" s="28"/>
      <c r="BR83" s="198" t="s">
        <v>103</v>
      </c>
      <c r="BS83" s="198"/>
      <c r="BT83" s="28"/>
      <c r="BU83" s="198" t="s">
        <v>104</v>
      </c>
      <c r="BV83" s="28"/>
      <c r="BW83" s="28"/>
      <c r="BX83" s="303"/>
    </row>
    <row r="84" spans="1:76" s="28" customFormat="1" x14ac:dyDescent="0.25">
      <c r="A84" s="195">
        <v>1</v>
      </c>
      <c r="B84" s="216" t="str">
        <f t="shared" ref="B84:B103" si="28">CONCATENATE(E84,": ",C84)</f>
        <v xml:space="preserve">: </v>
      </c>
      <c r="C84" s="219"/>
      <c r="D84" s="219"/>
      <c r="E84" s="219"/>
      <c r="F84" s="219"/>
      <c r="G84" s="220"/>
      <c r="H84" s="221"/>
      <c r="I84" s="220"/>
      <c r="J84" s="227"/>
      <c r="K84" s="226"/>
      <c r="L84" s="224"/>
      <c r="M84" s="225" t="str">
        <f t="shared" ref="M84:M103" si="29">CONCATENATE("US2014$/",AdoptionUnitOfMeasure)</f>
        <v>US2014$/kg of protein</v>
      </c>
      <c r="N84" s="226"/>
      <c r="O84" s="242"/>
      <c r="P84" s="122"/>
      <c r="Q84" s="228"/>
      <c r="R84" s="231" t="str">
        <f>IF(Q84="Y","",IF(AND(L84="",J84=""),"",IF(L84="",J84,L84)))</f>
        <v/>
      </c>
      <c r="S84" s="230" t="str">
        <f t="shared" ref="S84:S103" si="30">IF(R84="","",IF($R$112="Y",T84,IF(R84&gt;=$R$104-$AA$35*$R$108,IF(R84&lt;=$R$104+$AA$35*$R$108,R84,""),"")))</f>
        <v/>
      </c>
      <c r="T84" s="231" t="str">
        <f t="shared" ref="T84:T103" si="31">IF(OR(Q84="Y",IFERROR(R84&gt;$R$104+$R$108*$AA$35,0),IFERROR(R84&lt;$R$104-$R$108*$AA$35,0)),"",IFERROR(R84*N84,""))</f>
        <v/>
      </c>
      <c r="U84" s="232" t="str">
        <f t="shared" ref="U84:U103" si="32">IF(AND(M84="",K84=""),"",IF(M84="",K84,M84))</f>
        <v>US2014$/kg of protein</v>
      </c>
      <c r="Y84" s="99"/>
      <c r="AO84" s="99"/>
      <c r="AP84" s="210"/>
      <c r="AQ84" s="210"/>
      <c r="AR84" s="213" t="s">
        <v>125</v>
      </c>
      <c r="AS84" s="210"/>
      <c r="AT84" s="215" t="s">
        <v>121</v>
      </c>
      <c r="AU84" s="215" t="s">
        <v>122</v>
      </c>
      <c r="AV84" s="210"/>
      <c r="AW84" s="215" t="s">
        <v>121</v>
      </c>
      <c r="AX84" s="215" t="s">
        <v>122</v>
      </c>
      <c r="AY84" s="210"/>
      <c r="AZ84" s="215" t="s">
        <v>121</v>
      </c>
      <c r="BA84" s="215" t="s">
        <v>122</v>
      </c>
      <c r="BB84" s="210"/>
      <c r="BC84" s="215" t="s">
        <v>121</v>
      </c>
      <c r="BD84" s="215" t="s">
        <v>122</v>
      </c>
      <c r="BE84" s="210"/>
      <c r="BF84" s="215" t="s">
        <v>121</v>
      </c>
      <c r="BG84" s="215" t="s">
        <v>122</v>
      </c>
      <c r="BH84" s="210"/>
      <c r="BI84" s="215" t="s">
        <v>121</v>
      </c>
      <c r="BJ84" s="215" t="s">
        <v>122</v>
      </c>
      <c r="BK84" s="210"/>
      <c r="BL84" s="215" t="s">
        <v>121</v>
      </c>
      <c r="BM84" s="215" t="s">
        <v>122</v>
      </c>
      <c r="BN84" s="210"/>
      <c r="BO84" s="215" t="s">
        <v>121</v>
      </c>
      <c r="BP84" s="215" t="s">
        <v>122</v>
      </c>
      <c r="BQ84" s="210"/>
      <c r="BR84" s="215" t="s">
        <v>121</v>
      </c>
      <c r="BS84" s="215" t="s">
        <v>122</v>
      </c>
      <c r="BT84" s="210"/>
      <c r="BU84" s="215" t="s">
        <v>121</v>
      </c>
      <c r="BV84" s="215" t="s">
        <v>122</v>
      </c>
      <c r="BW84" s="210"/>
      <c r="BX84" s="99"/>
    </row>
    <row r="85" spans="1:76" s="28" customFormat="1" x14ac:dyDescent="0.25">
      <c r="A85" s="195">
        <v>2</v>
      </c>
      <c r="B85" s="216" t="str">
        <f t="shared" si="28"/>
        <v xml:space="preserve">: </v>
      </c>
      <c r="C85" s="219"/>
      <c r="D85" s="219"/>
      <c r="E85" s="219"/>
      <c r="F85" s="219"/>
      <c r="G85" s="220"/>
      <c r="H85" s="221"/>
      <c r="I85" s="220"/>
      <c r="J85" s="227"/>
      <c r="K85" s="227"/>
      <c r="L85" s="236"/>
      <c r="M85" s="225" t="str">
        <f t="shared" si="29"/>
        <v>US2014$/kg of protein</v>
      </c>
      <c r="N85" s="227"/>
      <c r="O85" s="242"/>
      <c r="P85" s="122"/>
      <c r="Q85" s="228"/>
      <c r="R85" s="231" t="str">
        <f t="shared" ref="R85:R103" si="33">IF(Q85="Y","",IF(AND(L85="",J85=""),"",IF(L85="",J85,L85)))</f>
        <v/>
      </c>
      <c r="S85" s="230" t="str">
        <f t="shared" si="30"/>
        <v/>
      </c>
      <c r="T85" s="231" t="str">
        <f t="shared" si="31"/>
        <v/>
      </c>
      <c r="U85" s="232" t="str">
        <f t="shared" si="32"/>
        <v>US2014$/kg of protein</v>
      </c>
      <c r="Y85" s="99"/>
      <c r="AO85" s="99"/>
      <c r="AR85" s="233" t="str">
        <f>$U85</f>
        <v>US2014$/kg of protein</v>
      </c>
      <c r="AT85" s="304" t="str">
        <f>IF($E85=$AT$47,R85,"")</f>
        <v/>
      </c>
      <c r="AU85" s="304" t="str">
        <f>IF($E85=$AT$47,S85,"")</f>
        <v/>
      </c>
      <c r="AW85" s="304" t="str">
        <f t="shared" ref="AW85:AX100" si="34">IF($E84=$AW$83,R84,"")</f>
        <v/>
      </c>
      <c r="AX85" s="304" t="str">
        <f t="shared" si="34"/>
        <v/>
      </c>
      <c r="AZ85" s="304" t="str">
        <f t="shared" ref="AZ85:BA100" si="35">IF($E84=$AZ$83,R84,"")</f>
        <v/>
      </c>
      <c r="BA85" s="304" t="str">
        <f t="shared" si="35"/>
        <v/>
      </c>
      <c r="BC85" s="304" t="str">
        <f t="shared" ref="BC85:BD100" si="36">IF($E84=$BC$83,R84,"")</f>
        <v/>
      </c>
      <c r="BD85" s="304" t="str">
        <f t="shared" si="36"/>
        <v/>
      </c>
      <c r="BF85" s="304" t="str">
        <f t="shared" ref="BF85:BG100" si="37">IF($E84=$BF$83,R84,"")</f>
        <v/>
      </c>
      <c r="BG85" s="304" t="str">
        <f t="shared" si="37"/>
        <v/>
      </c>
      <c r="BI85" s="304" t="str">
        <f t="shared" ref="BI85:BJ100" si="38">IF($E84=$BI$83,R84,"")</f>
        <v/>
      </c>
      <c r="BJ85" s="304" t="str">
        <f t="shared" si="38"/>
        <v/>
      </c>
      <c r="BL85" s="304" t="str">
        <f t="shared" ref="BL85:BM100" si="39">IF($E84=$BL$83,R84,"")</f>
        <v/>
      </c>
      <c r="BM85" s="304" t="str">
        <f t="shared" si="39"/>
        <v/>
      </c>
      <c r="BO85" s="304" t="str">
        <f t="shared" ref="BO85:BP100" si="40">IF($E84=$BO$83,R84,"")</f>
        <v/>
      </c>
      <c r="BP85" s="304" t="str">
        <f t="shared" si="40"/>
        <v/>
      </c>
      <c r="BR85" s="304" t="str">
        <f t="shared" ref="BR85:BS100" si="41">IF($E84=$BR$83,R84,"")</f>
        <v/>
      </c>
      <c r="BS85" s="304" t="str">
        <f t="shared" si="41"/>
        <v/>
      </c>
      <c r="BU85" s="304" t="str">
        <f t="shared" ref="BU85:BV100" si="42">IF($E84=$BU$83,R84,"")</f>
        <v/>
      </c>
      <c r="BV85" s="304" t="str">
        <f t="shared" si="42"/>
        <v/>
      </c>
      <c r="BX85" s="99"/>
    </row>
    <row r="86" spans="1:76" s="28" customFormat="1" x14ac:dyDescent="0.25">
      <c r="A86" s="195">
        <v>3</v>
      </c>
      <c r="B86" s="216" t="str">
        <f>CONCATENATE(E86,": ",C86)</f>
        <v xml:space="preserve">: </v>
      </c>
      <c r="C86" s="221"/>
      <c r="D86" s="221"/>
      <c r="E86" s="221"/>
      <c r="F86" s="221"/>
      <c r="G86" s="240"/>
      <c r="H86" s="221"/>
      <c r="I86" s="240"/>
      <c r="J86" s="241"/>
      <c r="K86" s="241"/>
      <c r="L86" s="236"/>
      <c r="M86" s="225" t="str">
        <f t="shared" si="29"/>
        <v>US2014$/kg of protein</v>
      </c>
      <c r="N86" s="227"/>
      <c r="O86" s="242"/>
      <c r="P86" s="122"/>
      <c r="Q86" s="228"/>
      <c r="R86" s="231" t="str">
        <f t="shared" si="33"/>
        <v/>
      </c>
      <c r="S86" s="230" t="str">
        <f t="shared" si="30"/>
        <v/>
      </c>
      <c r="T86" s="231" t="str">
        <f t="shared" si="31"/>
        <v/>
      </c>
      <c r="U86" s="232" t="str">
        <f t="shared" si="32"/>
        <v>US2014$/kg of protein</v>
      </c>
      <c r="Y86" s="99"/>
      <c r="AO86" s="99"/>
      <c r="AR86" s="237"/>
      <c r="AT86" s="304" t="str">
        <f>IF($E86=$AT$47,R86,"")</f>
        <v/>
      </c>
      <c r="AU86" s="304" t="str">
        <f t="shared" ref="AU86:AU104" si="43">IF($E86=$AT$47,S86,"")</f>
        <v/>
      </c>
      <c r="AW86" s="304" t="str">
        <f t="shared" si="34"/>
        <v/>
      </c>
      <c r="AX86" s="304" t="str">
        <f t="shared" si="34"/>
        <v/>
      </c>
      <c r="AZ86" s="304" t="str">
        <f t="shared" si="35"/>
        <v/>
      </c>
      <c r="BA86" s="304" t="str">
        <f t="shared" si="35"/>
        <v/>
      </c>
      <c r="BC86" s="304" t="str">
        <f t="shared" si="36"/>
        <v/>
      </c>
      <c r="BD86" s="304" t="str">
        <f t="shared" si="36"/>
        <v/>
      </c>
      <c r="BF86" s="304" t="str">
        <f t="shared" si="37"/>
        <v/>
      </c>
      <c r="BG86" s="304" t="str">
        <f t="shared" si="37"/>
        <v/>
      </c>
      <c r="BI86" s="304" t="str">
        <f t="shared" si="38"/>
        <v/>
      </c>
      <c r="BJ86" s="304" t="str">
        <f t="shared" si="38"/>
        <v/>
      </c>
      <c r="BL86" s="304" t="str">
        <f t="shared" si="39"/>
        <v/>
      </c>
      <c r="BM86" s="304" t="str">
        <f t="shared" si="39"/>
        <v/>
      </c>
      <c r="BO86" s="304" t="str">
        <f t="shared" si="40"/>
        <v/>
      </c>
      <c r="BP86" s="304" t="str">
        <f t="shared" si="40"/>
        <v/>
      </c>
      <c r="BR86" s="304" t="str">
        <f t="shared" si="41"/>
        <v/>
      </c>
      <c r="BS86" s="304" t="str">
        <f t="shared" si="41"/>
        <v/>
      </c>
      <c r="BU86" s="304" t="str">
        <f t="shared" si="42"/>
        <v/>
      </c>
      <c r="BV86" s="304" t="str">
        <f t="shared" si="42"/>
        <v/>
      </c>
      <c r="BX86" s="99"/>
    </row>
    <row r="87" spans="1:76" s="28" customFormat="1" x14ac:dyDescent="0.25">
      <c r="A87" s="195">
        <v>4</v>
      </c>
      <c r="B87" s="216" t="str">
        <f t="shared" si="28"/>
        <v xml:space="preserve">: </v>
      </c>
      <c r="C87" s="221"/>
      <c r="D87" s="221"/>
      <c r="E87" s="221"/>
      <c r="F87" s="221"/>
      <c r="G87" s="240"/>
      <c r="H87" s="221"/>
      <c r="I87" s="240"/>
      <c r="J87" s="241"/>
      <c r="K87" s="241"/>
      <c r="L87" s="236"/>
      <c r="M87" s="225" t="str">
        <f t="shared" si="29"/>
        <v>US2014$/kg of protein</v>
      </c>
      <c r="N87" s="227"/>
      <c r="O87" s="242"/>
      <c r="P87" s="122"/>
      <c r="Q87" s="228"/>
      <c r="R87" s="231" t="str">
        <f t="shared" si="33"/>
        <v/>
      </c>
      <c r="S87" s="230" t="str">
        <f t="shared" si="30"/>
        <v/>
      </c>
      <c r="T87" s="231" t="str">
        <f t="shared" si="31"/>
        <v/>
      </c>
      <c r="U87" s="232" t="str">
        <f t="shared" si="32"/>
        <v>US2014$/kg of protein</v>
      </c>
      <c r="Y87" s="99"/>
      <c r="AO87" s="99"/>
      <c r="AR87" s="237"/>
      <c r="AT87" s="304" t="str">
        <f t="shared" ref="AT87:AT104" si="44">IF($E87=$AT$47,R87,"")</f>
        <v/>
      </c>
      <c r="AU87" s="304" t="str">
        <f t="shared" si="43"/>
        <v/>
      </c>
      <c r="AW87" s="304" t="str">
        <f t="shared" si="34"/>
        <v/>
      </c>
      <c r="AX87" s="304" t="str">
        <f t="shared" si="34"/>
        <v/>
      </c>
      <c r="AZ87" s="304" t="str">
        <f t="shared" si="35"/>
        <v/>
      </c>
      <c r="BA87" s="304" t="str">
        <f t="shared" si="35"/>
        <v/>
      </c>
      <c r="BC87" s="304" t="str">
        <f t="shared" si="36"/>
        <v/>
      </c>
      <c r="BD87" s="304" t="str">
        <f t="shared" si="36"/>
        <v/>
      </c>
      <c r="BF87" s="304" t="str">
        <f t="shared" si="37"/>
        <v/>
      </c>
      <c r="BG87" s="304" t="str">
        <f t="shared" si="37"/>
        <v/>
      </c>
      <c r="BI87" s="304" t="str">
        <f t="shared" si="38"/>
        <v/>
      </c>
      <c r="BJ87" s="304" t="str">
        <f t="shared" si="38"/>
        <v/>
      </c>
      <c r="BL87" s="304" t="str">
        <f t="shared" si="39"/>
        <v/>
      </c>
      <c r="BM87" s="304" t="str">
        <f t="shared" si="39"/>
        <v/>
      </c>
      <c r="BO87" s="304" t="str">
        <f t="shared" si="40"/>
        <v/>
      </c>
      <c r="BP87" s="304" t="str">
        <f t="shared" si="40"/>
        <v/>
      </c>
      <c r="BR87" s="304" t="str">
        <f t="shared" si="41"/>
        <v/>
      </c>
      <c r="BS87" s="304" t="str">
        <f t="shared" si="41"/>
        <v/>
      </c>
      <c r="BU87" s="304" t="str">
        <f t="shared" si="42"/>
        <v/>
      </c>
      <c r="BV87" s="304" t="str">
        <f t="shared" si="42"/>
        <v/>
      </c>
      <c r="BX87" s="99"/>
    </row>
    <row r="88" spans="1:76" s="28" customFormat="1" x14ac:dyDescent="0.25">
      <c r="A88" s="195">
        <v>5</v>
      </c>
      <c r="B88" s="216" t="str">
        <f t="shared" si="28"/>
        <v xml:space="preserve">: </v>
      </c>
      <c r="C88" s="221"/>
      <c r="D88" s="221"/>
      <c r="E88" s="221"/>
      <c r="F88" s="221"/>
      <c r="G88" s="240"/>
      <c r="H88" s="221"/>
      <c r="I88" s="240"/>
      <c r="J88" s="241"/>
      <c r="K88" s="241"/>
      <c r="L88" s="236"/>
      <c r="M88" s="225" t="str">
        <f t="shared" si="29"/>
        <v>US2014$/kg of protein</v>
      </c>
      <c r="N88" s="227"/>
      <c r="O88" s="242"/>
      <c r="P88" s="122"/>
      <c r="Q88" s="228"/>
      <c r="R88" s="231" t="str">
        <f t="shared" si="33"/>
        <v/>
      </c>
      <c r="S88" s="230" t="str">
        <f t="shared" si="30"/>
        <v/>
      </c>
      <c r="T88" s="231" t="str">
        <f t="shared" si="31"/>
        <v/>
      </c>
      <c r="U88" s="232" t="str">
        <f t="shared" si="32"/>
        <v>US2014$/kg of protein</v>
      </c>
      <c r="Y88" s="99"/>
      <c r="AO88" s="99"/>
      <c r="AR88" s="237"/>
      <c r="AT88" s="304" t="str">
        <f t="shared" si="44"/>
        <v/>
      </c>
      <c r="AU88" s="304" t="str">
        <f t="shared" si="43"/>
        <v/>
      </c>
      <c r="AW88" s="304" t="str">
        <f t="shared" si="34"/>
        <v/>
      </c>
      <c r="AX88" s="304" t="str">
        <f t="shared" si="34"/>
        <v/>
      </c>
      <c r="AZ88" s="304" t="str">
        <f t="shared" si="35"/>
        <v/>
      </c>
      <c r="BA88" s="304" t="str">
        <f t="shared" si="35"/>
        <v/>
      </c>
      <c r="BC88" s="304" t="str">
        <f t="shared" si="36"/>
        <v/>
      </c>
      <c r="BD88" s="304" t="str">
        <f t="shared" si="36"/>
        <v/>
      </c>
      <c r="BF88" s="304" t="str">
        <f t="shared" si="37"/>
        <v/>
      </c>
      <c r="BG88" s="304" t="str">
        <f t="shared" si="37"/>
        <v/>
      </c>
      <c r="BI88" s="304" t="str">
        <f t="shared" si="38"/>
        <v/>
      </c>
      <c r="BJ88" s="304" t="str">
        <f t="shared" si="38"/>
        <v/>
      </c>
      <c r="BL88" s="304" t="str">
        <f t="shared" si="39"/>
        <v/>
      </c>
      <c r="BM88" s="304" t="str">
        <f t="shared" si="39"/>
        <v/>
      </c>
      <c r="BO88" s="304" t="str">
        <f t="shared" si="40"/>
        <v/>
      </c>
      <c r="BP88" s="304" t="str">
        <f t="shared" si="40"/>
        <v/>
      </c>
      <c r="BR88" s="304" t="str">
        <f t="shared" si="41"/>
        <v/>
      </c>
      <c r="BS88" s="304" t="str">
        <f t="shared" si="41"/>
        <v/>
      </c>
      <c r="BU88" s="304" t="str">
        <f t="shared" si="42"/>
        <v/>
      </c>
      <c r="BV88" s="304" t="str">
        <f t="shared" si="42"/>
        <v/>
      </c>
      <c r="BX88" s="99"/>
    </row>
    <row r="89" spans="1:76" s="28" customFormat="1" x14ac:dyDescent="0.25">
      <c r="A89" s="195">
        <v>6</v>
      </c>
      <c r="B89" s="216" t="str">
        <f t="shared" si="28"/>
        <v xml:space="preserve">: </v>
      </c>
      <c r="C89" s="221"/>
      <c r="D89" s="221"/>
      <c r="E89" s="221"/>
      <c r="F89" s="221"/>
      <c r="G89" s="240"/>
      <c r="H89" s="221"/>
      <c r="I89" s="240"/>
      <c r="J89" s="241"/>
      <c r="K89" s="241"/>
      <c r="L89" s="236"/>
      <c r="M89" s="225" t="str">
        <f t="shared" si="29"/>
        <v>US2014$/kg of protein</v>
      </c>
      <c r="N89" s="227"/>
      <c r="O89" s="242"/>
      <c r="P89" s="122"/>
      <c r="Q89" s="228"/>
      <c r="R89" s="231" t="str">
        <f t="shared" si="33"/>
        <v/>
      </c>
      <c r="S89" s="230" t="str">
        <f t="shared" si="30"/>
        <v/>
      </c>
      <c r="T89" s="231" t="str">
        <f t="shared" si="31"/>
        <v/>
      </c>
      <c r="U89" s="232" t="str">
        <f t="shared" si="32"/>
        <v>US2014$/kg of protein</v>
      </c>
      <c r="Y89" s="99"/>
      <c r="AO89" s="99"/>
      <c r="AR89" s="237"/>
      <c r="AT89" s="304" t="str">
        <f t="shared" si="44"/>
        <v/>
      </c>
      <c r="AU89" s="304" t="str">
        <f t="shared" si="43"/>
        <v/>
      </c>
      <c r="AW89" s="304" t="str">
        <f t="shared" si="34"/>
        <v/>
      </c>
      <c r="AX89" s="304" t="str">
        <f t="shared" si="34"/>
        <v/>
      </c>
      <c r="AZ89" s="304" t="str">
        <f t="shared" si="35"/>
        <v/>
      </c>
      <c r="BA89" s="304" t="str">
        <f t="shared" si="35"/>
        <v/>
      </c>
      <c r="BC89" s="304" t="str">
        <f t="shared" si="36"/>
        <v/>
      </c>
      <c r="BD89" s="304" t="str">
        <f t="shared" si="36"/>
        <v/>
      </c>
      <c r="BF89" s="304" t="str">
        <f t="shared" si="37"/>
        <v/>
      </c>
      <c r="BG89" s="304" t="str">
        <f t="shared" si="37"/>
        <v/>
      </c>
      <c r="BI89" s="304" t="str">
        <f t="shared" si="38"/>
        <v/>
      </c>
      <c r="BJ89" s="304" t="str">
        <f t="shared" si="38"/>
        <v/>
      </c>
      <c r="BL89" s="304" t="str">
        <f t="shared" si="39"/>
        <v/>
      </c>
      <c r="BM89" s="304" t="str">
        <f t="shared" si="39"/>
        <v/>
      </c>
      <c r="BO89" s="304" t="str">
        <f t="shared" si="40"/>
        <v/>
      </c>
      <c r="BP89" s="304" t="str">
        <f t="shared" si="40"/>
        <v/>
      </c>
      <c r="BR89" s="304" t="str">
        <f t="shared" si="41"/>
        <v/>
      </c>
      <c r="BS89" s="304" t="str">
        <f t="shared" si="41"/>
        <v/>
      </c>
      <c r="BU89" s="304" t="str">
        <f t="shared" si="42"/>
        <v/>
      </c>
      <c r="BV89" s="304" t="str">
        <f t="shared" si="42"/>
        <v/>
      </c>
      <c r="BX89" s="99"/>
    </row>
    <row r="90" spans="1:76" s="28" customFormat="1" x14ac:dyDescent="0.25">
      <c r="A90" s="195">
        <v>7</v>
      </c>
      <c r="B90" s="216" t="str">
        <f t="shared" si="28"/>
        <v xml:space="preserve">: </v>
      </c>
      <c r="C90" s="221"/>
      <c r="D90" s="221"/>
      <c r="E90" s="221"/>
      <c r="F90" s="221"/>
      <c r="G90" s="240"/>
      <c r="H90" s="221"/>
      <c r="I90" s="240"/>
      <c r="J90" s="241"/>
      <c r="K90" s="241"/>
      <c r="L90" s="236"/>
      <c r="M90" s="225" t="str">
        <f t="shared" si="29"/>
        <v>US2014$/kg of protein</v>
      </c>
      <c r="N90" s="227"/>
      <c r="O90" s="242"/>
      <c r="P90" s="122"/>
      <c r="Q90" s="228"/>
      <c r="R90" s="231" t="str">
        <f t="shared" si="33"/>
        <v/>
      </c>
      <c r="S90" s="230" t="str">
        <f t="shared" si="30"/>
        <v/>
      </c>
      <c r="T90" s="231" t="str">
        <f t="shared" si="31"/>
        <v/>
      </c>
      <c r="U90" s="232" t="str">
        <f t="shared" si="32"/>
        <v>US2014$/kg of protein</v>
      </c>
      <c r="Y90" s="99"/>
      <c r="AO90" s="99"/>
      <c r="AR90" s="237"/>
      <c r="AT90" s="304" t="str">
        <f t="shared" si="44"/>
        <v/>
      </c>
      <c r="AU90" s="304" t="str">
        <f t="shared" si="43"/>
        <v/>
      </c>
      <c r="AW90" s="304" t="str">
        <f t="shared" si="34"/>
        <v/>
      </c>
      <c r="AX90" s="304" t="str">
        <f t="shared" si="34"/>
        <v/>
      </c>
      <c r="AZ90" s="304" t="str">
        <f t="shared" si="35"/>
        <v/>
      </c>
      <c r="BA90" s="304" t="str">
        <f t="shared" si="35"/>
        <v/>
      </c>
      <c r="BC90" s="304" t="str">
        <f t="shared" si="36"/>
        <v/>
      </c>
      <c r="BD90" s="304" t="str">
        <f t="shared" si="36"/>
        <v/>
      </c>
      <c r="BF90" s="304" t="str">
        <f t="shared" si="37"/>
        <v/>
      </c>
      <c r="BG90" s="304" t="str">
        <f t="shared" si="37"/>
        <v/>
      </c>
      <c r="BI90" s="304" t="str">
        <f t="shared" si="38"/>
        <v/>
      </c>
      <c r="BJ90" s="304" t="str">
        <f t="shared" si="38"/>
        <v/>
      </c>
      <c r="BL90" s="304" t="str">
        <f t="shared" si="39"/>
        <v/>
      </c>
      <c r="BM90" s="304" t="str">
        <f t="shared" si="39"/>
        <v/>
      </c>
      <c r="BO90" s="304" t="str">
        <f t="shared" si="40"/>
        <v/>
      </c>
      <c r="BP90" s="304" t="str">
        <f t="shared" si="40"/>
        <v/>
      </c>
      <c r="BR90" s="304" t="str">
        <f t="shared" si="41"/>
        <v/>
      </c>
      <c r="BS90" s="304" t="str">
        <f t="shared" si="41"/>
        <v/>
      </c>
      <c r="BU90" s="304" t="str">
        <f t="shared" si="42"/>
        <v/>
      </c>
      <c r="BV90" s="304" t="str">
        <f t="shared" si="42"/>
        <v/>
      </c>
      <c r="BX90" s="99"/>
    </row>
    <row r="91" spans="1:76" s="28" customFormat="1" x14ac:dyDescent="0.25">
      <c r="A91" s="195">
        <v>8</v>
      </c>
      <c r="B91" s="216" t="str">
        <f t="shared" si="28"/>
        <v xml:space="preserve">: </v>
      </c>
      <c r="C91" s="221"/>
      <c r="D91" s="221"/>
      <c r="E91" s="221"/>
      <c r="F91" s="221"/>
      <c r="G91" s="240"/>
      <c r="H91" s="221"/>
      <c r="I91" s="240"/>
      <c r="J91" s="241"/>
      <c r="K91" s="241"/>
      <c r="L91" s="236"/>
      <c r="M91" s="225" t="str">
        <f t="shared" si="29"/>
        <v>US2014$/kg of protein</v>
      </c>
      <c r="N91" s="227"/>
      <c r="O91" s="242"/>
      <c r="P91" s="122"/>
      <c r="Q91" s="228"/>
      <c r="R91" s="231" t="str">
        <f t="shared" si="33"/>
        <v/>
      </c>
      <c r="S91" s="230" t="str">
        <f t="shared" si="30"/>
        <v/>
      </c>
      <c r="T91" s="231" t="str">
        <f t="shared" si="31"/>
        <v/>
      </c>
      <c r="U91" s="232" t="str">
        <f t="shared" si="32"/>
        <v>US2014$/kg of protein</v>
      </c>
      <c r="Y91" s="99"/>
      <c r="AO91" s="99"/>
      <c r="AR91" s="237"/>
      <c r="AT91" s="304" t="str">
        <f t="shared" si="44"/>
        <v/>
      </c>
      <c r="AU91" s="304" t="str">
        <f t="shared" si="43"/>
        <v/>
      </c>
      <c r="AW91" s="304" t="str">
        <f t="shared" si="34"/>
        <v/>
      </c>
      <c r="AX91" s="304" t="str">
        <f t="shared" si="34"/>
        <v/>
      </c>
      <c r="AZ91" s="304" t="str">
        <f t="shared" si="35"/>
        <v/>
      </c>
      <c r="BA91" s="304" t="str">
        <f t="shared" si="35"/>
        <v/>
      </c>
      <c r="BC91" s="304" t="str">
        <f t="shared" si="36"/>
        <v/>
      </c>
      <c r="BD91" s="304" t="str">
        <f t="shared" si="36"/>
        <v/>
      </c>
      <c r="BF91" s="304" t="str">
        <f t="shared" si="37"/>
        <v/>
      </c>
      <c r="BG91" s="304" t="str">
        <f t="shared" si="37"/>
        <v/>
      </c>
      <c r="BI91" s="304" t="str">
        <f t="shared" si="38"/>
        <v/>
      </c>
      <c r="BJ91" s="304" t="str">
        <f t="shared" si="38"/>
        <v/>
      </c>
      <c r="BL91" s="304" t="str">
        <f t="shared" si="39"/>
        <v/>
      </c>
      <c r="BM91" s="304" t="str">
        <f t="shared" si="39"/>
        <v/>
      </c>
      <c r="BO91" s="304" t="str">
        <f t="shared" si="40"/>
        <v/>
      </c>
      <c r="BP91" s="304" t="str">
        <f t="shared" si="40"/>
        <v/>
      </c>
      <c r="BR91" s="304" t="str">
        <f t="shared" si="41"/>
        <v/>
      </c>
      <c r="BS91" s="304" t="str">
        <f t="shared" si="41"/>
        <v/>
      </c>
      <c r="BU91" s="304" t="str">
        <f t="shared" si="42"/>
        <v/>
      </c>
      <c r="BV91" s="304" t="str">
        <f t="shared" si="42"/>
        <v/>
      </c>
      <c r="BX91" s="99"/>
    </row>
    <row r="92" spans="1:76" s="28" customFormat="1" x14ac:dyDescent="0.25">
      <c r="A92" s="195">
        <v>9</v>
      </c>
      <c r="B92" s="216" t="str">
        <f t="shared" si="28"/>
        <v xml:space="preserve">: </v>
      </c>
      <c r="C92" s="221"/>
      <c r="D92" s="221"/>
      <c r="E92" s="221"/>
      <c r="F92" s="221"/>
      <c r="G92" s="240"/>
      <c r="H92" s="221"/>
      <c r="I92" s="240"/>
      <c r="J92" s="241"/>
      <c r="K92" s="241"/>
      <c r="L92" s="236"/>
      <c r="M92" s="225" t="str">
        <f t="shared" si="29"/>
        <v>US2014$/kg of protein</v>
      </c>
      <c r="N92" s="227"/>
      <c r="O92" s="242"/>
      <c r="P92" s="122"/>
      <c r="Q92" s="228"/>
      <c r="R92" s="231" t="str">
        <f t="shared" si="33"/>
        <v/>
      </c>
      <c r="S92" s="230" t="str">
        <f t="shared" si="30"/>
        <v/>
      </c>
      <c r="T92" s="231" t="str">
        <f t="shared" si="31"/>
        <v/>
      </c>
      <c r="U92" s="232" t="str">
        <f t="shared" si="32"/>
        <v>US2014$/kg of protein</v>
      </c>
      <c r="Y92" s="99"/>
      <c r="AO92" s="99"/>
      <c r="AR92" s="237"/>
      <c r="AT92" s="304" t="str">
        <f t="shared" si="44"/>
        <v/>
      </c>
      <c r="AU92" s="304" t="str">
        <f t="shared" si="43"/>
        <v/>
      </c>
      <c r="AW92" s="304" t="str">
        <f t="shared" si="34"/>
        <v/>
      </c>
      <c r="AX92" s="304" t="str">
        <f t="shared" si="34"/>
        <v/>
      </c>
      <c r="AZ92" s="304" t="str">
        <f t="shared" si="35"/>
        <v/>
      </c>
      <c r="BA92" s="304" t="str">
        <f t="shared" si="35"/>
        <v/>
      </c>
      <c r="BC92" s="304" t="str">
        <f t="shared" si="36"/>
        <v/>
      </c>
      <c r="BD92" s="304" t="str">
        <f t="shared" si="36"/>
        <v/>
      </c>
      <c r="BF92" s="304" t="str">
        <f t="shared" si="37"/>
        <v/>
      </c>
      <c r="BG92" s="304" t="str">
        <f t="shared" si="37"/>
        <v/>
      </c>
      <c r="BI92" s="304" t="str">
        <f t="shared" si="38"/>
        <v/>
      </c>
      <c r="BJ92" s="304" t="str">
        <f t="shared" si="38"/>
        <v/>
      </c>
      <c r="BL92" s="304" t="str">
        <f t="shared" si="39"/>
        <v/>
      </c>
      <c r="BM92" s="304" t="str">
        <f t="shared" si="39"/>
        <v/>
      </c>
      <c r="BO92" s="304" t="str">
        <f t="shared" si="40"/>
        <v/>
      </c>
      <c r="BP92" s="304" t="str">
        <f t="shared" si="40"/>
        <v/>
      </c>
      <c r="BR92" s="304" t="str">
        <f t="shared" si="41"/>
        <v/>
      </c>
      <c r="BS92" s="304" t="str">
        <f t="shared" si="41"/>
        <v/>
      </c>
      <c r="BU92" s="304" t="str">
        <f t="shared" si="42"/>
        <v/>
      </c>
      <c r="BV92" s="304" t="str">
        <f t="shared" si="42"/>
        <v/>
      </c>
      <c r="BX92" s="99"/>
    </row>
    <row r="93" spans="1:76" s="28" customFormat="1" x14ac:dyDescent="0.25">
      <c r="A93" s="195">
        <v>10</v>
      </c>
      <c r="B93" s="216" t="str">
        <f t="shared" si="28"/>
        <v xml:space="preserve">: </v>
      </c>
      <c r="C93" s="221"/>
      <c r="D93" s="221"/>
      <c r="E93" s="221"/>
      <c r="F93" s="221"/>
      <c r="G93" s="240"/>
      <c r="H93" s="221"/>
      <c r="I93" s="240"/>
      <c r="J93" s="241"/>
      <c r="K93" s="241"/>
      <c r="L93" s="236"/>
      <c r="M93" s="225" t="str">
        <f t="shared" si="29"/>
        <v>US2014$/kg of protein</v>
      </c>
      <c r="N93" s="227"/>
      <c r="O93" s="241"/>
      <c r="P93" s="122"/>
      <c r="Q93" s="228"/>
      <c r="R93" s="231" t="str">
        <f t="shared" si="33"/>
        <v/>
      </c>
      <c r="S93" s="230" t="str">
        <f t="shared" si="30"/>
        <v/>
      </c>
      <c r="T93" s="231" t="str">
        <f t="shared" si="31"/>
        <v/>
      </c>
      <c r="U93" s="232" t="str">
        <f t="shared" si="32"/>
        <v>US2014$/kg of protein</v>
      </c>
      <c r="Y93" s="99"/>
      <c r="AO93" s="99"/>
      <c r="AR93" s="237"/>
      <c r="AT93" s="304" t="str">
        <f t="shared" si="44"/>
        <v/>
      </c>
      <c r="AU93" s="304" t="str">
        <f t="shared" si="43"/>
        <v/>
      </c>
      <c r="AW93" s="304" t="str">
        <f t="shared" si="34"/>
        <v/>
      </c>
      <c r="AX93" s="304" t="str">
        <f t="shared" si="34"/>
        <v/>
      </c>
      <c r="AZ93" s="304" t="str">
        <f t="shared" si="35"/>
        <v/>
      </c>
      <c r="BA93" s="304" t="str">
        <f t="shared" si="35"/>
        <v/>
      </c>
      <c r="BC93" s="304" t="str">
        <f t="shared" si="36"/>
        <v/>
      </c>
      <c r="BD93" s="304" t="str">
        <f t="shared" si="36"/>
        <v/>
      </c>
      <c r="BF93" s="304" t="str">
        <f t="shared" si="37"/>
        <v/>
      </c>
      <c r="BG93" s="304" t="str">
        <f t="shared" si="37"/>
        <v/>
      </c>
      <c r="BI93" s="304" t="str">
        <f t="shared" si="38"/>
        <v/>
      </c>
      <c r="BJ93" s="304" t="str">
        <f t="shared" si="38"/>
        <v/>
      </c>
      <c r="BL93" s="304" t="str">
        <f t="shared" si="39"/>
        <v/>
      </c>
      <c r="BM93" s="304" t="str">
        <f t="shared" si="39"/>
        <v/>
      </c>
      <c r="BO93" s="304" t="str">
        <f t="shared" si="40"/>
        <v/>
      </c>
      <c r="BP93" s="304" t="str">
        <f t="shared" si="40"/>
        <v/>
      </c>
      <c r="BR93" s="304" t="str">
        <f t="shared" si="41"/>
        <v/>
      </c>
      <c r="BS93" s="304" t="str">
        <f t="shared" si="41"/>
        <v/>
      </c>
      <c r="BU93" s="304" t="str">
        <f t="shared" si="42"/>
        <v/>
      </c>
      <c r="BV93" s="304" t="str">
        <f t="shared" si="42"/>
        <v/>
      </c>
      <c r="BX93" s="99"/>
    </row>
    <row r="94" spans="1:76" s="28" customFormat="1" x14ac:dyDescent="0.25">
      <c r="A94" s="195">
        <v>11</v>
      </c>
      <c r="B94" s="216" t="str">
        <f t="shared" si="28"/>
        <v xml:space="preserve">: </v>
      </c>
      <c r="C94" s="221"/>
      <c r="D94" s="221"/>
      <c r="E94" s="221"/>
      <c r="F94" s="221"/>
      <c r="G94" s="240"/>
      <c r="H94" s="221"/>
      <c r="I94" s="240"/>
      <c r="J94" s="241"/>
      <c r="K94" s="241"/>
      <c r="L94" s="236"/>
      <c r="M94" s="225" t="str">
        <f t="shared" si="29"/>
        <v>US2014$/kg of protein</v>
      </c>
      <c r="N94" s="227"/>
      <c r="O94" s="241"/>
      <c r="P94" s="122"/>
      <c r="Q94" s="228"/>
      <c r="R94" s="231" t="str">
        <f t="shared" si="33"/>
        <v/>
      </c>
      <c r="S94" s="230" t="str">
        <f t="shared" si="30"/>
        <v/>
      </c>
      <c r="T94" s="231" t="str">
        <f t="shared" si="31"/>
        <v/>
      </c>
      <c r="U94" s="232" t="str">
        <f t="shared" si="32"/>
        <v>US2014$/kg of protein</v>
      </c>
      <c r="Y94" s="99"/>
      <c r="AO94" s="99"/>
      <c r="AR94" s="237"/>
      <c r="AT94" s="304" t="str">
        <f t="shared" si="44"/>
        <v/>
      </c>
      <c r="AU94" s="304" t="str">
        <f t="shared" si="43"/>
        <v/>
      </c>
      <c r="AW94" s="304" t="str">
        <f t="shared" si="34"/>
        <v/>
      </c>
      <c r="AX94" s="304" t="str">
        <f t="shared" si="34"/>
        <v/>
      </c>
      <c r="AZ94" s="304" t="str">
        <f t="shared" si="35"/>
        <v/>
      </c>
      <c r="BA94" s="304" t="str">
        <f t="shared" si="35"/>
        <v/>
      </c>
      <c r="BC94" s="304" t="str">
        <f t="shared" si="36"/>
        <v/>
      </c>
      <c r="BD94" s="304" t="str">
        <f t="shared" si="36"/>
        <v/>
      </c>
      <c r="BF94" s="304" t="str">
        <f t="shared" si="37"/>
        <v/>
      </c>
      <c r="BG94" s="304" t="str">
        <f t="shared" si="37"/>
        <v/>
      </c>
      <c r="BI94" s="304" t="str">
        <f t="shared" si="38"/>
        <v/>
      </c>
      <c r="BJ94" s="304" t="str">
        <f t="shared" si="38"/>
        <v/>
      </c>
      <c r="BL94" s="304" t="str">
        <f t="shared" si="39"/>
        <v/>
      </c>
      <c r="BM94" s="304" t="str">
        <f t="shared" si="39"/>
        <v/>
      </c>
      <c r="BO94" s="304" t="str">
        <f t="shared" si="40"/>
        <v/>
      </c>
      <c r="BP94" s="304" t="str">
        <f t="shared" si="40"/>
        <v/>
      </c>
      <c r="BR94" s="304" t="str">
        <f t="shared" si="41"/>
        <v/>
      </c>
      <c r="BS94" s="304" t="str">
        <f t="shared" si="41"/>
        <v/>
      </c>
      <c r="BU94" s="304" t="str">
        <f t="shared" si="42"/>
        <v/>
      </c>
      <c r="BV94" s="304" t="str">
        <f t="shared" si="42"/>
        <v/>
      </c>
      <c r="BX94" s="99"/>
    </row>
    <row r="95" spans="1:76" s="28" customFormat="1" x14ac:dyDescent="0.25">
      <c r="A95" s="195">
        <v>12</v>
      </c>
      <c r="B95" s="216" t="str">
        <f t="shared" si="28"/>
        <v xml:space="preserve">: </v>
      </c>
      <c r="C95" s="221"/>
      <c r="D95" s="221"/>
      <c r="E95" s="221"/>
      <c r="F95" s="221"/>
      <c r="G95" s="240"/>
      <c r="H95" s="221"/>
      <c r="I95" s="240"/>
      <c r="J95" s="241"/>
      <c r="K95" s="241"/>
      <c r="L95" s="236"/>
      <c r="M95" s="225" t="str">
        <f t="shared" si="29"/>
        <v>US2014$/kg of protein</v>
      </c>
      <c r="N95" s="227"/>
      <c r="O95" s="241"/>
      <c r="P95" s="122"/>
      <c r="Q95" s="228"/>
      <c r="R95" s="231" t="str">
        <f t="shared" si="33"/>
        <v/>
      </c>
      <c r="S95" s="230" t="str">
        <f t="shared" si="30"/>
        <v/>
      </c>
      <c r="T95" s="231" t="str">
        <f t="shared" si="31"/>
        <v/>
      </c>
      <c r="U95" s="232" t="str">
        <f t="shared" si="32"/>
        <v>US2014$/kg of protein</v>
      </c>
      <c r="Y95" s="99"/>
      <c r="AO95" s="99"/>
      <c r="AR95" s="237"/>
      <c r="AT95" s="304" t="str">
        <f t="shared" si="44"/>
        <v/>
      </c>
      <c r="AU95" s="304" t="str">
        <f t="shared" si="43"/>
        <v/>
      </c>
      <c r="AW95" s="304" t="str">
        <f t="shared" si="34"/>
        <v/>
      </c>
      <c r="AX95" s="304" t="str">
        <f t="shared" si="34"/>
        <v/>
      </c>
      <c r="AZ95" s="304" t="str">
        <f t="shared" si="35"/>
        <v/>
      </c>
      <c r="BA95" s="304" t="str">
        <f t="shared" si="35"/>
        <v/>
      </c>
      <c r="BC95" s="304" t="str">
        <f t="shared" si="36"/>
        <v/>
      </c>
      <c r="BD95" s="304" t="str">
        <f t="shared" si="36"/>
        <v/>
      </c>
      <c r="BF95" s="304" t="str">
        <f t="shared" si="37"/>
        <v/>
      </c>
      <c r="BG95" s="304" t="str">
        <f t="shared" si="37"/>
        <v/>
      </c>
      <c r="BI95" s="304" t="str">
        <f t="shared" si="38"/>
        <v/>
      </c>
      <c r="BJ95" s="304" t="str">
        <f t="shared" si="38"/>
        <v/>
      </c>
      <c r="BL95" s="304" t="str">
        <f t="shared" si="39"/>
        <v/>
      </c>
      <c r="BM95" s="304" t="str">
        <f t="shared" si="39"/>
        <v/>
      </c>
      <c r="BO95" s="304" t="str">
        <f t="shared" si="40"/>
        <v/>
      </c>
      <c r="BP95" s="304" t="str">
        <f t="shared" si="40"/>
        <v/>
      </c>
      <c r="BR95" s="304" t="str">
        <f t="shared" si="41"/>
        <v/>
      </c>
      <c r="BS95" s="304" t="str">
        <f t="shared" si="41"/>
        <v/>
      </c>
      <c r="BU95" s="304" t="str">
        <f t="shared" si="42"/>
        <v/>
      </c>
      <c r="BV95" s="304" t="str">
        <f t="shared" si="42"/>
        <v/>
      </c>
      <c r="BX95" s="99"/>
    </row>
    <row r="96" spans="1:76" s="28" customFormat="1" x14ac:dyDescent="0.25">
      <c r="A96" s="195">
        <v>13</v>
      </c>
      <c r="B96" s="216" t="str">
        <f t="shared" si="28"/>
        <v xml:space="preserve">: </v>
      </c>
      <c r="C96" s="221"/>
      <c r="D96" s="221"/>
      <c r="E96" s="221"/>
      <c r="F96" s="221"/>
      <c r="G96" s="240"/>
      <c r="H96" s="221"/>
      <c r="I96" s="240"/>
      <c r="J96" s="241"/>
      <c r="K96" s="241"/>
      <c r="L96" s="241"/>
      <c r="M96" s="225" t="str">
        <f t="shared" si="29"/>
        <v>US2014$/kg of protein</v>
      </c>
      <c r="N96" s="227"/>
      <c r="O96" s="241"/>
      <c r="P96" s="122"/>
      <c r="Q96" s="228"/>
      <c r="R96" s="231" t="str">
        <f t="shared" si="33"/>
        <v/>
      </c>
      <c r="S96" s="230" t="str">
        <f t="shared" si="30"/>
        <v/>
      </c>
      <c r="T96" s="231" t="str">
        <f t="shared" si="31"/>
        <v/>
      </c>
      <c r="U96" s="232" t="str">
        <f t="shared" si="32"/>
        <v>US2014$/kg of protein</v>
      </c>
      <c r="Y96" s="99"/>
      <c r="AO96" s="99"/>
      <c r="AR96" s="237"/>
      <c r="AT96" s="304" t="str">
        <f t="shared" si="44"/>
        <v/>
      </c>
      <c r="AU96" s="304" t="str">
        <f t="shared" si="43"/>
        <v/>
      </c>
      <c r="AW96" s="304" t="str">
        <f t="shared" si="34"/>
        <v/>
      </c>
      <c r="AX96" s="304" t="str">
        <f t="shared" si="34"/>
        <v/>
      </c>
      <c r="AZ96" s="304" t="str">
        <f t="shared" si="35"/>
        <v/>
      </c>
      <c r="BA96" s="304" t="str">
        <f t="shared" si="35"/>
        <v/>
      </c>
      <c r="BC96" s="304" t="str">
        <f t="shared" si="36"/>
        <v/>
      </c>
      <c r="BD96" s="304" t="str">
        <f t="shared" si="36"/>
        <v/>
      </c>
      <c r="BF96" s="304" t="str">
        <f t="shared" si="37"/>
        <v/>
      </c>
      <c r="BG96" s="304" t="str">
        <f t="shared" si="37"/>
        <v/>
      </c>
      <c r="BI96" s="304" t="str">
        <f t="shared" si="38"/>
        <v/>
      </c>
      <c r="BJ96" s="304" t="str">
        <f t="shared" si="38"/>
        <v/>
      </c>
      <c r="BL96" s="304" t="str">
        <f t="shared" si="39"/>
        <v/>
      </c>
      <c r="BM96" s="304" t="str">
        <f t="shared" si="39"/>
        <v/>
      </c>
      <c r="BO96" s="304" t="str">
        <f t="shared" si="40"/>
        <v/>
      </c>
      <c r="BP96" s="304" t="str">
        <f t="shared" si="40"/>
        <v/>
      </c>
      <c r="BR96" s="304" t="str">
        <f t="shared" si="41"/>
        <v/>
      </c>
      <c r="BS96" s="304" t="str">
        <f t="shared" si="41"/>
        <v/>
      </c>
      <c r="BU96" s="304" t="str">
        <f t="shared" si="42"/>
        <v/>
      </c>
      <c r="BV96" s="304" t="str">
        <f t="shared" si="42"/>
        <v/>
      </c>
      <c r="BX96" s="99"/>
    </row>
    <row r="97" spans="1:76" s="28" customFormat="1" x14ac:dyDescent="0.25">
      <c r="A97" s="195">
        <v>14</v>
      </c>
      <c r="B97" s="216" t="str">
        <f t="shared" si="28"/>
        <v xml:space="preserve">: </v>
      </c>
      <c r="C97" s="221"/>
      <c r="D97" s="221"/>
      <c r="E97" s="221"/>
      <c r="F97" s="221"/>
      <c r="G97" s="240"/>
      <c r="H97" s="221"/>
      <c r="I97" s="240"/>
      <c r="J97" s="241"/>
      <c r="K97" s="241"/>
      <c r="L97" s="241"/>
      <c r="M97" s="225" t="str">
        <f t="shared" si="29"/>
        <v>US2014$/kg of protein</v>
      </c>
      <c r="N97" s="227"/>
      <c r="O97" s="241"/>
      <c r="P97" s="122"/>
      <c r="Q97" s="228"/>
      <c r="R97" s="231" t="str">
        <f t="shared" si="33"/>
        <v/>
      </c>
      <c r="S97" s="230" t="str">
        <f t="shared" si="30"/>
        <v/>
      </c>
      <c r="T97" s="231" t="str">
        <f t="shared" si="31"/>
        <v/>
      </c>
      <c r="U97" s="232" t="str">
        <f t="shared" si="32"/>
        <v>US2014$/kg of protein</v>
      </c>
      <c r="Y97" s="99"/>
      <c r="AO97" s="99"/>
      <c r="AR97" s="237"/>
      <c r="AT97" s="304" t="str">
        <f t="shared" si="44"/>
        <v/>
      </c>
      <c r="AU97" s="304" t="str">
        <f t="shared" si="43"/>
        <v/>
      </c>
      <c r="AW97" s="304" t="str">
        <f t="shared" si="34"/>
        <v/>
      </c>
      <c r="AX97" s="304" t="str">
        <f t="shared" si="34"/>
        <v/>
      </c>
      <c r="AZ97" s="304" t="str">
        <f t="shared" si="35"/>
        <v/>
      </c>
      <c r="BA97" s="304" t="str">
        <f t="shared" si="35"/>
        <v/>
      </c>
      <c r="BC97" s="304" t="str">
        <f t="shared" si="36"/>
        <v/>
      </c>
      <c r="BD97" s="304" t="str">
        <f t="shared" si="36"/>
        <v/>
      </c>
      <c r="BF97" s="304" t="str">
        <f t="shared" si="37"/>
        <v/>
      </c>
      <c r="BG97" s="304" t="str">
        <f t="shared" si="37"/>
        <v/>
      </c>
      <c r="BI97" s="304" t="str">
        <f t="shared" si="38"/>
        <v/>
      </c>
      <c r="BJ97" s="304" t="str">
        <f t="shared" si="38"/>
        <v/>
      </c>
      <c r="BL97" s="304" t="str">
        <f t="shared" si="39"/>
        <v/>
      </c>
      <c r="BM97" s="304" t="str">
        <f t="shared" si="39"/>
        <v/>
      </c>
      <c r="BO97" s="304" t="str">
        <f t="shared" si="40"/>
        <v/>
      </c>
      <c r="BP97" s="304" t="str">
        <f t="shared" si="40"/>
        <v/>
      </c>
      <c r="BR97" s="304" t="str">
        <f t="shared" si="41"/>
        <v/>
      </c>
      <c r="BS97" s="304" t="str">
        <f t="shared" si="41"/>
        <v/>
      </c>
      <c r="BU97" s="304" t="str">
        <f t="shared" si="42"/>
        <v/>
      </c>
      <c r="BV97" s="304" t="str">
        <f t="shared" si="42"/>
        <v/>
      </c>
      <c r="BX97" s="99"/>
    </row>
    <row r="98" spans="1:76" s="28" customFormat="1" x14ac:dyDescent="0.25">
      <c r="A98" s="195">
        <v>15</v>
      </c>
      <c r="B98" s="216" t="str">
        <f t="shared" si="28"/>
        <v xml:space="preserve">: </v>
      </c>
      <c r="C98" s="221"/>
      <c r="D98" s="221"/>
      <c r="E98" s="221"/>
      <c r="F98" s="221"/>
      <c r="G98" s="240"/>
      <c r="H98" s="221"/>
      <c r="I98" s="240"/>
      <c r="J98" s="241"/>
      <c r="K98" s="241"/>
      <c r="L98" s="241"/>
      <c r="M98" s="225" t="str">
        <f t="shared" si="29"/>
        <v>US2014$/kg of protein</v>
      </c>
      <c r="N98" s="227"/>
      <c r="O98" s="241"/>
      <c r="P98" s="122"/>
      <c r="Q98" s="228"/>
      <c r="R98" s="231" t="str">
        <f t="shared" si="33"/>
        <v/>
      </c>
      <c r="S98" s="230" t="str">
        <f t="shared" si="30"/>
        <v/>
      </c>
      <c r="T98" s="231" t="str">
        <f t="shared" si="31"/>
        <v/>
      </c>
      <c r="U98" s="232" t="str">
        <f t="shared" si="32"/>
        <v>US2014$/kg of protein</v>
      </c>
      <c r="Y98" s="99"/>
      <c r="AO98" s="99"/>
      <c r="AR98" s="237"/>
      <c r="AT98" s="304" t="str">
        <f t="shared" si="44"/>
        <v/>
      </c>
      <c r="AU98" s="304" t="str">
        <f t="shared" si="43"/>
        <v/>
      </c>
      <c r="AW98" s="304" t="str">
        <f t="shared" si="34"/>
        <v/>
      </c>
      <c r="AX98" s="304" t="str">
        <f t="shared" si="34"/>
        <v/>
      </c>
      <c r="AZ98" s="304" t="str">
        <f t="shared" si="35"/>
        <v/>
      </c>
      <c r="BA98" s="304" t="str">
        <f t="shared" si="35"/>
        <v/>
      </c>
      <c r="BC98" s="304" t="str">
        <f t="shared" si="36"/>
        <v/>
      </c>
      <c r="BD98" s="304" t="str">
        <f t="shared" si="36"/>
        <v/>
      </c>
      <c r="BF98" s="304" t="str">
        <f t="shared" si="37"/>
        <v/>
      </c>
      <c r="BG98" s="304" t="str">
        <f t="shared" si="37"/>
        <v/>
      </c>
      <c r="BI98" s="304" t="str">
        <f t="shared" si="38"/>
        <v/>
      </c>
      <c r="BJ98" s="304" t="str">
        <f t="shared" si="38"/>
        <v/>
      </c>
      <c r="BL98" s="304" t="str">
        <f t="shared" si="39"/>
        <v/>
      </c>
      <c r="BM98" s="304" t="str">
        <f t="shared" si="39"/>
        <v/>
      </c>
      <c r="BO98" s="304" t="str">
        <f t="shared" si="40"/>
        <v/>
      </c>
      <c r="BP98" s="304" t="str">
        <f t="shared" si="40"/>
        <v/>
      </c>
      <c r="BR98" s="304" t="str">
        <f t="shared" si="41"/>
        <v/>
      </c>
      <c r="BS98" s="304" t="str">
        <f t="shared" si="41"/>
        <v/>
      </c>
      <c r="BU98" s="304" t="str">
        <f t="shared" si="42"/>
        <v/>
      </c>
      <c r="BV98" s="304" t="str">
        <f t="shared" si="42"/>
        <v/>
      </c>
      <c r="BX98" s="99"/>
    </row>
    <row r="99" spans="1:76" s="28" customFormat="1" x14ac:dyDescent="0.25">
      <c r="A99" s="195">
        <v>16</v>
      </c>
      <c r="B99" s="216" t="str">
        <f t="shared" si="28"/>
        <v xml:space="preserve">: </v>
      </c>
      <c r="C99" s="221"/>
      <c r="D99" s="221"/>
      <c r="E99" s="221"/>
      <c r="F99" s="221"/>
      <c r="G99" s="240"/>
      <c r="H99" s="221"/>
      <c r="I99" s="240"/>
      <c r="J99" s="241"/>
      <c r="K99" s="241"/>
      <c r="L99" s="241"/>
      <c r="M99" s="225" t="str">
        <f t="shared" si="29"/>
        <v>US2014$/kg of protein</v>
      </c>
      <c r="N99" s="227"/>
      <c r="O99" s="241"/>
      <c r="P99" s="122"/>
      <c r="Q99" s="228"/>
      <c r="R99" s="231" t="str">
        <f t="shared" si="33"/>
        <v/>
      </c>
      <c r="S99" s="230" t="str">
        <f t="shared" si="30"/>
        <v/>
      </c>
      <c r="T99" s="231" t="str">
        <f t="shared" si="31"/>
        <v/>
      </c>
      <c r="U99" s="232" t="str">
        <f t="shared" si="32"/>
        <v>US2014$/kg of protein</v>
      </c>
      <c r="Y99" s="99"/>
      <c r="AO99" s="99"/>
      <c r="AR99" s="237"/>
      <c r="AT99" s="304" t="str">
        <f t="shared" si="44"/>
        <v/>
      </c>
      <c r="AU99" s="304" t="str">
        <f t="shared" si="43"/>
        <v/>
      </c>
      <c r="AW99" s="304" t="str">
        <f t="shared" si="34"/>
        <v/>
      </c>
      <c r="AX99" s="304" t="str">
        <f t="shared" si="34"/>
        <v/>
      </c>
      <c r="AZ99" s="304" t="str">
        <f t="shared" si="35"/>
        <v/>
      </c>
      <c r="BA99" s="304" t="str">
        <f t="shared" si="35"/>
        <v/>
      </c>
      <c r="BC99" s="304" t="str">
        <f t="shared" si="36"/>
        <v/>
      </c>
      <c r="BD99" s="304" t="str">
        <f t="shared" si="36"/>
        <v/>
      </c>
      <c r="BF99" s="304" t="str">
        <f t="shared" si="37"/>
        <v/>
      </c>
      <c r="BG99" s="304" t="str">
        <f t="shared" si="37"/>
        <v/>
      </c>
      <c r="BI99" s="304" t="str">
        <f t="shared" si="38"/>
        <v/>
      </c>
      <c r="BJ99" s="304" t="str">
        <f t="shared" si="38"/>
        <v/>
      </c>
      <c r="BL99" s="304" t="str">
        <f t="shared" si="39"/>
        <v/>
      </c>
      <c r="BM99" s="304" t="str">
        <f t="shared" si="39"/>
        <v/>
      </c>
      <c r="BO99" s="304" t="str">
        <f t="shared" si="40"/>
        <v/>
      </c>
      <c r="BP99" s="304" t="str">
        <f t="shared" si="40"/>
        <v/>
      </c>
      <c r="BR99" s="304" t="str">
        <f t="shared" si="41"/>
        <v/>
      </c>
      <c r="BS99" s="304" t="str">
        <f t="shared" si="41"/>
        <v/>
      </c>
      <c r="BU99" s="304" t="str">
        <f t="shared" si="42"/>
        <v/>
      </c>
      <c r="BV99" s="304" t="str">
        <f t="shared" si="42"/>
        <v/>
      </c>
      <c r="BX99" s="99"/>
    </row>
    <row r="100" spans="1:76" s="28" customFormat="1" x14ac:dyDescent="0.25">
      <c r="A100" s="195">
        <v>17</v>
      </c>
      <c r="B100" s="216" t="str">
        <f t="shared" si="28"/>
        <v xml:space="preserve">: </v>
      </c>
      <c r="C100" s="221"/>
      <c r="D100" s="221"/>
      <c r="E100" s="221"/>
      <c r="F100" s="221"/>
      <c r="G100" s="240"/>
      <c r="H100" s="221"/>
      <c r="I100" s="240"/>
      <c r="J100" s="241"/>
      <c r="K100" s="241"/>
      <c r="L100" s="241"/>
      <c r="M100" s="225" t="str">
        <f t="shared" si="29"/>
        <v>US2014$/kg of protein</v>
      </c>
      <c r="N100" s="227"/>
      <c r="O100" s="241"/>
      <c r="P100" s="122"/>
      <c r="Q100" s="228"/>
      <c r="R100" s="231" t="str">
        <f t="shared" si="33"/>
        <v/>
      </c>
      <c r="S100" s="230" t="str">
        <f t="shared" si="30"/>
        <v/>
      </c>
      <c r="T100" s="231" t="str">
        <f t="shared" si="31"/>
        <v/>
      </c>
      <c r="U100" s="232" t="str">
        <f t="shared" si="32"/>
        <v>US2014$/kg of protein</v>
      </c>
      <c r="Y100" s="99"/>
      <c r="AO100" s="99"/>
      <c r="AR100" s="237"/>
      <c r="AT100" s="304" t="str">
        <f t="shared" si="44"/>
        <v/>
      </c>
      <c r="AU100" s="304" t="str">
        <f t="shared" si="43"/>
        <v/>
      </c>
      <c r="AW100" s="304" t="str">
        <f t="shared" si="34"/>
        <v/>
      </c>
      <c r="AX100" s="304" t="str">
        <f t="shared" si="34"/>
        <v/>
      </c>
      <c r="AZ100" s="304" t="str">
        <f t="shared" si="35"/>
        <v/>
      </c>
      <c r="BA100" s="304" t="str">
        <f t="shared" si="35"/>
        <v/>
      </c>
      <c r="BC100" s="304" t="str">
        <f t="shared" si="36"/>
        <v/>
      </c>
      <c r="BD100" s="304" t="str">
        <f t="shared" si="36"/>
        <v/>
      </c>
      <c r="BF100" s="304" t="str">
        <f t="shared" si="37"/>
        <v/>
      </c>
      <c r="BG100" s="304" t="str">
        <f t="shared" si="37"/>
        <v/>
      </c>
      <c r="BI100" s="304" t="str">
        <f t="shared" si="38"/>
        <v/>
      </c>
      <c r="BJ100" s="304" t="str">
        <f t="shared" si="38"/>
        <v/>
      </c>
      <c r="BL100" s="304" t="str">
        <f t="shared" si="39"/>
        <v/>
      </c>
      <c r="BM100" s="304" t="str">
        <f t="shared" si="39"/>
        <v/>
      </c>
      <c r="BO100" s="304" t="str">
        <f t="shared" si="40"/>
        <v/>
      </c>
      <c r="BP100" s="304" t="str">
        <f t="shared" si="40"/>
        <v/>
      </c>
      <c r="BR100" s="304" t="str">
        <f t="shared" si="41"/>
        <v/>
      </c>
      <c r="BS100" s="304" t="str">
        <f t="shared" si="41"/>
        <v/>
      </c>
      <c r="BU100" s="304" t="str">
        <f t="shared" si="42"/>
        <v/>
      </c>
      <c r="BV100" s="304" t="str">
        <f t="shared" si="42"/>
        <v/>
      </c>
      <c r="BX100" s="99"/>
    </row>
    <row r="101" spans="1:76" s="28" customFormat="1" x14ac:dyDescent="0.25">
      <c r="A101" s="195">
        <v>18</v>
      </c>
      <c r="B101" s="216" t="str">
        <f t="shared" si="28"/>
        <v xml:space="preserve">: </v>
      </c>
      <c r="C101" s="221"/>
      <c r="D101" s="221"/>
      <c r="E101" s="221"/>
      <c r="F101" s="221"/>
      <c r="G101" s="240"/>
      <c r="H101" s="221"/>
      <c r="I101" s="240"/>
      <c r="J101" s="241"/>
      <c r="K101" s="241"/>
      <c r="L101" s="241"/>
      <c r="M101" s="225" t="str">
        <f t="shared" si="29"/>
        <v>US2014$/kg of protein</v>
      </c>
      <c r="N101" s="227"/>
      <c r="O101" s="241"/>
      <c r="P101" s="122"/>
      <c r="Q101" s="228"/>
      <c r="R101" s="231" t="str">
        <f t="shared" si="33"/>
        <v/>
      </c>
      <c r="S101" s="230" t="str">
        <f t="shared" si="30"/>
        <v/>
      </c>
      <c r="T101" s="231" t="str">
        <f t="shared" si="31"/>
        <v/>
      </c>
      <c r="U101" s="232" t="str">
        <f t="shared" si="32"/>
        <v>US2014$/kg of protein</v>
      </c>
      <c r="Y101" s="99"/>
      <c r="AO101" s="99"/>
      <c r="AR101" s="237"/>
      <c r="AT101" s="304" t="str">
        <f t="shared" si="44"/>
        <v/>
      </c>
      <c r="AU101" s="304" t="str">
        <f t="shared" si="43"/>
        <v/>
      </c>
      <c r="AW101" s="304" t="str">
        <f t="shared" ref="AW101:AX104" si="45">IF($E100=$AW$83,R100,"")</f>
        <v/>
      </c>
      <c r="AX101" s="304" t="str">
        <f t="shared" si="45"/>
        <v/>
      </c>
      <c r="AZ101" s="304" t="str">
        <f t="shared" ref="AZ101:BA104" si="46">IF($E100=$AZ$83,R100,"")</f>
        <v/>
      </c>
      <c r="BA101" s="304" t="str">
        <f t="shared" si="46"/>
        <v/>
      </c>
      <c r="BC101" s="304" t="str">
        <f t="shared" ref="BC101:BD104" si="47">IF($E100=$BC$83,R100,"")</f>
        <v/>
      </c>
      <c r="BD101" s="304" t="str">
        <f t="shared" si="47"/>
        <v/>
      </c>
      <c r="BF101" s="304" t="str">
        <f t="shared" ref="BF101:BG104" si="48">IF($E100=$BF$83,R100,"")</f>
        <v/>
      </c>
      <c r="BG101" s="304" t="str">
        <f t="shared" si="48"/>
        <v/>
      </c>
      <c r="BI101" s="304" t="str">
        <f t="shared" ref="BI101:BJ104" si="49">IF($E100=$BI$83,R100,"")</f>
        <v/>
      </c>
      <c r="BJ101" s="304" t="str">
        <f t="shared" si="49"/>
        <v/>
      </c>
      <c r="BL101" s="304" t="str">
        <f t="shared" ref="BL101:BM104" si="50">IF($E100=$BL$83,R100,"")</f>
        <v/>
      </c>
      <c r="BM101" s="304" t="str">
        <f t="shared" si="50"/>
        <v/>
      </c>
      <c r="BO101" s="304" t="str">
        <f t="shared" ref="BO101:BP104" si="51">IF($E100=$BO$83,R100,"")</f>
        <v/>
      </c>
      <c r="BP101" s="304" t="str">
        <f t="shared" si="51"/>
        <v/>
      </c>
      <c r="BR101" s="304" t="str">
        <f t="shared" ref="BR101:BS104" si="52">IF($E100=$BR$83,R100,"")</f>
        <v/>
      </c>
      <c r="BS101" s="304" t="str">
        <f t="shared" si="52"/>
        <v/>
      </c>
      <c r="BU101" s="304" t="str">
        <f t="shared" ref="BU101:BV104" si="53">IF($E100=$BU$83,R100,"")</f>
        <v/>
      </c>
      <c r="BV101" s="304" t="str">
        <f t="shared" si="53"/>
        <v/>
      </c>
      <c r="BX101" s="99"/>
    </row>
    <row r="102" spans="1:76" s="28" customFormat="1" ht="15.95" customHeight="1" x14ac:dyDescent="0.25">
      <c r="A102" s="195">
        <v>19</v>
      </c>
      <c r="B102" s="216" t="str">
        <f t="shared" si="28"/>
        <v xml:space="preserve">: </v>
      </c>
      <c r="C102" s="221"/>
      <c r="D102" s="221"/>
      <c r="E102" s="221"/>
      <c r="F102" s="221"/>
      <c r="G102" s="240"/>
      <c r="H102" s="221"/>
      <c r="I102" s="240"/>
      <c r="J102" s="241"/>
      <c r="K102" s="241"/>
      <c r="L102" s="241"/>
      <c r="M102" s="225" t="str">
        <f t="shared" si="29"/>
        <v>US2014$/kg of protein</v>
      </c>
      <c r="N102" s="227"/>
      <c r="O102" s="241"/>
      <c r="P102" s="122"/>
      <c r="Q102" s="228"/>
      <c r="R102" s="231" t="str">
        <f t="shared" si="33"/>
        <v/>
      </c>
      <c r="S102" s="230" t="str">
        <f t="shared" si="30"/>
        <v/>
      </c>
      <c r="T102" s="231" t="str">
        <f t="shared" si="31"/>
        <v/>
      </c>
      <c r="U102" s="232" t="str">
        <f t="shared" si="32"/>
        <v>US2014$/kg of protein</v>
      </c>
      <c r="Y102" s="99"/>
      <c r="AO102" s="99"/>
      <c r="AR102" s="237"/>
      <c r="AT102" s="304" t="str">
        <f t="shared" si="44"/>
        <v/>
      </c>
      <c r="AU102" s="304" t="str">
        <f t="shared" si="43"/>
        <v/>
      </c>
      <c r="AW102" s="304" t="str">
        <f t="shared" si="45"/>
        <v/>
      </c>
      <c r="AX102" s="304" t="str">
        <f t="shared" si="45"/>
        <v/>
      </c>
      <c r="AZ102" s="304" t="str">
        <f t="shared" si="46"/>
        <v/>
      </c>
      <c r="BA102" s="304" t="str">
        <f t="shared" si="46"/>
        <v/>
      </c>
      <c r="BC102" s="304" t="str">
        <f t="shared" si="47"/>
        <v/>
      </c>
      <c r="BD102" s="304" t="str">
        <f t="shared" si="47"/>
        <v/>
      </c>
      <c r="BF102" s="304" t="str">
        <f t="shared" si="48"/>
        <v/>
      </c>
      <c r="BG102" s="304" t="str">
        <f t="shared" si="48"/>
        <v/>
      </c>
      <c r="BI102" s="304" t="str">
        <f t="shared" si="49"/>
        <v/>
      </c>
      <c r="BJ102" s="304" t="str">
        <f t="shared" si="49"/>
        <v/>
      </c>
      <c r="BL102" s="304" t="str">
        <f t="shared" si="50"/>
        <v/>
      </c>
      <c r="BM102" s="304" t="str">
        <f t="shared" si="50"/>
        <v/>
      </c>
      <c r="BO102" s="304" t="str">
        <f t="shared" si="51"/>
        <v/>
      </c>
      <c r="BP102" s="304" t="str">
        <f t="shared" si="51"/>
        <v/>
      </c>
      <c r="BR102" s="304" t="str">
        <f t="shared" si="52"/>
        <v/>
      </c>
      <c r="BS102" s="304" t="str">
        <f t="shared" si="52"/>
        <v/>
      </c>
      <c r="BU102" s="304" t="str">
        <f t="shared" si="53"/>
        <v/>
      </c>
      <c r="BV102" s="304" t="str">
        <f t="shared" si="53"/>
        <v/>
      </c>
      <c r="BX102" s="99"/>
    </row>
    <row r="103" spans="1:76" s="28" customFormat="1" x14ac:dyDescent="0.25">
      <c r="A103" s="195">
        <v>20</v>
      </c>
      <c r="B103" s="216" t="str">
        <f t="shared" si="28"/>
        <v xml:space="preserve">: </v>
      </c>
      <c r="C103" s="221"/>
      <c r="D103" s="221"/>
      <c r="E103" s="221"/>
      <c r="F103" s="221"/>
      <c r="G103" s="240"/>
      <c r="H103" s="221"/>
      <c r="I103" s="240"/>
      <c r="J103" s="241"/>
      <c r="K103" s="241"/>
      <c r="L103" s="241"/>
      <c r="M103" s="225" t="str">
        <f t="shared" si="29"/>
        <v>US2014$/kg of protein</v>
      </c>
      <c r="N103" s="227"/>
      <c r="O103" s="241"/>
      <c r="P103" s="122"/>
      <c r="Q103" s="228"/>
      <c r="R103" s="231" t="str">
        <f t="shared" si="33"/>
        <v/>
      </c>
      <c r="S103" s="230" t="str">
        <f t="shared" si="30"/>
        <v/>
      </c>
      <c r="T103" s="231" t="str">
        <f t="shared" si="31"/>
        <v/>
      </c>
      <c r="U103" s="232" t="str">
        <f t="shared" si="32"/>
        <v>US2014$/kg of protein</v>
      </c>
      <c r="Y103" s="99"/>
      <c r="AO103" s="99"/>
      <c r="AR103" s="237"/>
      <c r="AT103" s="304" t="str">
        <f t="shared" si="44"/>
        <v/>
      </c>
      <c r="AU103" s="304" t="str">
        <f t="shared" si="43"/>
        <v/>
      </c>
      <c r="AW103" s="304" t="str">
        <f>IF($E102=$AW$83,R102,"")</f>
        <v/>
      </c>
      <c r="AX103" s="304" t="str">
        <f>IF($E102=$AW$83,S102,"")</f>
        <v/>
      </c>
      <c r="AZ103" s="304" t="str">
        <f>IF($E102=$AZ$83,R102,"")</f>
        <v/>
      </c>
      <c r="BA103" s="304" t="str">
        <f>IF($E102=$AZ$83,S102,"")</f>
        <v/>
      </c>
      <c r="BC103" s="304" t="str">
        <f>IF($E102=$BC$83,R102,"")</f>
        <v/>
      </c>
      <c r="BD103" s="304" t="str">
        <f>IF($E102=$BC$83,S102,"")</f>
        <v/>
      </c>
      <c r="BF103" s="304" t="str">
        <f>IF($E102=$BF$83,R102,"")</f>
        <v/>
      </c>
      <c r="BG103" s="304" t="str">
        <f>IF($E102=$BF$83,S102,"")</f>
        <v/>
      </c>
      <c r="BI103" s="304" t="str">
        <f>IF($E102=$BI$83,R102,"")</f>
        <v/>
      </c>
      <c r="BJ103" s="304" t="str">
        <f>IF($E102=$BI$83,S102,"")</f>
        <v/>
      </c>
      <c r="BL103" s="304" t="str">
        <f>IF($E102=$BL$83,R102,"")</f>
        <v/>
      </c>
      <c r="BM103" s="304" t="str">
        <f>IF($E102=$BL$83,S102,"")</f>
        <v/>
      </c>
      <c r="BO103" s="304" t="str">
        <f>IF($E102=$BO$83,R102,"")</f>
        <v/>
      </c>
      <c r="BP103" s="304" t="str">
        <f>IF($E102=$BO$83,S102,"")</f>
        <v/>
      </c>
      <c r="BR103" s="304" t="str">
        <f>IF($E102=$BR$83,R102,"")</f>
        <v/>
      </c>
      <c r="BS103" s="304" t="str">
        <f>IF($E102=$BR$83,S102,"")</f>
        <v/>
      </c>
      <c r="BU103" s="304" t="str">
        <f>IF($E102=$BU$83,R102,"")</f>
        <v/>
      </c>
      <c r="BV103" s="304" t="str">
        <f>IF($E102=$BU$83,S102,"")</f>
        <v/>
      </c>
      <c r="BX103" s="99"/>
    </row>
    <row r="104" spans="1:76" s="28" customFormat="1" x14ac:dyDescent="0.25">
      <c r="A104" s="195"/>
      <c r="B104" s="244" t="s">
        <v>163</v>
      </c>
      <c r="C104" s="199"/>
      <c r="D104" s="199"/>
      <c r="E104" s="199"/>
      <c r="F104" s="199"/>
      <c r="G104" s="122"/>
      <c r="I104" s="245"/>
      <c r="J104" s="122"/>
      <c r="K104" s="122"/>
      <c r="L104" s="122" t="s">
        <v>134</v>
      </c>
      <c r="M104" s="122"/>
      <c r="O104" s="122"/>
      <c r="P104" s="122"/>
      <c r="Q104" s="305" t="s">
        <v>136</v>
      </c>
      <c r="R104" s="246" t="e">
        <f>AVERAGE(R84:R103)</f>
        <v>#DIV/0!</v>
      </c>
      <c r="S104" s="247" t="e">
        <f>IF(R112="Y",SUM(S84:S103)/SUMPRODUCT(N84:N103,--ISNUMBER(S84:S103)),AVERAGE(S84:S103))</f>
        <v>#DIV/0!</v>
      </c>
      <c r="T104" s="248" t="e">
        <f>SUM(T84:T103)/SUMPRODUCT(N84:N103,--ISNUMBER(T84:T103))</f>
        <v>#DIV/0!</v>
      </c>
      <c r="Y104" s="99"/>
      <c r="AO104" s="99"/>
      <c r="AR104" s="237"/>
      <c r="AT104" s="304" t="str">
        <f t="shared" si="44"/>
        <v/>
      </c>
      <c r="AU104" s="304" t="str">
        <f t="shared" si="43"/>
        <v/>
      </c>
      <c r="AW104" s="304" t="str">
        <f t="shared" si="45"/>
        <v/>
      </c>
      <c r="AX104" s="304" t="str">
        <f t="shared" si="45"/>
        <v/>
      </c>
      <c r="AZ104" s="304" t="str">
        <f t="shared" si="46"/>
        <v/>
      </c>
      <c r="BA104" s="304" t="str">
        <f t="shared" si="46"/>
        <v/>
      </c>
      <c r="BC104" s="304" t="str">
        <f t="shared" si="47"/>
        <v/>
      </c>
      <c r="BD104" s="304" t="str">
        <f t="shared" si="47"/>
        <v/>
      </c>
      <c r="BF104" s="304" t="str">
        <f t="shared" si="48"/>
        <v/>
      </c>
      <c r="BG104" s="304" t="str">
        <f t="shared" si="48"/>
        <v/>
      </c>
      <c r="BI104" s="304" t="str">
        <f t="shared" si="49"/>
        <v/>
      </c>
      <c r="BJ104" s="304" t="str">
        <f t="shared" si="49"/>
        <v/>
      </c>
      <c r="BL104" s="304" t="str">
        <f t="shared" si="50"/>
        <v/>
      </c>
      <c r="BM104" s="304" t="str">
        <f t="shared" si="50"/>
        <v/>
      </c>
      <c r="BO104" s="304" t="str">
        <f t="shared" si="51"/>
        <v/>
      </c>
      <c r="BP104" s="304" t="str">
        <f t="shared" si="51"/>
        <v/>
      </c>
      <c r="BR104" s="304" t="str">
        <f t="shared" si="52"/>
        <v/>
      </c>
      <c r="BS104" s="304" t="str">
        <f t="shared" si="52"/>
        <v/>
      </c>
      <c r="BU104" s="304" t="str">
        <f t="shared" si="53"/>
        <v/>
      </c>
      <c r="BV104" s="304" t="str">
        <f t="shared" si="53"/>
        <v/>
      </c>
      <c r="BX104" s="99"/>
    </row>
    <row r="105" spans="1:76" s="28" customFormat="1" x14ac:dyDescent="0.25">
      <c r="A105" s="195"/>
      <c r="B105" s="244" t="s">
        <v>164</v>
      </c>
      <c r="C105" s="199" t="s">
        <v>139</v>
      </c>
      <c r="D105" s="252"/>
      <c r="E105" s="253"/>
      <c r="F105" s="253"/>
      <c r="G105" s="253"/>
      <c r="H105" s="253"/>
      <c r="I105" s="253"/>
      <c r="J105" s="254"/>
      <c r="K105" s="122"/>
      <c r="L105" s="122"/>
      <c r="M105" s="122"/>
      <c r="O105" s="122"/>
      <c r="P105" s="122"/>
      <c r="Q105" s="306" t="s">
        <v>144</v>
      </c>
      <c r="R105" s="257" t="e">
        <f>R104+U105*R108</f>
        <v>#DIV/0!</v>
      </c>
      <c r="S105" s="257" t="e">
        <f>S104+U105*S108</f>
        <v>#DIV/0!</v>
      </c>
      <c r="T105" s="257" t="e">
        <f>T104+U105*T108</f>
        <v>#DIV/0!</v>
      </c>
      <c r="U105" s="258">
        <v>1</v>
      </c>
      <c r="V105" s="122" t="s">
        <v>142</v>
      </c>
      <c r="X105" s="259" t="s">
        <v>143</v>
      </c>
      <c r="Y105" s="99"/>
      <c r="AO105" s="99"/>
      <c r="AS105" s="245" t="s">
        <v>136</v>
      </c>
      <c r="AT105" s="307" t="e">
        <f>AVERAGE(AT85:AT104)</f>
        <v>#DIV/0!</v>
      </c>
      <c r="AU105" s="307" t="e">
        <f>SUM(AU85:AU104)/COUNTIF(AU85:AU104,"&gt;0")</f>
        <v>#DIV/0!</v>
      </c>
      <c r="AV105" s="245"/>
      <c r="AW105" s="307" t="e">
        <f>AVERAGE(AW85:AW104)</f>
        <v>#DIV/0!</v>
      </c>
      <c r="AX105" s="307" t="e">
        <f>SUM(AX85:AX104)/COUNTIF(AX85:AX104,"&gt;0")</f>
        <v>#DIV/0!</v>
      </c>
      <c r="AZ105" s="307" t="e">
        <f>AVERAGE(AZ85:AZ104)</f>
        <v>#DIV/0!</v>
      </c>
      <c r="BA105" s="307" t="e">
        <f>SUM(BA85:BA104)/COUNTIF(BA85:BA104,"&gt;0")</f>
        <v>#DIV/0!</v>
      </c>
      <c r="BC105" s="307" t="e">
        <f>AVERAGE(BC85:BC104)</f>
        <v>#DIV/0!</v>
      </c>
      <c r="BD105" s="307" t="e">
        <f>SUM(BD85:BD104)/COUNTIF(BD85:BD104,"&gt;0")</f>
        <v>#DIV/0!</v>
      </c>
      <c r="BF105" s="307" t="e">
        <f>AVERAGE(BF85:BF104)</f>
        <v>#DIV/0!</v>
      </c>
      <c r="BG105" s="307" t="e">
        <f>SUM(BG85:BG104)/COUNTIF(BG85:BG104,"&gt;0")</f>
        <v>#DIV/0!</v>
      </c>
      <c r="BI105" s="307" t="e">
        <f>AVERAGE(BI85:BI104)</f>
        <v>#DIV/0!</v>
      </c>
      <c r="BJ105" s="307" t="e">
        <f>SUM(BJ85:BJ104)/COUNTIF(BJ85:BJ104,"&gt;0")</f>
        <v>#DIV/0!</v>
      </c>
      <c r="BK105" s="245"/>
      <c r="BL105" s="307" t="e">
        <f>AVERAGE(BL85:BL104)</f>
        <v>#DIV/0!</v>
      </c>
      <c r="BM105" s="307" t="e">
        <f>SUM(BM85:BM104)/COUNTIF(BM85:BM104,"&gt;0")</f>
        <v>#DIV/0!</v>
      </c>
      <c r="BO105" s="307" t="e">
        <f>AVERAGE(BO85:BO104)</f>
        <v>#DIV/0!</v>
      </c>
      <c r="BP105" s="307" t="e">
        <f>SUM(BP85:BP104)/COUNTIF(BP85:BP104,"&gt;0")</f>
        <v>#DIV/0!</v>
      </c>
      <c r="BR105" s="307" t="e">
        <f>AVERAGE(BR85:BR104)</f>
        <v>#DIV/0!</v>
      </c>
      <c r="BS105" s="307" t="e">
        <f>SUM(BS85:BS104)/COUNTIF(BS85:BS104,"&gt;0")</f>
        <v>#DIV/0!</v>
      </c>
      <c r="BU105" s="307" t="e">
        <f>AVERAGE(BU85:BU104)</f>
        <v>#DIV/0!</v>
      </c>
      <c r="BV105" s="307" t="e">
        <f>SUM(BV85:BV104)/COUNTIF(BV85:BV104,"&gt;0")</f>
        <v>#DIV/0!</v>
      </c>
      <c r="BX105" s="99"/>
    </row>
    <row r="106" spans="1:76" s="28" customFormat="1" x14ac:dyDescent="0.25">
      <c r="A106" s="195"/>
      <c r="B106" s="244" t="s">
        <v>165</v>
      </c>
      <c r="C106" s="195"/>
      <c r="D106" s="263"/>
      <c r="E106" s="264"/>
      <c r="F106" s="264"/>
      <c r="G106" s="264"/>
      <c r="H106" s="264"/>
      <c r="I106" s="264"/>
      <c r="J106" s="265"/>
      <c r="M106" s="122"/>
      <c r="N106" s="122"/>
      <c r="O106" s="122"/>
      <c r="P106" s="122"/>
      <c r="Q106" s="306" t="s">
        <v>150</v>
      </c>
      <c r="R106" s="257" t="e">
        <f>IF($X106="Y",MIN(R84:R103),R104-$U106*R108)</f>
        <v>#DIV/0!</v>
      </c>
      <c r="S106" s="257" t="e">
        <f>IF($X106="Y",MIN(S84:S103),S104-$U106*S108)</f>
        <v>#DIV/0!</v>
      </c>
      <c r="T106" s="257" t="e">
        <f>IF($X106="Y",MIN(T84:T103),T104-$U106*T108)</f>
        <v>#DIV/0!</v>
      </c>
      <c r="U106" s="258">
        <v>1</v>
      </c>
      <c r="V106" s="122" t="s">
        <v>148</v>
      </c>
      <c r="X106" s="266" t="s">
        <v>149</v>
      </c>
      <c r="Y106" s="99"/>
      <c r="AO106" s="99"/>
      <c r="AS106" s="256" t="s">
        <v>144</v>
      </c>
      <c r="AT106" s="261" t="e">
        <f>AT105+(AT111*AT108)</f>
        <v>#DIV/0!</v>
      </c>
      <c r="AU106" s="261" t="e">
        <f>AU105+(AU111*AT108)</f>
        <v>#DIV/0!</v>
      </c>
      <c r="AV106" s="256"/>
      <c r="AW106" s="261" t="e">
        <f>AW105+(AW111*AW108)</f>
        <v>#DIV/0!</v>
      </c>
      <c r="AX106" s="261" t="e">
        <f>AX105+(AX111*AW108)</f>
        <v>#DIV/0!</v>
      </c>
      <c r="AZ106" s="261" t="e">
        <f>AZ105+(AZ111*AZ108)</f>
        <v>#DIV/0!</v>
      </c>
      <c r="BA106" s="261" t="e">
        <f>BA105+(BA111*AZ108)</f>
        <v>#DIV/0!</v>
      </c>
      <c r="BC106" s="261" t="e">
        <f>BC105+(BC111*BC108)</f>
        <v>#DIV/0!</v>
      </c>
      <c r="BD106" s="261" t="e">
        <f>BD105+(BD111*BC108)</f>
        <v>#DIV/0!</v>
      </c>
      <c r="BF106" s="261" t="e">
        <f>BF105+(BF111*BF108)</f>
        <v>#DIV/0!</v>
      </c>
      <c r="BG106" s="261" t="e">
        <f>BG105+(BG111*BF108)</f>
        <v>#DIV/0!</v>
      </c>
      <c r="BI106" s="261" t="e">
        <f>BI105+(BI111*BI108)</f>
        <v>#DIV/0!</v>
      </c>
      <c r="BJ106" s="261" t="e">
        <f>BJ105+(BJ111*BI108)</f>
        <v>#DIV/0!</v>
      </c>
      <c r="BK106" s="256"/>
      <c r="BL106" s="261" t="e">
        <f>BL105+(BL111*BL108)</f>
        <v>#DIV/0!</v>
      </c>
      <c r="BM106" s="261" t="e">
        <f>BM105+(BM111*BL108)</f>
        <v>#DIV/0!</v>
      </c>
      <c r="BO106" s="261" t="e">
        <f>BO105+(BO111*BO108)</f>
        <v>#DIV/0!</v>
      </c>
      <c r="BP106" s="261" t="e">
        <f>BP105+(BP111*BO108)</f>
        <v>#DIV/0!</v>
      </c>
      <c r="BR106" s="261" t="e">
        <f>BR105+(BR111*BR108)</f>
        <v>#DIV/0!</v>
      </c>
      <c r="BS106" s="261" t="e">
        <f>BS105+(BS111*BR108)</f>
        <v>#DIV/0!</v>
      </c>
      <c r="BU106" s="261" t="e">
        <f>BU105+(BU111*BU108)</f>
        <v>#DIV/0!</v>
      </c>
      <c r="BV106" s="261" t="e">
        <f>BV105+(BV111*BU108)</f>
        <v>#DIV/0!</v>
      </c>
      <c r="BX106" s="99"/>
    </row>
    <row r="107" spans="1:76" s="122" customFormat="1" ht="12.95" customHeight="1" x14ac:dyDescent="0.25">
      <c r="A107" s="195"/>
      <c r="B107" s="196"/>
      <c r="C107" s="195"/>
      <c r="D107" s="263"/>
      <c r="E107" s="264"/>
      <c r="F107" s="264"/>
      <c r="G107" s="264"/>
      <c r="H107" s="264"/>
      <c r="I107" s="264"/>
      <c r="J107" s="265"/>
      <c r="Q107" s="306" t="s">
        <v>151</v>
      </c>
      <c r="R107" s="257" t="e">
        <f>IF((0.67*R108)&gt;R104,"no","yes")</f>
        <v>#DIV/0!</v>
      </c>
      <c r="S107" s="257" t="e">
        <f>IF((0.67*S108)&gt;S104,"no","yes")</f>
        <v>#DIV/0!</v>
      </c>
      <c r="T107" s="257" t="e">
        <f>IF((0.67*T108)&gt;T104,"no","yes")</f>
        <v>#DIV/0!</v>
      </c>
      <c r="Y107" s="139"/>
      <c r="AO107" s="139"/>
      <c r="AP107" s="28"/>
      <c r="AQ107" s="28"/>
      <c r="AR107" s="28"/>
      <c r="AS107" s="256" t="s">
        <v>150</v>
      </c>
      <c r="AT107" s="261" t="e">
        <f>AT105-(AT111*AT109)</f>
        <v>#DIV/0!</v>
      </c>
      <c r="AU107" s="261" t="e">
        <f>AU105-(AU111*AT109)</f>
        <v>#DIV/0!</v>
      </c>
      <c r="AV107" s="256"/>
      <c r="AW107" s="261" t="e">
        <f>AW105-(AW111*AW109)</f>
        <v>#DIV/0!</v>
      </c>
      <c r="AX107" s="261" t="e">
        <f>AX105-(AX111*AW109)</f>
        <v>#DIV/0!</v>
      </c>
      <c r="AY107" s="28"/>
      <c r="AZ107" s="261" t="e">
        <f>AZ105-(AZ111*AZ109)</f>
        <v>#DIV/0!</v>
      </c>
      <c r="BA107" s="261" t="e">
        <f>BA105-(BA111*AZ109)</f>
        <v>#DIV/0!</v>
      </c>
      <c r="BB107" s="28"/>
      <c r="BC107" s="261" t="e">
        <f>BC105-(BC111*BC109)</f>
        <v>#DIV/0!</v>
      </c>
      <c r="BD107" s="261" t="e">
        <f>BD105-(BD111*BC109)</f>
        <v>#DIV/0!</v>
      </c>
      <c r="BE107" s="28"/>
      <c r="BF107" s="261" t="e">
        <f>BF105-(BF111*BF109)</f>
        <v>#DIV/0!</v>
      </c>
      <c r="BG107" s="261" t="e">
        <f>BG105-(BG111*BF109)</f>
        <v>#DIV/0!</v>
      </c>
      <c r="BH107" s="28"/>
      <c r="BI107" s="261" t="e">
        <f>BI105-(BI111*BI109)</f>
        <v>#DIV/0!</v>
      </c>
      <c r="BJ107" s="261" t="e">
        <f>BJ105-(BJ111*BI109)</f>
        <v>#DIV/0!</v>
      </c>
      <c r="BK107" s="256"/>
      <c r="BL107" s="261" t="e">
        <f>BL105-(BL111*BL109)</f>
        <v>#DIV/0!</v>
      </c>
      <c r="BM107" s="261" t="e">
        <f>BM105-(BM111*BL109)</f>
        <v>#DIV/0!</v>
      </c>
      <c r="BN107" s="28"/>
      <c r="BO107" s="261" t="e">
        <f>BO105-(BO111*BO109)</f>
        <v>#DIV/0!</v>
      </c>
      <c r="BP107" s="261" t="e">
        <f>BP105-(BP111*BO109)</f>
        <v>#DIV/0!</v>
      </c>
      <c r="BQ107" s="28"/>
      <c r="BR107" s="261" t="e">
        <f>BR105-(BR111*BR109)</f>
        <v>#DIV/0!</v>
      </c>
      <c r="BS107" s="261" t="e">
        <f>BS105-(BS111*BR109)</f>
        <v>#DIV/0!</v>
      </c>
      <c r="BT107" s="28"/>
      <c r="BU107" s="261" t="e">
        <f>BU105-(BU111*BU109)</f>
        <v>#DIV/0!</v>
      </c>
      <c r="BV107" s="261" t="e">
        <f>BV105-(BV111*BU109)</f>
        <v>#DIV/0!</v>
      </c>
      <c r="BW107" s="28"/>
      <c r="BX107" s="139"/>
    </row>
    <row r="108" spans="1:76" s="122" customFormat="1" ht="28.5" x14ac:dyDescent="0.2">
      <c r="A108" s="270" t="e">
        <f ca="1">HYPERLINK("#"&amp;"'"&amp;A$1&amp;"'!a1","Back to top")</f>
        <v>#VALUE!</v>
      </c>
      <c r="B108" s="271"/>
      <c r="C108" s="195"/>
      <c r="D108" s="263"/>
      <c r="E108" s="264"/>
      <c r="F108" s="264"/>
      <c r="G108" s="264"/>
      <c r="H108" s="264"/>
      <c r="I108" s="264"/>
      <c r="J108" s="265"/>
      <c r="Q108" s="306" t="s">
        <v>157</v>
      </c>
      <c r="R108" s="257">
        <f>IF(COUNT(R84:R103)&gt;1,_xlfn.STDEV.S(R84:R103),0)</f>
        <v>0</v>
      </c>
      <c r="S108" s="257" t="e">
        <f t="array" ref="S108">IF(R112="Y",SQRT(SUM(IFERROR(N84:N103*(R84:R103-(S104))^2,0))/((COUNT(S84:S103)-1)/COUNT(S84:S103)*SUMPRODUCT(N84:N103,--ISNUMBER(S84:S103)))),_xlfn.STDEV.S(S84:S103))</f>
        <v>#DIV/0!</v>
      </c>
      <c r="T108" s="257" t="e">
        <f t="array" ref="T108">SQRT(SUM(IFERROR(N84:N103*(R84:R103-(T104))^2,0))/((COUNT(T84:T103)-1)/COUNT(T84:T103)*SUMPRODUCT(N84:N103,--ISNUMBER(T84:T103))))</f>
        <v>#DIV/0!</v>
      </c>
      <c r="Y108" s="139"/>
      <c r="AO108" s="139"/>
      <c r="AR108" s="267" t="s">
        <v>152</v>
      </c>
      <c r="AS108" s="268"/>
      <c r="AT108" s="258">
        <v>1</v>
      </c>
      <c r="AV108" s="308"/>
      <c r="AW108" s="258">
        <v>1</v>
      </c>
      <c r="AZ108" s="258">
        <v>1</v>
      </c>
      <c r="BC108" s="258">
        <v>1</v>
      </c>
      <c r="BF108" s="258">
        <v>1</v>
      </c>
      <c r="BI108" s="258">
        <v>1</v>
      </c>
      <c r="BK108" s="256"/>
      <c r="BL108" s="258">
        <v>1</v>
      </c>
      <c r="BO108" s="258">
        <v>1</v>
      </c>
      <c r="BR108" s="258">
        <v>1</v>
      </c>
      <c r="BU108" s="258">
        <v>1</v>
      </c>
      <c r="BX108" s="139"/>
    </row>
    <row r="109" spans="1:76" s="122" customFormat="1" ht="15" customHeight="1" x14ac:dyDescent="0.25">
      <c r="A109" s="195"/>
      <c r="B109" s="196"/>
      <c r="C109" s="195"/>
      <c r="D109" s="263"/>
      <c r="E109" s="264"/>
      <c r="F109" s="264"/>
      <c r="G109" s="264"/>
      <c r="H109" s="264"/>
      <c r="I109" s="264"/>
      <c r="J109" s="265"/>
      <c r="Q109" s="309" t="s">
        <v>159</v>
      </c>
      <c r="R109" s="310">
        <f>COUNT(R84:R103)</f>
        <v>0</v>
      </c>
      <c r="S109" s="310">
        <f>COUNT(S84:S103)</f>
        <v>0</v>
      </c>
      <c r="T109" s="118"/>
      <c r="U109" s="273" t="s">
        <v>155</v>
      </c>
      <c r="Y109" s="139"/>
      <c r="AO109" s="139"/>
      <c r="AR109" s="267"/>
      <c r="AS109" s="268"/>
      <c r="AT109" s="258">
        <v>1</v>
      </c>
      <c r="AV109" s="308"/>
      <c r="AW109" s="258">
        <v>1</v>
      </c>
      <c r="AZ109" s="258">
        <v>1</v>
      </c>
      <c r="BC109" s="258">
        <v>1</v>
      </c>
      <c r="BF109" s="258">
        <v>1</v>
      </c>
      <c r="BI109" s="258">
        <v>1</v>
      </c>
      <c r="BK109" s="256"/>
      <c r="BL109" s="258">
        <v>1</v>
      </c>
      <c r="BO109" s="258">
        <v>1</v>
      </c>
      <c r="BR109" s="258">
        <v>1</v>
      </c>
      <c r="BU109" s="258">
        <v>1</v>
      </c>
      <c r="BX109" s="139"/>
    </row>
    <row r="110" spans="1:76" s="122" customFormat="1" ht="14.25" x14ac:dyDescent="0.2">
      <c r="A110" s="195"/>
      <c r="B110" s="196"/>
      <c r="C110" s="195"/>
      <c r="D110" s="263"/>
      <c r="E110" s="264"/>
      <c r="F110" s="264"/>
      <c r="G110" s="264"/>
      <c r="H110" s="264"/>
      <c r="I110" s="264"/>
      <c r="J110" s="265"/>
      <c r="Q110" s="311"/>
      <c r="U110" s="274"/>
      <c r="V110" s="275"/>
      <c r="W110" s="276"/>
      <c r="Y110" s="139"/>
      <c r="AO110" s="139"/>
      <c r="AS110" s="256" t="s">
        <v>151</v>
      </c>
      <c r="AT110" s="261" t="e">
        <f>IF((0.67*AT111)&gt;AT105,"no","yes")</f>
        <v>#DIV/0!</v>
      </c>
      <c r="AU110" s="261" t="e">
        <f>IF((0.67*AU111)&gt;AU105,"no","yes")</f>
        <v>#DIV/0!</v>
      </c>
      <c r="AV110" s="256"/>
      <c r="AW110" s="261" t="e">
        <f>IF((0.67*AW111)&gt;AW105,"no","yes")</f>
        <v>#DIV/0!</v>
      </c>
      <c r="AX110" s="261" t="e">
        <f>IF((0.67*AX111)&gt;AX105,"no","yes")</f>
        <v>#DIV/0!</v>
      </c>
      <c r="AZ110" s="261" t="e">
        <f>IF((0.67*AZ111)&gt;AZ105,"no","yes")</f>
        <v>#DIV/0!</v>
      </c>
      <c r="BA110" s="261" t="e">
        <f>IF((0.67*BA111)&gt;BA105,"no","yes")</f>
        <v>#DIV/0!</v>
      </c>
      <c r="BC110" s="261" t="e">
        <f>IF((0.67*BC111)&gt;BC105,"no","yes")</f>
        <v>#DIV/0!</v>
      </c>
      <c r="BD110" s="261" t="e">
        <f>IF((0.67*BD111)&gt;BD105,"no","yes")</f>
        <v>#DIV/0!</v>
      </c>
      <c r="BF110" s="261" t="e">
        <f>IF((0.67*BF111)&gt;BF105,"no","yes")</f>
        <v>#DIV/0!</v>
      </c>
      <c r="BG110" s="261" t="e">
        <f>IF((0.67*BG111)&gt;BG105,"no","yes")</f>
        <v>#DIV/0!</v>
      </c>
      <c r="BI110" s="261" t="e">
        <f>IF((0.67*BI111)&gt;BI105,"no","yes")</f>
        <v>#DIV/0!</v>
      </c>
      <c r="BJ110" s="261" t="e">
        <f>IF((0.67*BJ111)&gt;BJ105,"no","yes")</f>
        <v>#DIV/0!</v>
      </c>
      <c r="BK110" s="133"/>
      <c r="BL110" s="261" t="e">
        <f>IF((0.67*BL111)&gt;BL105,"no","yes")</f>
        <v>#DIV/0!</v>
      </c>
      <c r="BM110" s="261" t="e">
        <f>IF((0.67*BM111)&gt;BM105,"no","yes")</f>
        <v>#DIV/0!</v>
      </c>
      <c r="BO110" s="261" t="e">
        <f>IF((0.67*BO111)&gt;BO105,"no","yes")</f>
        <v>#DIV/0!</v>
      </c>
      <c r="BP110" s="261" t="e">
        <f>IF((0.67*BP111)&gt;BP105,"no","yes")</f>
        <v>#DIV/0!</v>
      </c>
      <c r="BR110" s="261" t="e">
        <f>IF((0.67*BR111)&gt;BR105,"no","yes")</f>
        <v>#DIV/0!</v>
      </c>
      <c r="BS110" s="261" t="e">
        <f>IF((0.67*BS111)&gt;BS105,"no","yes")</f>
        <v>#DIV/0!</v>
      </c>
      <c r="BU110" s="261" t="e">
        <f>IF((0.67*BU111)&gt;BU105,"no","yes")</f>
        <v>#DIV/0!</v>
      </c>
      <c r="BV110" s="261" t="e">
        <f>IF((0.67*BV111)&gt;BV105,"no","yes")</f>
        <v>#DIV/0!</v>
      </c>
      <c r="BX110" s="139"/>
    </row>
    <row r="111" spans="1:76" s="122" customFormat="1" x14ac:dyDescent="0.2">
      <c r="B111" s="118"/>
      <c r="D111" s="277"/>
      <c r="E111" s="278"/>
      <c r="F111" s="278"/>
      <c r="G111" s="278"/>
      <c r="H111" s="278"/>
      <c r="I111" s="278"/>
      <c r="J111" s="279"/>
      <c r="Q111" s="311"/>
      <c r="R111" s="280" t="s">
        <v>158</v>
      </c>
      <c r="U111" s="281"/>
      <c r="V111" s="282"/>
      <c r="W111" s="283"/>
      <c r="Y111" s="139"/>
      <c r="AO111" s="139"/>
      <c r="AS111" s="256" t="s">
        <v>157</v>
      </c>
      <c r="AT111" s="261">
        <f>IF(AT112&gt;1,_xlfn.STDEV.S(AT85:AT104),0)</f>
        <v>0</v>
      </c>
      <c r="AU111" s="261">
        <f>IF(AU112&gt;1,_xlfn.STDEV.S(AU85:AU104),0)</f>
        <v>0</v>
      </c>
      <c r="AW111" s="261">
        <f>IF(AW112&gt;1,_xlfn.STDEV.S(AW85:AW104),0)</f>
        <v>0</v>
      </c>
      <c r="AX111" s="261">
        <f>IF(AX112&gt;1,_xlfn.STDEV.S(AX85:AX104),0)</f>
        <v>0</v>
      </c>
      <c r="AZ111" s="261">
        <f>IF(AZ112&gt;1,_xlfn.STDEV.S(AZ85:AZ104),0)</f>
        <v>0</v>
      </c>
      <c r="BA111" s="261">
        <f>IF(BA112&gt;1,_xlfn.STDEV.S(BA85:BA104),0)</f>
        <v>0</v>
      </c>
      <c r="BC111" s="261">
        <f>IF(BC112&gt;1,_xlfn.STDEV.S(BC85:BC104),0)</f>
        <v>0</v>
      </c>
      <c r="BD111" s="261">
        <f>IF(BD112&gt;1,_xlfn.STDEV.S(BD85:BD104),0)</f>
        <v>0</v>
      </c>
      <c r="BF111" s="261">
        <f>IF(BF112&gt;1,_xlfn.STDEV.S(BF85:BF104),0)</f>
        <v>0</v>
      </c>
      <c r="BG111" s="261">
        <f>IF(BG112&gt;1,_xlfn.STDEV.S(BG85:BG104),0)</f>
        <v>0</v>
      </c>
      <c r="BI111" s="261">
        <f>IF(BI112&gt;1,_xlfn.STDEV.S(BI85:BI104),0)</f>
        <v>0</v>
      </c>
      <c r="BJ111" s="261">
        <f>IF(BJ112&gt;1,_xlfn.STDEV.S(BJ85:BJ104),0)</f>
        <v>0</v>
      </c>
      <c r="BL111" s="261">
        <f>IF(BL112&gt;1,_xlfn.STDEV.S(BL85:BL104),0)</f>
        <v>0</v>
      </c>
      <c r="BM111" s="261">
        <f>IF(BM112&gt;1,_xlfn.STDEV.S(BM85:BM104),0)</f>
        <v>0</v>
      </c>
      <c r="BO111" s="261">
        <f>IF(BO112&gt;1,_xlfn.STDEV.S(BO85:BO104),0)</f>
        <v>0</v>
      </c>
      <c r="BP111" s="261">
        <f>IF(BP112&gt;1,_xlfn.STDEV.S(BP85:BP104),0)</f>
        <v>0</v>
      </c>
      <c r="BR111" s="261">
        <f>IF(BR112&gt;1,_xlfn.STDEV.S(BR85:BR104),0)</f>
        <v>0</v>
      </c>
      <c r="BS111" s="261">
        <f>IF(BS112&gt;1,_xlfn.STDEV.S(BS85:BS104),0)</f>
        <v>0</v>
      </c>
      <c r="BU111" s="261">
        <f>IF(BU112&gt;1,_xlfn.STDEV.S(BU85:BU104),0)</f>
        <v>0</v>
      </c>
      <c r="BV111" s="261">
        <f>IF(BV112&gt;1,_xlfn.STDEV.S(BV85:BV104),0)</f>
        <v>0</v>
      </c>
      <c r="BX111" s="139"/>
    </row>
    <row r="112" spans="1:76" s="122" customFormat="1" ht="18" x14ac:dyDescent="0.25">
      <c r="B112" s="118"/>
      <c r="Q112" s="311"/>
      <c r="R112" s="287" t="s">
        <v>149</v>
      </c>
      <c r="U112" s="281"/>
      <c r="V112" s="282"/>
      <c r="W112" s="283"/>
      <c r="Y112" s="139"/>
      <c r="AO112" s="296"/>
      <c r="AS112" s="133" t="s">
        <v>159</v>
      </c>
      <c r="AT112" s="284">
        <f>COUNT(AT85:AT104)</f>
        <v>0</v>
      </c>
      <c r="AU112" s="284">
        <f>COUNT(AU85:AU104)</f>
        <v>0</v>
      </c>
      <c r="AW112" s="284">
        <f>COUNT(AW85:AW104)</f>
        <v>0</v>
      </c>
      <c r="AX112" s="284">
        <f>COUNT(AX85:AX104)</f>
        <v>0</v>
      </c>
      <c r="AZ112" s="284">
        <f>COUNT(AZ85:AZ104)</f>
        <v>0</v>
      </c>
      <c r="BA112" s="284">
        <f>COUNT(BA85:BA104)</f>
        <v>0</v>
      </c>
      <c r="BC112" s="284">
        <f>COUNT(BC85:BC104)</f>
        <v>0</v>
      </c>
      <c r="BD112" s="284">
        <f>COUNT(BD85:BD104)</f>
        <v>0</v>
      </c>
      <c r="BF112" s="284">
        <f>COUNT(BF85:BF104)</f>
        <v>0</v>
      </c>
      <c r="BG112" s="284">
        <f>COUNT(BG85:BG104)</f>
        <v>0</v>
      </c>
      <c r="BI112" s="284">
        <f>COUNT(BI85:BI104)</f>
        <v>0</v>
      </c>
      <c r="BJ112" s="284">
        <f>COUNT(BJ85:BJ104)</f>
        <v>0</v>
      </c>
      <c r="BL112" s="284">
        <f>COUNT(BL85:BL104)</f>
        <v>0</v>
      </c>
      <c r="BM112" s="284">
        <f>COUNT(BM85:BM104)</f>
        <v>0</v>
      </c>
      <c r="BO112" s="284">
        <f>COUNT(BO85:BO104)</f>
        <v>0</v>
      </c>
      <c r="BP112" s="284">
        <f>COUNT(BP85:BP104)</f>
        <v>0</v>
      </c>
      <c r="BR112" s="284">
        <f>COUNT(BR85:BR104)</f>
        <v>0</v>
      </c>
      <c r="BS112" s="284">
        <f>COUNT(BS85:BS104)</f>
        <v>0</v>
      </c>
      <c r="BU112" s="284">
        <f>COUNT(BU85:BU104)</f>
        <v>0</v>
      </c>
      <c r="BV112" s="284">
        <f>COUNT(BV85:BV104)</f>
        <v>0</v>
      </c>
      <c r="BX112" s="296"/>
    </row>
    <row r="113" spans="1:76" s="122" customFormat="1" ht="14.25" x14ac:dyDescent="0.2">
      <c r="B113" s="118"/>
      <c r="Q113" s="311"/>
      <c r="U113" s="288"/>
      <c r="V113" s="289"/>
      <c r="W113" s="290"/>
      <c r="Y113" s="139"/>
      <c r="AO113" s="139"/>
      <c r="BX113" s="139"/>
    </row>
    <row r="114" spans="1:76" s="122" customFormat="1" ht="14.25" x14ac:dyDescent="0.2">
      <c r="B114" s="118"/>
      <c r="Q114" s="311"/>
      <c r="Y114" s="139"/>
      <c r="AO114" s="139"/>
      <c r="BX114" s="139"/>
    </row>
    <row r="115" spans="1:76" s="91" customFormat="1" ht="18" x14ac:dyDescent="0.25">
      <c r="A115" s="188">
        <f>A82+1</f>
        <v>3</v>
      </c>
      <c r="B115" s="189"/>
      <c r="C115" s="293" t="s">
        <v>166</v>
      </c>
      <c r="D115" s="191"/>
      <c r="E115" s="191"/>
      <c r="F115" s="191"/>
      <c r="G115" s="191"/>
      <c r="H115" s="9"/>
      <c r="I115" s="9"/>
      <c r="J115" s="191"/>
      <c r="K115" s="191"/>
      <c r="L115" s="192"/>
      <c r="M115" s="192"/>
      <c r="N115" s="192"/>
      <c r="O115" s="192"/>
      <c r="P115" s="192"/>
      <c r="Q115" s="294"/>
      <c r="R115" s="194" t="s">
        <v>93</v>
      </c>
      <c r="S115" s="194"/>
      <c r="T115" s="194"/>
      <c r="U115" s="194"/>
      <c r="V115" s="9"/>
      <c r="W115" s="9"/>
      <c r="AP115" s="295">
        <f>A115</f>
        <v>3</v>
      </c>
      <c r="AQ115" s="295" t="str">
        <f>C115</f>
        <v>SOLUTION First Cost per Implementation Unit</v>
      </c>
      <c r="AR115" s="296"/>
      <c r="AS115" s="296"/>
      <c r="AT115" s="296"/>
      <c r="AU115" s="296"/>
      <c r="AV115" s="296"/>
      <c r="AW115" s="296"/>
      <c r="AX115" s="296"/>
      <c r="AY115" s="296"/>
      <c r="AZ115" s="296"/>
      <c r="BA115" s="296"/>
      <c r="BB115" s="296"/>
      <c r="BC115" s="296"/>
      <c r="BD115" s="296"/>
      <c r="BE115" s="296"/>
      <c r="BF115" s="296"/>
      <c r="BG115" s="296"/>
      <c r="BH115" s="296"/>
      <c r="BI115" s="296"/>
      <c r="BJ115" s="296"/>
      <c r="BK115" s="296"/>
      <c r="BL115" s="296"/>
      <c r="BM115" s="296"/>
      <c r="BN115" s="296"/>
      <c r="BO115" s="296"/>
      <c r="BP115" s="296"/>
      <c r="BQ115" s="296"/>
      <c r="BR115" s="296"/>
      <c r="BS115" s="296"/>
      <c r="BT115" s="296"/>
      <c r="BU115" s="296"/>
      <c r="BV115" s="296"/>
      <c r="BW115" s="296"/>
    </row>
    <row r="116" spans="1:76" s="55" customFormat="1" x14ac:dyDescent="0.25">
      <c r="A116" s="195"/>
      <c r="B116" s="196"/>
      <c r="C116" s="195"/>
      <c r="D116" s="120"/>
      <c r="E116" s="120"/>
      <c r="F116" s="120"/>
      <c r="G116" s="120"/>
      <c r="J116" s="120"/>
      <c r="K116" s="120"/>
      <c r="L116" s="122"/>
      <c r="M116" s="122"/>
      <c r="N116" s="122"/>
      <c r="O116" s="122"/>
      <c r="P116" s="122"/>
      <c r="Q116" s="311"/>
      <c r="R116" s="122"/>
      <c r="S116" s="122"/>
      <c r="T116" s="28"/>
      <c r="U116" s="28"/>
      <c r="V116" s="28"/>
      <c r="W116" s="28"/>
      <c r="Y116" s="91"/>
      <c r="AO116" s="91"/>
      <c r="AP116" s="28"/>
      <c r="AQ116" s="28"/>
      <c r="AR116" s="28"/>
      <c r="AS116" s="28"/>
      <c r="AT116" s="198" t="s">
        <v>95</v>
      </c>
      <c r="AU116" s="198"/>
      <c r="AV116" s="28"/>
      <c r="AW116" s="198" t="s">
        <v>96</v>
      </c>
      <c r="AX116" s="198"/>
      <c r="AY116" s="28"/>
      <c r="AZ116" s="198" t="s">
        <v>97</v>
      </c>
      <c r="BA116" s="198"/>
      <c r="BB116" s="28"/>
      <c r="BC116" s="198" t="s">
        <v>98</v>
      </c>
      <c r="BD116" s="198"/>
      <c r="BE116" s="28"/>
      <c r="BF116" s="198" t="s">
        <v>99</v>
      </c>
      <c r="BG116" s="198"/>
      <c r="BH116" s="28"/>
      <c r="BI116" s="198" t="s">
        <v>100</v>
      </c>
      <c r="BJ116" s="198"/>
      <c r="BK116" s="28"/>
      <c r="BL116" s="198" t="s">
        <v>101</v>
      </c>
      <c r="BM116" s="198"/>
      <c r="BN116" s="28"/>
      <c r="BO116" s="198" t="s">
        <v>102</v>
      </c>
      <c r="BP116" s="198"/>
      <c r="BQ116" s="28"/>
      <c r="BR116" s="198" t="s">
        <v>103</v>
      </c>
      <c r="BS116" s="198"/>
      <c r="BT116" s="28"/>
      <c r="BU116" s="198" t="s">
        <v>104</v>
      </c>
      <c r="BV116" s="28"/>
      <c r="BW116" s="28"/>
      <c r="BX116" s="91"/>
    </row>
    <row r="117" spans="1:76" s="55" customFormat="1" ht="30.75" thickBot="1" x14ac:dyDescent="0.3">
      <c r="A117" s="199" t="s">
        <v>105</v>
      </c>
      <c r="B117" s="200" t="s">
        <v>106</v>
      </c>
      <c r="C117" s="298" t="s">
        <v>107</v>
      </c>
      <c r="D117" s="299" t="s">
        <v>108</v>
      </c>
      <c r="E117" s="299" t="s">
        <v>109</v>
      </c>
      <c r="F117" s="300" t="s">
        <v>110</v>
      </c>
      <c r="G117" s="201" t="s">
        <v>111</v>
      </c>
      <c r="H117" s="202" t="s">
        <v>112</v>
      </c>
      <c r="I117" s="203" t="s">
        <v>113</v>
      </c>
      <c r="J117" s="301" t="s">
        <v>114</v>
      </c>
      <c r="K117" s="205" t="s">
        <v>115</v>
      </c>
      <c r="L117" s="302" t="s">
        <v>116</v>
      </c>
      <c r="M117" s="207" t="s">
        <v>117</v>
      </c>
      <c r="N117" s="208" t="s">
        <v>118</v>
      </c>
      <c r="O117" s="208" t="s">
        <v>119</v>
      </c>
      <c r="P117" s="210"/>
      <c r="Q117" s="211" t="s">
        <v>120</v>
      </c>
      <c r="R117" s="212" t="s">
        <v>121</v>
      </c>
      <c r="S117" s="212" t="s">
        <v>122</v>
      </c>
      <c r="T117" s="212" t="s">
        <v>123</v>
      </c>
      <c r="U117" s="213" t="s">
        <v>124</v>
      </c>
      <c r="V117" s="210"/>
      <c r="W117" s="210"/>
      <c r="Y117" s="303"/>
      <c r="AO117" s="91"/>
      <c r="AP117" s="210"/>
      <c r="AQ117" s="210"/>
      <c r="AR117" s="213" t="s">
        <v>125</v>
      </c>
      <c r="AS117" s="210"/>
      <c r="AT117" s="215" t="s">
        <v>121</v>
      </c>
      <c r="AU117" s="215" t="s">
        <v>122</v>
      </c>
      <c r="AV117" s="210"/>
      <c r="AW117" s="215" t="s">
        <v>121</v>
      </c>
      <c r="AX117" s="215" t="s">
        <v>122</v>
      </c>
      <c r="AY117" s="210"/>
      <c r="AZ117" s="215" t="s">
        <v>121</v>
      </c>
      <c r="BA117" s="215" t="s">
        <v>122</v>
      </c>
      <c r="BB117" s="210"/>
      <c r="BC117" s="215" t="s">
        <v>121</v>
      </c>
      <c r="BD117" s="215" t="s">
        <v>122</v>
      </c>
      <c r="BE117" s="210"/>
      <c r="BF117" s="215" t="s">
        <v>121</v>
      </c>
      <c r="BG117" s="215" t="s">
        <v>122</v>
      </c>
      <c r="BH117" s="210"/>
      <c r="BI117" s="215" t="s">
        <v>121</v>
      </c>
      <c r="BJ117" s="215" t="s">
        <v>122</v>
      </c>
      <c r="BK117" s="210"/>
      <c r="BL117" s="215" t="s">
        <v>121</v>
      </c>
      <c r="BM117" s="215" t="s">
        <v>122</v>
      </c>
      <c r="BN117" s="210"/>
      <c r="BO117" s="215" t="s">
        <v>121</v>
      </c>
      <c r="BP117" s="215" t="s">
        <v>122</v>
      </c>
      <c r="BQ117" s="210"/>
      <c r="BR117" s="215" t="s">
        <v>121</v>
      </c>
      <c r="BS117" s="215" t="s">
        <v>122</v>
      </c>
      <c r="BT117" s="210"/>
      <c r="BU117" s="215" t="s">
        <v>121</v>
      </c>
      <c r="BV117" s="215" t="s">
        <v>122</v>
      </c>
      <c r="BW117" s="210"/>
      <c r="BX117" s="91"/>
    </row>
    <row r="118" spans="1:76" s="55" customFormat="1" x14ac:dyDescent="0.25">
      <c r="A118" s="195">
        <v>1</v>
      </c>
      <c r="B118" s="216" t="str">
        <f t="shared" ref="B118:B137" si="54">CONCATENATE(E118,": ",C118)</f>
        <v xml:space="preserve">: </v>
      </c>
      <c r="C118" s="219"/>
      <c r="D118" s="219"/>
      <c r="E118" s="219"/>
      <c r="F118" s="219"/>
      <c r="G118" s="220"/>
      <c r="H118" s="221"/>
      <c r="I118" s="220"/>
      <c r="J118" s="312"/>
      <c r="K118" s="226"/>
      <c r="L118" s="224"/>
      <c r="M118" s="225" t="str">
        <f t="shared" ref="M118:M137" si="55">CONCATENATE("US2014$/",AdoptionUnitOfMeasure)</f>
        <v>US2014$/kg of protein</v>
      </c>
      <c r="N118" s="226"/>
      <c r="O118" s="242"/>
      <c r="P118" s="122"/>
      <c r="Q118" s="228"/>
      <c r="R118" s="231" t="str">
        <f>IF(Q118="Y","",IF(AND(L118="",J118=""),"",IF(L118="",J118,L118)))</f>
        <v/>
      </c>
      <c r="S118" s="230" t="str">
        <f t="shared" ref="S118:S137" si="56">IF(R118="","",IF($R$146="Y",T118,IF(R118&gt;=$R$138-$AA$35*$R$142,IF(R118&lt;=$R$138+$AA$35*$R$142,R118,""),"")))</f>
        <v/>
      </c>
      <c r="T118" s="231" t="str">
        <f t="shared" ref="T118:T137" si="57">IF(OR(Q118="Y",IFERROR(R118&gt;$R$138+$R$142*$AA$35,0),IFERROR(R118&lt;$R$138-$R$142*$AA$35,0)),"",IFERROR(R118*N118,""))</f>
        <v/>
      </c>
      <c r="U118" s="232" t="str">
        <f t="shared" ref="U118:U137" si="58">IF(AND(M118="",K118=""),"",IF(M118="",K118,M118))</f>
        <v>US2014$/kg of protein</v>
      </c>
      <c r="V118" s="28"/>
      <c r="W118" s="28"/>
      <c r="Y118" s="99"/>
      <c r="AO118" s="91"/>
      <c r="AP118" s="28"/>
      <c r="AQ118" s="28"/>
      <c r="AR118" s="233" t="str">
        <f>$U118</f>
        <v>US2014$/kg of protein</v>
      </c>
      <c r="AS118" s="28"/>
      <c r="AT118" s="304" t="str">
        <f>IF($E118=$AT$47,R118,"")</f>
        <v/>
      </c>
      <c r="AU118" s="304" t="str">
        <f>IF($E118=$AT$47,S118,"")</f>
        <v/>
      </c>
      <c r="AV118" s="28"/>
      <c r="AW118" s="304" t="str">
        <f t="shared" ref="AW118:AX137" si="59">IF($E118=$AW$83,R118,"")</f>
        <v/>
      </c>
      <c r="AX118" s="304" t="str">
        <f t="shared" si="59"/>
        <v/>
      </c>
      <c r="AY118" s="28"/>
      <c r="AZ118" s="304" t="str">
        <f t="shared" ref="AZ118:BA137" si="60">IF($E118=$AZ$83,R118,"")</f>
        <v/>
      </c>
      <c r="BA118" s="304" t="str">
        <f t="shared" si="60"/>
        <v/>
      </c>
      <c r="BB118" s="28"/>
      <c r="BC118" s="304" t="str">
        <f t="shared" ref="BC118:BD137" si="61">IF($E118=$BC$83,R118,"")</f>
        <v/>
      </c>
      <c r="BD118" s="304" t="str">
        <f t="shared" si="61"/>
        <v/>
      </c>
      <c r="BE118" s="28"/>
      <c r="BF118" s="304" t="str">
        <f t="shared" ref="BF118:BG137" si="62">IF($E118=$BF$83,R118,"")</f>
        <v/>
      </c>
      <c r="BG118" s="304" t="str">
        <f t="shared" si="62"/>
        <v/>
      </c>
      <c r="BH118" s="28"/>
      <c r="BI118" s="304" t="str">
        <f t="shared" ref="BI118:BJ137" si="63">IF($E118=$BI$83,R118,"")</f>
        <v/>
      </c>
      <c r="BJ118" s="304" t="str">
        <f t="shared" si="63"/>
        <v/>
      </c>
      <c r="BK118" s="28"/>
      <c r="BL118" s="304" t="str">
        <f t="shared" ref="BL118:BM137" si="64">IF($E118=$BL$83,R118,"")</f>
        <v/>
      </c>
      <c r="BM118" s="304" t="str">
        <f t="shared" si="64"/>
        <v/>
      </c>
      <c r="BN118" s="28"/>
      <c r="BO118" s="304" t="str">
        <f t="shared" ref="BO118:BP137" si="65">IF($E118=$BO$83,R118,"")</f>
        <v/>
      </c>
      <c r="BP118" s="304" t="str">
        <f t="shared" si="65"/>
        <v/>
      </c>
      <c r="BQ118" s="28"/>
      <c r="BR118" s="304" t="str">
        <f t="shared" ref="BR118:BS137" si="66">IF($E118=$BR$83,R118,"")</f>
        <v/>
      </c>
      <c r="BS118" s="304" t="str">
        <f t="shared" si="66"/>
        <v/>
      </c>
      <c r="BT118" s="28"/>
      <c r="BU118" s="304" t="str">
        <f t="shared" ref="BU118:BV137" si="67">IF($E118=$BU$83,R118,"")</f>
        <v/>
      </c>
      <c r="BV118" s="304" t="str">
        <f t="shared" si="67"/>
        <v/>
      </c>
      <c r="BW118" s="28"/>
      <c r="BX118" s="91"/>
    </row>
    <row r="119" spans="1:76" s="55" customFormat="1" x14ac:dyDescent="0.25">
      <c r="A119" s="195">
        <v>2</v>
      </c>
      <c r="B119" s="216" t="str">
        <f t="shared" si="54"/>
        <v xml:space="preserve">: </v>
      </c>
      <c r="C119" s="219"/>
      <c r="D119" s="219"/>
      <c r="E119" s="219"/>
      <c r="F119" s="219"/>
      <c r="G119" s="220"/>
      <c r="H119" s="221"/>
      <c r="I119" s="220"/>
      <c r="J119" s="312"/>
      <c r="K119" s="227"/>
      <c r="L119" s="236"/>
      <c r="M119" s="225" t="str">
        <f t="shared" si="55"/>
        <v>US2014$/kg of protein</v>
      </c>
      <c r="N119" s="227"/>
      <c r="O119" s="242"/>
      <c r="P119" s="122"/>
      <c r="Q119" s="228"/>
      <c r="R119" s="231" t="str">
        <f t="shared" ref="R119:R137" si="68">IF(Q119="Y","",IF(AND(L119="",J119=""),"",IF(L119="",J119,L119)))</f>
        <v/>
      </c>
      <c r="S119" s="230" t="str">
        <f t="shared" si="56"/>
        <v/>
      </c>
      <c r="T119" s="231" t="str">
        <f t="shared" si="57"/>
        <v/>
      </c>
      <c r="U119" s="232" t="str">
        <f t="shared" si="58"/>
        <v>US2014$/kg of protein</v>
      </c>
      <c r="V119" s="28"/>
      <c r="W119" s="28"/>
      <c r="Y119" s="99"/>
      <c r="AO119" s="91"/>
      <c r="AP119" s="28"/>
      <c r="AQ119" s="28"/>
      <c r="AR119" s="237"/>
      <c r="AS119" s="28"/>
      <c r="AT119" s="304" t="str">
        <f t="shared" ref="AT119:AU137" si="69">IF($E119=$AT$47,R119,"")</f>
        <v/>
      </c>
      <c r="AU119" s="304" t="str">
        <f t="shared" si="69"/>
        <v/>
      </c>
      <c r="AV119" s="28"/>
      <c r="AW119" s="304" t="str">
        <f t="shared" si="59"/>
        <v/>
      </c>
      <c r="AX119" s="304" t="str">
        <f t="shared" si="59"/>
        <v/>
      </c>
      <c r="AY119" s="28"/>
      <c r="AZ119" s="304" t="str">
        <f t="shared" si="60"/>
        <v/>
      </c>
      <c r="BA119" s="304" t="str">
        <f t="shared" si="60"/>
        <v/>
      </c>
      <c r="BB119" s="28"/>
      <c r="BC119" s="304" t="str">
        <f t="shared" si="61"/>
        <v/>
      </c>
      <c r="BD119" s="304" t="str">
        <f t="shared" si="61"/>
        <v/>
      </c>
      <c r="BE119" s="28"/>
      <c r="BF119" s="304" t="str">
        <f t="shared" si="62"/>
        <v/>
      </c>
      <c r="BG119" s="304" t="str">
        <f t="shared" si="62"/>
        <v/>
      </c>
      <c r="BH119" s="28"/>
      <c r="BI119" s="304" t="str">
        <f t="shared" si="63"/>
        <v/>
      </c>
      <c r="BJ119" s="304" t="str">
        <f t="shared" si="63"/>
        <v/>
      </c>
      <c r="BK119" s="28"/>
      <c r="BL119" s="304" t="str">
        <f t="shared" si="64"/>
        <v/>
      </c>
      <c r="BM119" s="304" t="str">
        <f t="shared" si="64"/>
        <v/>
      </c>
      <c r="BN119" s="28"/>
      <c r="BO119" s="304" t="str">
        <f t="shared" si="65"/>
        <v/>
      </c>
      <c r="BP119" s="304" t="str">
        <f t="shared" si="65"/>
        <v/>
      </c>
      <c r="BQ119" s="28"/>
      <c r="BR119" s="304" t="str">
        <f t="shared" si="66"/>
        <v/>
      </c>
      <c r="BS119" s="304" t="str">
        <f t="shared" si="66"/>
        <v/>
      </c>
      <c r="BT119" s="28"/>
      <c r="BU119" s="304" t="str">
        <f t="shared" si="67"/>
        <v/>
      </c>
      <c r="BV119" s="304" t="str">
        <f t="shared" si="67"/>
        <v/>
      </c>
      <c r="BW119" s="28"/>
      <c r="BX119" s="91"/>
    </row>
    <row r="120" spans="1:76" s="55" customFormat="1" x14ac:dyDescent="0.25">
      <c r="A120" s="195">
        <v>3</v>
      </c>
      <c r="B120" s="216" t="str">
        <f>CONCATENATE(E120,": ",C120)</f>
        <v xml:space="preserve">: </v>
      </c>
      <c r="C120" s="221"/>
      <c r="D120" s="221"/>
      <c r="E120" s="221"/>
      <c r="F120" s="221"/>
      <c r="G120" s="240"/>
      <c r="H120" s="221"/>
      <c r="I120" s="240"/>
      <c r="J120" s="313"/>
      <c r="K120" s="226"/>
      <c r="L120" s="236"/>
      <c r="M120" s="225" t="str">
        <f t="shared" si="55"/>
        <v>US2014$/kg of protein</v>
      </c>
      <c r="N120" s="227"/>
      <c r="O120" s="242"/>
      <c r="P120" s="122"/>
      <c r="Q120" s="228"/>
      <c r="R120" s="231" t="str">
        <f t="shared" si="68"/>
        <v/>
      </c>
      <c r="S120" s="230" t="str">
        <f t="shared" si="56"/>
        <v/>
      </c>
      <c r="T120" s="231" t="str">
        <f t="shared" si="57"/>
        <v/>
      </c>
      <c r="U120" s="232" t="str">
        <f t="shared" si="58"/>
        <v>US2014$/kg of protein</v>
      </c>
      <c r="V120" s="28"/>
      <c r="W120" s="28"/>
      <c r="Y120" s="99"/>
      <c r="AO120" s="91"/>
      <c r="AP120" s="28"/>
      <c r="AQ120" s="28"/>
      <c r="AR120" s="237"/>
      <c r="AS120" s="28"/>
      <c r="AT120" s="304" t="str">
        <f t="shared" si="69"/>
        <v/>
      </c>
      <c r="AU120" s="304" t="str">
        <f t="shared" si="69"/>
        <v/>
      </c>
      <c r="AV120" s="28"/>
      <c r="AW120" s="304" t="str">
        <f t="shared" si="59"/>
        <v/>
      </c>
      <c r="AX120" s="304" t="str">
        <f t="shared" si="59"/>
        <v/>
      </c>
      <c r="AY120" s="28"/>
      <c r="AZ120" s="304" t="str">
        <f t="shared" si="60"/>
        <v/>
      </c>
      <c r="BA120" s="304" t="str">
        <f t="shared" si="60"/>
        <v/>
      </c>
      <c r="BB120" s="28"/>
      <c r="BC120" s="304" t="str">
        <f t="shared" si="61"/>
        <v/>
      </c>
      <c r="BD120" s="304" t="str">
        <f t="shared" si="61"/>
        <v/>
      </c>
      <c r="BE120" s="28"/>
      <c r="BF120" s="304" t="str">
        <f t="shared" si="62"/>
        <v/>
      </c>
      <c r="BG120" s="304" t="str">
        <f t="shared" si="62"/>
        <v/>
      </c>
      <c r="BH120" s="28"/>
      <c r="BI120" s="304" t="str">
        <f t="shared" si="63"/>
        <v/>
      </c>
      <c r="BJ120" s="304" t="str">
        <f t="shared" si="63"/>
        <v/>
      </c>
      <c r="BK120" s="28"/>
      <c r="BL120" s="304" t="str">
        <f t="shared" si="64"/>
        <v/>
      </c>
      <c r="BM120" s="304" t="str">
        <f t="shared" si="64"/>
        <v/>
      </c>
      <c r="BN120" s="28"/>
      <c r="BO120" s="304" t="str">
        <f t="shared" si="65"/>
        <v/>
      </c>
      <c r="BP120" s="304" t="str">
        <f t="shared" si="65"/>
        <v/>
      </c>
      <c r="BQ120" s="28"/>
      <c r="BR120" s="304" t="str">
        <f t="shared" si="66"/>
        <v/>
      </c>
      <c r="BS120" s="304" t="str">
        <f t="shared" si="66"/>
        <v/>
      </c>
      <c r="BT120" s="28"/>
      <c r="BU120" s="304" t="str">
        <f t="shared" si="67"/>
        <v/>
      </c>
      <c r="BV120" s="304" t="str">
        <f t="shared" si="67"/>
        <v/>
      </c>
      <c r="BW120" s="28"/>
      <c r="BX120" s="91"/>
    </row>
    <row r="121" spans="1:76" s="55" customFormat="1" x14ac:dyDescent="0.25">
      <c r="A121" s="195">
        <v>4</v>
      </c>
      <c r="B121" s="216" t="str">
        <f t="shared" si="54"/>
        <v xml:space="preserve">: </v>
      </c>
      <c r="C121" s="221"/>
      <c r="D121" s="221"/>
      <c r="E121" s="221"/>
      <c r="F121" s="221"/>
      <c r="G121" s="240"/>
      <c r="H121" s="221"/>
      <c r="I121" s="240"/>
      <c r="J121" s="313"/>
      <c r="K121" s="226"/>
      <c r="L121" s="236"/>
      <c r="M121" s="225" t="str">
        <f t="shared" si="55"/>
        <v>US2014$/kg of protein</v>
      </c>
      <c r="N121" s="227"/>
      <c r="O121" s="242"/>
      <c r="P121" s="122"/>
      <c r="Q121" s="228"/>
      <c r="R121" s="231" t="str">
        <f t="shared" si="68"/>
        <v/>
      </c>
      <c r="S121" s="230" t="str">
        <f t="shared" si="56"/>
        <v/>
      </c>
      <c r="T121" s="231" t="str">
        <f t="shared" si="57"/>
        <v/>
      </c>
      <c r="U121" s="232" t="str">
        <f t="shared" si="58"/>
        <v>US2014$/kg of protein</v>
      </c>
      <c r="V121" s="28"/>
      <c r="W121" s="28"/>
      <c r="Y121" s="99"/>
      <c r="AO121" s="91"/>
      <c r="AP121" s="28"/>
      <c r="AQ121" s="28"/>
      <c r="AR121" s="237"/>
      <c r="AS121" s="28"/>
      <c r="AT121" s="304" t="str">
        <f t="shared" si="69"/>
        <v/>
      </c>
      <c r="AU121" s="304" t="str">
        <f t="shared" si="69"/>
        <v/>
      </c>
      <c r="AV121" s="28"/>
      <c r="AW121" s="304" t="str">
        <f t="shared" si="59"/>
        <v/>
      </c>
      <c r="AX121" s="304" t="str">
        <f t="shared" si="59"/>
        <v/>
      </c>
      <c r="AY121" s="28"/>
      <c r="AZ121" s="304" t="str">
        <f t="shared" si="60"/>
        <v/>
      </c>
      <c r="BA121" s="304" t="str">
        <f t="shared" si="60"/>
        <v/>
      </c>
      <c r="BB121" s="28"/>
      <c r="BC121" s="304" t="str">
        <f t="shared" si="61"/>
        <v/>
      </c>
      <c r="BD121" s="304" t="str">
        <f t="shared" si="61"/>
        <v/>
      </c>
      <c r="BE121" s="28"/>
      <c r="BF121" s="304" t="str">
        <f t="shared" si="62"/>
        <v/>
      </c>
      <c r="BG121" s="304" t="str">
        <f t="shared" si="62"/>
        <v/>
      </c>
      <c r="BH121" s="28"/>
      <c r="BI121" s="304" t="str">
        <f t="shared" si="63"/>
        <v/>
      </c>
      <c r="BJ121" s="304" t="str">
        <f t="shared" si="63"/>
        <v/>
      </c>
      <c r="BK121" s="28"/>
      <c r="BL121" s="304" t="str">
        <f t="shared" si="64"/>
        <v/>
      </c>
      <c r="BM121" s="304" t="str">
        <f t="shared" si="64"/>
        <v/>
      </c>
      <c r="BN121" s="28"/>
      <c r="BO121" s="304" t="str">
        <f t="shared" si="65"/>
        <v/>
      </c>
      <c r="BP121" s="304" t="str">
        <f t="shared" si="65"/>
        <v/>
      </c>
      <c r="BQ121" s="28"/>
      <c r="BR121" s="304" t="str">
        <f t="shared" si="66"/>
        <v/>
      </c>
      <c r="BS121" s="304" t="str">
        <f t="shared" si="66"/>
        <v/>
      </c>
      <c r="BT121" s="28"/>
      <c r="BU121" s="304" t="str">
        <f t="shared" si="67"/>
        <v/>
      </c>
      <c r="BV121" s="304" t="str">
        <f t="shared" si="67"/>
        <v/>
      </c>
      <c r="BW121" s="28"/>
      <c r="BX121" s="91"/>
    </row>
    <row r="122" spans="1:76" s="55" customFormat="1" x14ac:dyDescent="0.25">
      <c r="A122" s="195">
        <v>5</v>
      </c>
      <c r="B122" s="216" t="str">
        <f t="shared" si="54"/>
        <v xml:space="preserve">: </v>
      </c>
      <c r="C122" s="221"/>
      <c r="D122" s="221"/>
      <c r="E122" s="221"/>
      <c r="F122" s="221"/>
      <c r="G122" s="240"/>
      <c r="H122" s="221"/>
      <c r="I122" s="240"/>
      <c r="J122" s="313"/>
      <c r="K122" s="226"/>
      <c r="L122" s="236"/>
      <c r="M122" s="225" t="str">
        <f t="shared" si="55"/>
        <v>US2014$/kg of protein</v>
      </c>
      <c r="N122" s="227"/>
      <c r="O122" s="242"/>
      <c r="P122" s="122"/>
      <c r="Q122" s="228"/>
      <c r="R122" s="231" t="str">
        <f t="shared" si="68"/>
        <v/>
      </c>
      <c r="S122" s="230" t="str">
        <f t="shared" si="56"/>
        <v/>
      </c>
      <c r="T122" s="231" t="str">
        <f t="shared" si="57"/>
        <v/>
      </c>
      <c r="U122" s="232" t="str">
        <f t="shared" si="58"/>
        <v>US2014$/kg of protein</v>
      </c>
      <c r="V122" s="28"/>
      <c r="W122" s="28"/>
      <c r="Y122" s="99"/>
      <c r="AO122" s="91"/>
      <c r="AP122" s="28"/>
      <c r="AQ122" s="28"/>
      <c r="AR122" s="237"/>
      <c r="AS122" s="28"/>
      <c r="AT122" s="304" t="str">
        <f t="shared" si="69"/>
        <v/>
      </c>
      <c r="AU122" s="304" t="str">
        <f t="shared" si="69"/>
        <v/>
      </c>
      <c r="AV122" s="28"/>
      <c r="AW122" s="304" t="str">
        <f t="shared" si="59"/>
        <v/>
      </c>
      <c r="AX122" s="304" t="str">
        <f t="shared" si="59"/>
        <v/>
      </c>
      <c r="AY122" s="28"/>
      <c r="AZ122" s="304" t="str">
        <f t="shared" si="60"/>
        <v/>
      </c>
      <c r="BA122" s="304" t="str">
        <f t="shared" si="60"/>
        <v/>
      </c>
      <c r="BB122" s="28"/>
      <c r="BC122" s="304" t="str">
        <f t="shared" si="61"/>
        <v/>
      </c>
      <c r="BD122" s="304" t="str">
        <f t="shared" si="61"/>
        <v/>
      </c>
      <c r="BE122" s="28"/>
      <c r="BF122" s="304" t="str">
        <f t="shared" si="62"/>
        <v/>
      </c>
      <c r="BG122" s="304" t="str">
        <f t="shared" si="62"/>
        <v/>
      </c>
      <c r="BH122" s="28"/>
      <c r="BI122" s="304" t="str">
        <f t="shared" si="63"/>
        <v/>
      </c>
      <c r="BJ122" s="304" t="str">
        <f t="shared" si="63"/>
        <v/>
      </c>
      <c r="BK122" s="28"/>
      <c r="BL122" s="304" t="str">
        <f t="shared" si="64"/>
        <v/>
      </c>
      <c r="BM122" s="304" t="str">
        <f t="shared" si="64"/>
        <v/>
      </c>
      <c r="BN122" s="28"/>
      <c r="BO122" s="304" t="str">
        <f t="shared" si="65"/>
        <v/>
      </c>
      <c r="BP122" s="304" t="str">
        <f t="shared" si="65"/>
        <v/>
      </c>
      <c r="BQ122" s="28"/>
      <c r="BR122" s="304" t="str">
        <f t="shared" si="66"/>
        <v/>
      </c>
      <c r="BS122" s="304" t="str">
        <f t="shared" si="66"/>
        <v/>
      </c>
      <c r="BT122" s="28"/>
      <c r="BU122" s="304" t="str">
        <f t="shared" si="67"/>
        <v/>
      </c>
      <c r="BV122" s="304" t="str">
        <f t="shared" si="67"/>
        <v/>
      </c>
      <c r="BW122" s="28"/>
      <c r="BX122" s="91"/>
    </row>
    <row r="123" spans="1:76" s="55" customFormat="1" x14ac:dyDescent="0.25">
      <c r="A123" s="195">
        <v>6</v>
      </c>
      <c r="B123" s="216" t="str">
        <f t="shared" si="54"/>
        <v xml:space="preserve">: </v>
      </c>
      <c r="C123" s="221"/>
      <c r="D123" s="221"/>
      <c r="E123" s="221"/>
      <c r="F123" s="221"/>
      <c r="G123" s="240"/>
      <c r="H123" s="221"/>
      <c r="I123" s="240"/>
      <c r="J123" s="313"/>
      <c r="K123" s="227"/>
      <c r="L123" s="236"/>
      <c r="M123" s="225" t="str">
        <f t="shared" si="55"/>
        <v>US2014$/kg of protein</v>
      </c>
      <c r="N123" s="227"/>
      <c r="O123" s="242"/>
      <c r="P123" s="122"/>
      <c r="Q123" s="228"/>
      <c r="R123" s="231" t="str">
        <f t="shared" si="68"/>
        <v/>
      </c>
      <c r="S123" s="230" t="str">
        <f t="shared" si="56"/>
        <v/>
      </c>
      <c r="T123" s="231" t="str">
        <f t="shared" si="57"/>
        <v/>
      </c>
      <c r="U123" s="232" t="str">
        <f t="shared" si="58"/>
        <v>US2014$/kg of protein</v>
      </c>
      <c r="V123" s="28"/>
      <c r="W123" s="28"/>
      <c r="Y123" s="99"/>
      <c r="AO123" s="91"/>
      <c r="AP123" s="28"/>
      <c r="AQ123" s="28"/>
      <c r="AR123" s="237"/>
      <c r="AS123" s="28"/>
      <c r="AT123" s="304" t="str">
        <f t="shared" si="69"/>
        <v/>
      </c>
      <c r="AU123" s="304" t="str">
        <f t="shared" si="69"/>
        <v/>
      </c>
      <c r="AV123" s="28"/>
      <c r="AW123" s="304" t="str">
        <f t="shared" si="59"/>
        <v/>
      </c>
      <c r="AX123" s="304" t="str">
        <f t="shared" si="59"/>
        <v/>
      </c>
      <c r="AY123" s="28"/>
      <c r="AZ123" s="304" t="str">
        <f t="shared" si="60"/>
        <v/>
      </c>
      <c r="BA123" s="304" t="str">
        <f t="shared" si="60"/>
        <v/>
      </c>
      <c r="BB123" s="28"/>
      <c r="BC123" s="304" t="str">
        <f t="shared" si="61"/>
        <v/>
      </c>
      <c r="BD123" s="304" t="str">
        <f t="shared" si="61"/>
        <v/>
      </c>
      <c r="BE123" s="28"/>
      <c r="BF123" s="304" t="str">
        <f t="shared" si="62"/>
        <v/>
      </c>
      <c r="BG123" s="304" t="str">
        <f t="shared" si="62"/>
        <v/>
      </c>
      <c r="BH123" s="28"/>
      <c r="BI123" s="304" t="str">
        <f t="shared" si="63"/>
        <v/>
      </c>
      <c r="BJ123" s="304" t="str">
        <f t="shared" si="63"/>
        <v/>
      </c>
      <c r="BK123" s="28"/>
      <c r="BL123" s="304" t="str">
        <f t="shared" si="64"/>
        <v/>
      </c>
      <c r="BM123" s="304" t="str">
        <f t="shared" si="64"/>
        <v/>
      </c>
      <c r="BN123" s="28"/>
      <c r="BO123" s="304" t="str">
        <f t="shared" si="65"/>
        <v/>
      </c>
      <c r="BP123" s="304" t="str">
        <f t="shared" si="65"/>
        <v/>
      </c>
      <c r="BQ123" s="28"/>
      <c r="BR123" s="304" t="str">
        <f t="shared" si="66"/>
        <v/>
      </c>
      <c r="BS123" s="304" t="str">
        <f t="shared" si="66"/>
        <v/>
      </c>
      <c r="BT123" s="28"/>
      <c r="BU123" s="304" t="str">
        <f t="shared" si="67"/>
        <v/>
      </c>
      <c r="BV123" s="304" t="str">
        <f t="shared" si="67"/>
        <v/>
      </c>
      <c r="BW123" s="28"/>
      <c r="BX123" s="91"/>
    </row>
    <row r="124" spans="1:76" s="55" customFormat="1" x14ac:dyDescent="0.25">
      <c r="A124" s="195">
        <v>7</v>
      </c>
      <c r="B124" s="216" t="str">
        <f t="shared" si="54"/>
        <v xml:space="preserve">: </v>
      </c>
      <c r="C124" s="221"/>
      <c r="D124" s="221"/>
      <c r="E124" s="221"/>
      <c r="F124" s="221"/>
      <c r="G124" s="240"/>
      <c r="H124" s="221"/>
      <c r="I124" s="240"/>
      <c r="J124" s="313"/>
      <c r="K124" s="241"/>
      <c r="L124" s="236"/>
      <c r="M124" s="225" t="str">
        <f t="shared" si="55"/>
        <v>US2014$/kg of protein</v>
      </c>
      <c r="N124" s="227"/>
      <c r="O124" s="242"/>
      <c r="P124" s="122"/>
      <c r="Q124" s="228"/>
      <c r="R124" s="231" t="str">
        <f t="shared" si="68"/>
        <v/>
      </c>
      <c r="S124" s="230" t="str">
        <f t="shared" si="56"/>
        <v/>
      </c>
      <c r="T124" s="231" t="str">
        <f t="shared" si="57"/>
        <v/>
      </c>
      <c r="U124" s="232" t="str">
        <f t="shared" si="58"/>
        <v>US2014$/kg of protein</v>
      </c>
      <c r="V124" s="28"/>
      <c r="W124" s="28"/>
      <c r="Y124" s="99"/>
      <c r="AO124" s="91"/>
      <c r="AP124" s="28"/>
      <c r="AQ124" s="28"/>
      <c r="AR124" s="237"/>
      <c r="AS124" s="28"/>
      <c r="AT124" s="304" t="str">
        <f t="shared" si="69"/>
        <v/>
      </c>
      <c r="AU124" s="304" t="str">
        <f t="shared" si="69"/>
        <v/>
      </c>
      <c r="AV124" s="28"/>
      <c r="AW124" s="304" t="str">
        <f t="shared" si="59"/>
        <v/>
      </c>
      <c r="AX124" s="304" t="str">
        <f t="shared" si="59"/>
        <v/>
      </c>
      <c r="AY124" s="28"/>
      <c r="AZ124" s="304" t="str">
        <f t="shared" si="60"/>
        <v/>
      </c>
      <c r="BA124" s="304" t="str">
        <f t="shared" si="60"/>
        <v/>
      </c>
      <c r="BB124" s="28"/>
      <c r="BC124" s="304" t="str">
        <f t="shared" si="61"/>
        <v/>
      </c>
      <c r="BD124" s="304" t="str">
        <f t="shared" si="61"/>
        <v/>
      </c>
      <c r="BE124" s="28"/>
      <c r="BF124" s="304" t="str">
        <f t="shared" si="62"/>
        <v/>
      </c>
      <c r="BG124" s="304" t="str">
        <f t="shared" si="62"/>
        <v/>
      </c>
      <c r="BH124" s="28"/>
      <c r="BI124" s="304" t="str">
        <f t="shared" si="63"/>
        <v/>
      </c>
      <c r="BJ124" s="304" t="str">
        <f t="shared" si="63"/>
        <v/>
      </c>
      <c r="BK124" s="28"/>
      <c r="BL124" s="304" t="str">
        <f t="shared" si="64"/>
        <v/>
      </c>
      <c r="BM124" s="304" t="str">
        <f t="shared" si="64"/>
        <v/>
      </c>
      <c r="BN124" s="28"/>
      <c r="BO124" s="304" t="str">
        <f t="shared" si="65"/>
        <v/>
      </c>
      <c r="BP124" s="304" t="str">
        <f t="shared" si="65"/>
        <v/>
      </c>
      <c r="BQ124" s="28"/>
      <c r="BR124" s="304" t="str">
        <f t="shared" si="66"/>
        <v/>
      </c>
      <c r="BS124" s="304" t="str">
        <f t="shared" si="66"/>
        <v/>
      </c>
      <c r="BT124" s="28"/>
      <c r="BU124" s="304" t="str">
        <f t="shared" si="67"/>
        <v/>
      </c>
      <c r="BV124" s="304" t="str">
        <f t="shared" si="67"/>
        <v/>
      </c>
      <c r="BW124" s="28"/>
      <c r="BX124" s="91"/>
    </row>
    <row r="125" spans="1:76" s="55" customFormat="1" x14ac:dyDescent="0.25">
      <c r="A125" s="195">
        <v>8</v>
      </c>
      <c r="B125" s="216" t="str">
        <f t="shared" si="54"/>
        <v xml:space="preserve">: </v>
      </c>
      <c r="C125" s="221"/>
      <c r="D125" s="221"/>
      <c r="E125" s="221"/>
      <c r="F125" s="221"/>
      <c r="G125" s="240"/>
      <c r="H125" s="221"/>
      <c r="I125" s="240"/>
      <c r="J125" s="313"/>
      <c r="K125" s="241"/>
      <c r="L125" s="236"/>
      <c r="M125" s="225" t="str">
        <f t="shared" si="55"/>
        <v>US2014$/kg of protein</v>
      </c>
      <c r="N125" s="227"/>
      <c r="O125" s="242"/>
      <c r="P125" s="122"/>
      <c r="Q125" s="228"/>
      <c r="R125" s="231" t="str">
        <f t="shared" si="68"/>
        <v/>
      </c>
      <c r="S125" s="230" t="str">
        <f t="shared" si="56"/>
        <v/>
      </c>
      <c r="T125" s="231" t="str">
        <f t="shared" si="57"/>
        <v/>
      </c>
      <c r="U125" s="232" t="str">
        <f t="shared" si="58"/>
        <v>US2014$/kg of protein</v>
      </c>
      <c r="V125" s="28"/>
      <c r="W125" s="28"/>
      <c r="Y125" s="99"/>
      <c r="AO125" s="91"/>
      <c r="AP125" s="28"/>
      <c r="AQ125" s="28"/>
      <c r="AR125" s="237"/>
      <c r="AS125" s="28"/>
      <c r="AT125" s="304" t="str">
        <f t="shared" si="69"/>
        <v/>
      </c>
      <c r="AU125" s="304" t="str">
        <f t="shared" si="69"/>
        <v/>
      </c>
      <c r="AV125" s="28"/>
      <c r="AW125" s="304" t="str">
        <f t="shared" si="59"/>
        <v/>
      </c>
      <c r="AX125" s="304" t="str">
        <f t="shared" si="59"/>
        <v/>
      </c>
      <c r="AY125" s="28"/>
      <c r="AZ125" s="304" t="str">
        <f t="shared" si="60"/>
        <v/>
      </c>
      <c r="BA125" s="304" t="str">
        <f t="shared" si="60"/>
        <v/>
      </c>
      <c r="BB125" s="28"/>
      <c r="BC125" s="304" t="str">
        <f t="shared" si="61"/>
        <v/>
      </c>
      <c r="BD125" s="304" t="str">
        <f t="shared" si="61"/>
        <v/>
      </c>
      <c r="BE125" s="28"/>
      <c r="BF125" s="304" t="str">
        <f t="shared" si="62"/>
        <v/>
      </c>
      <c r="BG125" s="304" t="str">
        <f t="shared" si="62"/>
        <v/>
      </c>
      <c r="BH125" s="28"/>
      <c r="BI125" s="304" t="str">
        <f t="shared" si="63"/>
        <v/>
      </c>
      <c r="BJ125" s="304" t="str">
        <f t="shared" si="63"/>
        <v/>
      </c>
      <c r="BK125" s="28"/>
      <c r="BL125" s="304" t="str">
        <f t="shared" si="64"/>
        <v/>
      </c>
      <c r="BM125" s="304" t="str">
        <f t="shared" si="64"/>
        <v/>
      </c>
      <c r="BN125" s="28"/>
      <c r="BO125" s="304" t="str">
        <f t="shared" si="65"/>
        <v/>
      </c>
      <c r="BP125" s="304" t="str">
        <f t="shared" si="65"/>
        <v/>
      </c>
      <c r="BQ125" s="28"/>
      <c r="BR125" s="304" t="str">
        <f t="shared" si="66"/>
        <v/>
      </c>
      <c r="BS125" s="304" t="str">
        <f t="shared" si="66"/>
        <v/>
      </c>
      <c r="BT125" s="28"/>
      <c r="BU125" s="304" t="str">
        <f t="shared" si="67"/>
        <v/>
      </c>
      <c r="BV125" s="304" t="str">
        <f t="shared" si="67"/>
        <v/>
      </c>
      <c r="BW125" s="28"/>
      <c r="BX125" s="91"/>
    </row>
    <row r="126" spans="1:76" s="55" customFormat="1" x14ac:dyDescent="0.25">
      <c r="A126" s="195">
        <v>9</v>
      </c>
      <c r="B126" s="216" t="str">
        <f t="shared" si="54"/>
        <v xml:space="preserve">: </v>
      </c>
      <c r="C126" s="221"/>
      <c r="D126" s="221"/>
      <c r="E126" s="221"/>
      <c r="F126" s="221"/>
      <c r="G126" s="240"/>
      <c r="H126" s="221"/>
      <c r="I126" s="240"/>
      <c r="J126" s="241"/>
      <c r="K126" s="241"/>
      <c r="L126" s="236"/>
      <c r="M126" s="225" t="str">
        <f t="shared" si="55"/>
        <v>US2014$/kg of protein</v>
      </c>
      <c r="N126" s="227"/>
      <c r="O126" s="242"/>
      <c r="P126" s="122"/>
      <c r="Q126" s="228"/>
      <c r="R126" s="231" t="str">
        <f t="shared" si="68"/>
        <v/>
      </c>
      <c r="S126" s="230" t="str">
        <f t="shared" si="56"/>
        <v/>
      </c>
      <c r="T126" s="231" t="str">
        <f t="shared" si="57"/>
        <v/>
      </c>
      <c r="U126" s="232" t="str">
        <f t="shared" si="58"/>
        <v>US2014$/kg of protein</v>
      </c>
      <c r="V126" s="28"/>
      <c r="W126" s="28"/>
      <c r="Y126" s="99"/>
      <c r="AO126" s="91"/>
      <c r="AP126" s="28"/>
      <c r="AQ126" s="28"/>
      <c r="AR126" s="237"/>
      <c r="AS126" s="28"/>
      <c r="AT126" s="304" t="str">
        <f t="shared" si="69"/>
        <v/>
      </c>
      <c r="AU126" s="304" t="str">
        <f t="shared" si="69"/>
        <v/>
      </c>
      <c r="AV126" s="28"/>
      <c r="AW126" s="304" t="str">
        <f t="shared" si="59"/>
        <v/>
      </c>
      <c r="AX126" s="304" t="str">
        <f t="shared" si="59"/>
        <v/>
      </c>
      <c r="AY126" s="28"/>
      <c r="AZ126" s="304" t="str">
        <f t="shared" si="60"/>
        <v/>
      </c>
      <c r="BA126" s="304" t="str">
        <f t="shared" si="60"/>
        <v/>
      </c>
      <c r="BB126" s="28"/>
      <c r="BC126" s="304" t="str">
        <f t="shared" si="61"/>
        <v/>
      </c>
      <c r="BD126" s="304" t="str">
        <f t="shared" si="61"/>
        <v/>
      </c>
      <c r="BE126" s="28"/>
      <c r="BF126" s="304" t="str">
        <f t="shared" si="62"/>
        <v/>
      </c>
      <c r="BG126" s="304" t="str">
        <f t="shared" si="62"/>
        <v/>
      </c>
      <c r="BH126" s="28"/>
      <c r="BI126" s="304" t="str">
        <f t="shared" si="63"/>
        <v/>
      </c>
      <c r="BJ126" s="304" t="str">
        <f t="shared" si="63"/>
        <v/>
      </c>
      <c r="BK126" s="28"/>
      <c r="BL126" s="304" t="str">
        <f t="shared" si="64"/>
        <v/>
      </c>
      <c r="BM126" s="304" t="str">
        <f t="shared" si="64"/>
        <v/>
      </c>
      <c r="BN126" s="28"/>
      <c r="BO126" s="304" t="str">
        <f t="shared" si="65"/>
        <v/>
      </c>
      <c r="BP126" s="304" t="str">
        <f t="shared" si="65"/>
        <v/>
      </c>
      <c r="BQ126" s="28"/>
      <c r="BR126" s="304" t="str">
        <f t="shared" si="66"/>
        <v/>
      </c>
      <c r="BS126" s="304" t="str">
        <f t="shared" si="66"/>
        <v/>
      </c>
      <c r="BT126" s="28"/>
      <c r="BU126" s="304" t="str">
        <f t="shared" si="67"/>
        <v/>
      </c>
      <c r="BV126" s="304" t="str">
        <f t="shared" si="67"/>
        <v/>
      </c>
      <c r="BW126" s="28"/>
      <c r="BX126" s="91"/>
    </row>
    <row r="127" spans="1:76" s="55" customFormat="1" x14ac:dyDescent="0.25">
      <c r="A127" s="195">
        <v>10</v>
      </c>
      <c r="B127" s="216" t="str">
        <f t="shared" si="54"/>
        <v xml:space="preserve">: </v>
      </c>
      <c r="C127" s="221"/>
      <c r="D127" s="221"/>
      <c r="E127" s="221"/>
      <c r="F127" s="221"/>
      <c r="G127" s="240"/>
      <c r="H127" s="221"/>
      <c r="I127" s="240"/>
      <c r="J127" s="241"/>
      <c r="K127" s="241"/>
      <c r="L127" s="236"/>
      <c r="M127" s="225" t="str">
        <f t="shared" si="55"/>
        <v>US2014$/kg of protein</v>
      </c>
      <c r="N127" s="227"/>
      <c r="O127" s="241"/>
      <c r="P127" s="122"/>
      <c r="Q127" s="228"/>
      <c r="R127" s="231" t="str">
        <f t="shared" si="68"/>
        <v/>
      </c>
      <c r="S127" s="230" t="str">
        <f t="shared" si="56"/>
        <v/>
      </c>
      <c r="T127" s="231" t="str">
        <f t="shared" si="57"/>
        <v/>
      </c>
      <c r="U127" s="232" t="str">
        <f t="shared" si="58"/>
        <v>US2014$/kg of protein</v>
      </c>
      <c r="V127" s="28"/>
      <c r="W127" s="28"/>
      <c r="Y127" s="99"/>
      <c r="AO127" s="91"/>
      <c r="AP127" s="28"/>
      <c r="AQ127" s="28"/>
      <c r="AR127" s="237"/>
      <c r="AS127" s="28"/>
      <c r="AT127" s="304" t="str">
        <f t="shared" si="69"/>
        <v/>
      </c>
      <c r="AU127" s="304" t="str">
        <f t="shared" si="69"/>
        <v/>
      </c>
      <c r="AV127" s="28"/>
      <c r="AW127" s="304" t="str">
        <f t="shared" si="59"/>
        <v/>
      </c>
      <c r="AX127" s="304" t="str">
        <f t="shared" si="59"/>
        <v/>
      </c>
      <c r="AY127" s="28"/>
      <c r="AZ127" s="304" t="str">
        <f t="shared" si="60"/>
        <v/>
      </c>
      <c r="BA127" s="304" t="str">
        <f t="shared" si="60"/>
        <v/>
      </c>
      <c r="BB127" s="28"/>
      <c r="BC127" s="304" t="str">
        <f t="shared" si="61"/>
        <v/>
      </c>
      <c r="BD127" s="304" t="str">
        <f t="shared" si="61"/>
        <v/>
      </c>
      <c r="BE127" s="28"/>
      <c r="BF127" s="304" t="str">
        <f t="shared" si="62"/>
        <v/>
      </c>
      <c r="BG127" s="304" t="str">
        <f t="shared" si="62"/>
        <v/>
      </c>
      <c r="BH127" s="28"/>
      <c r="BI127" s="304" t="str">
        <f t="shared" si="63"/>
        <v/>
      </c>
      <c r="BJ127" s="304" t="str">
        <f t="shared" si="63"/>
        <v/>
      </c>
      <c r="BK127" s="28"/>
      <c r="BL127" s="304" t="str">
        <f t="shared" si="64"/>
        <v/>
      </c>
      <c r="BM127" s="304" t="str">
        <f t="shared" si="64"/>
        <v/>
      </c>
      <c r="BN127" s="28"/>
      <c r="BO127" s="304" t="str">
        <f t="shared" si="65"/>
        <v/>
      </c>
      <c r="BP127" s="304" t="str">
        <f t="shared" si="65"/>
        <v/>
      </c>
      <c r="BQ127" s="28"/>
      <c r="BR127" s="304" t="str">
        <f t="shared" si="66"/>
        <v/>
      </c>
      <c r="BS127" s="304" t="str">
        <f t="shared" si="66"/>
        <v/>
      </c>
      <c r="BT127" s="28"/>
      <c r="BU127" s="304" t="str">
        <f t="shared" si="67"/>
        <v/>
      </c>
      <c r="BV127" s="304" t="str">
        <f t="shared" si="67"/>
        <v/>
      </c>
      <c r="BW127" s="28"/>
      <c r="BX127" s="91"/>
    </row>
    <row r="128" spans="1:76" s="122" customFormat="1" x14ac:dyDescent="0.25">
      <c r="A128" s="195">
        <v>11</v>
      </c>
      <c r="B128" s="216" t="str">
        <f t="shared" si="54"/>
        <v xml:space="preserve">: </v>
      </c>
      <c r="C128" s="221"/>
      <c r="D128" s="221"/>
      <c r="E128" s="221"/>
      <c r="F128" s="221"/>
      <c r="G128" s="240"/>
      <c r="H128" s="221"/>
      <c r="I128" s="240"/>
      <c r="J128" s="241"/>
      <c r="K128" s="241"/>
      <c r="L128" s="236"/>
      <c r="M128" s="225" t="str">
        <f t="shared" si="55"/>
        <v>US2014$/kg of protein</v>
      </c>
      <c r="N128" s="227"/>
      <c r="O128" s="241"/>
      <c r="Q128" s="228"/>
      <c r="R128" s="231" t="str">
        <f t="shared" si="68"/>
        <v/>
      </c>
      <c r="S128" s="230" t="str">
        <f t="shared" si="56"/>
        <v/>
      </c>
      <c r="T128" s="231" t="str">
        <f t="shared" si="57"/>
        <v/>
      </c>
      <c r="U128" s="232" t="str">
        <f t="shared" si="58"/>
        <v>US2014$/kg of protein</v>
      </c>
      <c r="V128" s="28"/>
      <c r="W128" s="28"/>
      <c r="Y128" s="99"/>
      <c r="AO128" s="139"/>
      <c r="AP128" s="28"/>
      <c r="AQ128" s="28"/>
      <c r="AR128" s="237"/>
      <c r="AS128" s="28"/>
      <c r="AT128" s="304" t="str">
        <f t="shared" si="69"/>
        <v/>
      </c>
      <c r="AU128" s="304" t="str">
        <f t="shared" si="69"/>
        <v/>
      </c>
      <c r="AV128" s="28"/>
      <c r="AW128" s="304" t="str">
        <f t="shared" si="59"/>
        <v/>
      </c>
      <c r="AX128" s="304" t="str">
        <f t="shared" si="59"/>
        <v/>
      </c>
      <c r="AY128" s="28"/>
      <c r="AZ128" s="304" t="str">
        <f t="shared" si="60"/>
        <v/>
      </c>
      <c r="BA128" s="304" t="str">
        <f t="shared" si="60"/>
        <v/>
      </c>
      <c r="BB128" s="28"/>
      <c r="BC128" s="304" t="str">
        <f t="shared" si="61"/>
        <v/>
      </c>
      <c r="BD128" s="304" t="str">
        <f t="shared" si="61"/>
        <v/>
      </c>
      <c r="BE128" s="28"/>
      <c r="BF128" s="304" t="str">
        <f t="shared" si="62"/>
        <v/>
      </c>
      <c r="BG128" s="304" t="str">
        <f t="shared" si="62"/>
        <v/>
      </c>
      <c r="BH128" s="28"/>
      <c r="BI128" s="304" t="str">
        <f t="shared" si="63"/>
        <v/>
      </c>
      <c r="BJ128" s="304" t="str">
        <f t="shared" si="63"/>
        <v/>
      </c>
      <c r="BK128" s="28"/>
      <c r="BL128" s="304" t="str">
        <f t="shared" si="64"/>
        <v/>
      </c>
      <c r="BM128" s="304" t="str">
        <f t="shared" si="64"/>
        <v/>
      </c>
      <c r="BN128" s="28"/>
      <c r="BO128" s="304" t="str">
        <f t="shared" si="65"/>
        <v/>
      </c>
      <c r="BP128" s="304" t="str">
        <f t="shared" si="65"/>
        <v/>
      </c>
      <c r="BQ128" s="28"/>
      <c r="BR128" s="304" t="str">
        <f t="shared" si="66"/>
        <v/>
      </c>
      <c r="BS128" s="304" t="str">
        <f t="shared" si="66"/>
        <v/>
      </c>
      <c r="BT128" s="28"/>
      <c r="BU128" s="304" t="str">
        <f t="shared" si="67"/>
        <v/>
      </c>
      <c r="BV128" s="304" t="str">
        <f t="shared" si="67"/>
        <v/>
      </c>
      <c r="BW128" s="28"/>
      <c r="BX128" s="139"/>
    </row>
    <row r="129" spans="1:76" s="122" customFormat="1" x14ac:dyDescent="0.25">
      <c r="A129" s="195">
        <v>12</v>
      </c>
      <c r="B129" s="216" t="str">
        <f t="shared" si="54"/>
        <v xml:space="preserve">: </v>
      </c>
      <c r="C129" s="221"/>
      <c r="D129" s="221"/>
      <c r="E129" s="221"/>
      <c r="F129" s="221"/>
      <c r="G129" s="240"/>
      <c r="H129" s="221"/>
      <c r="I129" s="240"/>
      <c r="J129" s="241"/>
      <c r="K129" s="241"/>
      <c r="L129" s="236"/>
      <c r="M129" s="225" t="str">
        <f t="shared" si="55"/>
        <v>US2014$/kg of protein</v>
      </c>
      <c r="N129" s="227"/>
      <c r="O129" s="241"/>
      <c r="Q129" s="228"/>
      <c r="R129" s="231" t="str">
        <f t="shared" si="68"/>
        <v/>
      </c>
      <c r="S129" s="230" t="str">
        <f t="shared" si="56"/>
        <v/>
      </c>
      <c r="T129" s="231" t="str">
        <f t="shared" si="57"/>
        <v/>
      </c>
      <c r="U129" s="232" t="str">
        <f t="shared" si="58"/>
        <v>US2014$/kg of protein</v>
      </c>
      <c r="V129" s="28"/>
      <c r="W129" s="28"/>
      <c r="Y129" s="99"/>
      <c r="AO129" s="139"/>
      <c r="AP129" s="28"/>
      <c r="AQ129" s="28"/>
      <c r="AR129" s="237"/>
      <c r="AS129" s="28"/>
      <c r="AT129" s="304" t="str">
        <f t="shared" si="69"/>
        <v/>
      </c>
      <c r="AU129" s="304" t="str">
        <f t="shared" si="69"/>
        <v/>
      </c>
      <c r="AV129" s="28"/>
      <c r="AW129" s="304" t="str">
        <f t="shared" si="59"/>
        <v/>
      </c>
      <c r="AX129" s="304" t="str">
        <f t="shared" si="59"/>
        <v/>
      </c>
      <c r="AY129" s="28"/>
      <c r="AZ129" s="304" t="str">
        <f t="shared" si="60"/>
        <v/>
      </c>
      <c r="BA129" s="304" t="str">
        <f t="shared" si="60"/>
        <v/>
      </c>
      <c r="BB129" s="28"/>
      <c r="BC129" s="304" t="str">
        <f t="shared" si="61"/>
        <v/>
      </c>
      <c r="BD129" s="304" t="str">
        <f t="shared" si="61"/>
        <v/>
      </c>
      <c r="BE129" s="28"/>
      <c r="BF129" s="304" t="str">
        <f t="shared" si="62"/>
        <v/>
      </c>
      <c r="BG129" s="304" t="str">
        <f t="shared" si="62"/>
        <v/>
      </c>
      <c r="BH129" s="28"/>
      <c r="BI129" s="304" t="str">
        <f t="shared" si="63"/>
        <v/>
      </c>
      <c r="BJ129" s="304" t="str">
        <f t="shared" si="63"/>
        <v/>
      </c>
      <c r="BK129" s="28"/>
      <c r="BL129" s="304" t="str">
        <f t="shared" si="64"/>
        <v/>
      </c>
      <c r="BM129" s="304" t="str">
        <f t="shared" si="64"/>
        <v/>
      </c>
      <c r="BN129" s="28"/>
      <c r="BO129" s="304" t="str">
        <f t="shared" si="65"/>
        <v/>
      </c>
      <c r="BP129" s="304" t="str">
        <f t="shared" si="65"/>
        <v/>
      </c>
      <c r="BQ129" s="28"/>
      <c r="BR129" s="304" t="str">
        <f t="shared" si="66"/>
        <v/>
      </c>
      <c r="BS129" s="304" t="str">
        <f t="shared" si="66"/>
        <v/>
      </c>
      <c r="BT129" s="28"/>
      <c r="BU129" s="304" t="str">
        <f t="shared" si="67"/>
        <v/>
      </c>
      <c r="BV129" s="304" t="str">
        <f t="shared" si="67"/>
        <v/>
      </c>
      <c r="BW129" s="28"/>
      <c r="BX129" s="139"/>
    </row>
    <row r="130" spans="1:76" s="122" customFormat="1" x14ac:dyDescent="0.25">
      <c r="A130" s="195">
        <v>13</v>
      </c>
      <c r="B130" s="216" t="str">
        <f t="shared" si="54"/>
        <v xml:space="preserve">: </v>
      </c>
      <c r="C130" s="221"/>
      <c r="D130" s="221"/>
      <c r="E130" s="221"/>
      <c r="F130" s="221"/>
      <c r="G130" s="240"/>
      <c r="H130" s="221"/>
      <c r="I130" s="240"/>
      <c r="J130" s="241"/>
      <c r="K130" s="241"/>
      <c r="L130" s="241"/>
      <c r="M130" s="225" t="str">
        <f t="shared" si="55"/>
        <v>US2014$/kg of protein</v>
      </c>
      <c r="N130" s="227"/>
      <c r="O130" s="241"/>
      <c r="Q130" s="228"/>
      <c r="R130" s="231" t="str">
        <f t="shared" si="68"/>
        <v/>
      </c>
      <c r="S130" s="230" t="str">
        <f t="shared" si="56"/>
        <v/>
      </c>
      <c r="T130" s="231" t="str">
        <f t="shared" si="57"/>
        <v/>
      </c>
      <c r="U130" s="232" t="str">
        <f t="shared" si="58"/>
        <v>US2014$/kg of protein</v>
      </c>
      <c r="V130" s="28"/>
      <c r="W130" s="28"/>
      <c r="Y130" s="99"/>
      <c r="AO130" s="139"/>
      <c r="AP130" s="28"/>
      <c r="AQ130" s="28"/>
      <c r="AR130" s="237"/>
      <c r="AS130" s="28"/>
      <c r="AT130" s="304" t="str">
        <f t="shared" si="69"/>
        <v/>
      </c>
      <c r="AU130" s="304" t="str">
        <f t="shared" si="69"/>
        <v/>
      </c>
      <c r="AV130" s="28"/>
      <c r="AW130" s="304" t="str">
        <f t="shared" si="59"/>
        <v/>
      </c>
      <c r="AX130" s="304" t="str">
        <f t="shared" si="59"/>
        <v/>
      </c>
      <c r="AY130" s="28"/>
      <c r="AZ130" s="304" t="str">
        <f t="shared" si="60"/>
        <v/>
      </c>
      <c r="BA130" s="304" t="str">
        <f t="shared" si="60"/>
        <v/>
      </c>
      <c r="BB130" s="28"/>
      <c r="BC130" s="304" t="str">
        <f t="shared" si="61"/>
        <v/>
      </c>
      <c r="BD130" s="304" t="str">
        <f t="shared" si="61"/>
        <v/>
      </c>
      <c r="BE130" s="28"/>
      <c r="BF130" s="304" t="str">
        <f t="shared" si="62"/>
        <v/>
      </c>
      <c r="BG130" s="304" t="str">
        <f t="shared" si="62"/>
        <v/>
      </c>
      <c r="BH130" s="28"/>
      <c r="BI130" s="304" t="str">
        <f t="shared" si="63"/>
        <v/>
      </c>
      <c r="BJ130" s="304" t="str">
        <f t="shared" si="63"/>
        <v/>
      </c>
      <c r="BK130" s="28"/>
      <c r="BL130" s="304" t="str">
        <f t="shared" si="64"/>
        <v/>
      </c>
      <c r="BM130" s="304" t="str">
        <f t="shared" si="64"/>
        <v/>
      </c>
      <c r="BN130" s="28"/>
      <c r="BO130" s="304" t="str">
        <f t="shared" si="65"/>
        <v/>
      </c>
      <c r="BP130" s="304" t="str">
        <f t="shared" si="65"/>
        <v/>
      </c>
      <c r="BQ130" s="28"/>
      <c r="BR130" s="304" t="str">
        <f t="shared" si="66"/>
        <v/>
      </c>
      <c r="BS130" s="304" t="str">
        <f t="shared" si="66"/>
        <v/>
      </c>
      <c r="BT130" s="28"/>
      <c r="BU130" s="304" t="str">
        <f t="shared" si="67"/>
        <v/>
      </c>
      <c r="BV130" s="304" t="str">
        <f t="shared" si="67"/>
        <v/>
      </c>
      <c r="BW130" s="28"/>
      <c r="BX130" s="139"/>
    </row>
    <row r="131" spans="1:76" s="122" customFormat="1" x14ac:dyDescent="0.25">
      <c r="A131" s="195">
        <v>14</v>
      </c>
      <c r="B131" s="216" t="str">
        <f t="shared" si="54"/>
        <v xml:space="preserve">: </v>
      </c>
      <c r="C131" s="221"/>
      <c r="D131" s="221"/>
      <c r="E131" s="221"/>
      <c r="F131" s="221"/>
      <c r="G131" s="240"/>
      <c r="H131" s="221"/>
      <c r="I131" s="240"/>
      <c r="J131" s="241"/>
      <c r="K131" s="241"/>
      <c r="L131" s="241"/>
      <c r="M131" s="225" t="str">
        <f t="shared" si="55"/>
        <v>US2014$/kg of protein</v>
      </c>
      <c r="N131" s="227"/>
      <c r="O131" s="241"/>
      <c r="Q131" s="228"/>
      <c r="R131" s="231" t="str">
        <f t="shared" si="68"/>
        <v/>
      </c>
      <c r="S131" s="230" t="str">
        <f t="shared" si="56"/>
        <v/>
      </c>
      <c r="T131" s="231" t="str">
        <f t="shared" si="57"/>
        <v/>
      </c>
      <c r="U131" s="232" t="str">
        <f t="shared" si="58"/>
        <v>US2014$/kg of protein</v>
      </c>
      <c r="V131" s="28"/>
      <c r="W131" s="28"/>
      <c r="Y131" s="99"/>
      <c r="AO131" s="139"/>
      <c r="AP131" s="28"/>
      <c r="AQ131" s="28"/>
      <c r="AR131" s="237"/>
      <c r="AS131" s="28"/>
      <c r="AT131" s="304" t="str">
        <f t="shared" si="69"/>
        <v/>
      </c>
      <c r="AU131" s="304" t="str">
        <f t="shared" si="69"/>
        <v/>
      </c>
      <c r="AV131" s="28"/>
      <c r="AW131" s="304" t="str">
        <f t="shared" si="59"/>
        <v/>
      </c>
      <c r="AX131" s="304" t="str">
        <f t="shared" si="59"/>
        <v/>
      </c>
      <c r="AY131" s="28"/>
      <c r="AZ131" s="304" t="str">
        <f t="shared" si="60"/>
        <v/>
      </c>
      <c r="BA131" s="304" t="str">
        <f t="shared" si="60"/>
        <v/>
      </c>
      <c r="BB131" s="28"/>
      <c r="BC131" s="304" t="str">
        <f t="shared" si="61"/>
        <v/>
      </c>
      <c r="BD131" s="304" t="str">
        <f t="shared" si="61"/>
        <v/>
      </c>
      <c r="BE131" s="28"/>
      <c r="BF131" s="304" t="str">
        <f t="shared" si="62"/>
        <v/>
      </c>
      <c r="BG131" s="304" t="str">
        <f t="shared" si="62"/>
        <v/>
      </c>
      <c r="BH131" s="28"/>
      <c r="BI131" s="304" t="str">
        <f t="shared" si="63"/>
        <v/>
      </c>
      <c r="BJ131" s="304" t="str">
        <f t="shared" si="63"/>
        <v/>
      </c>
      <c r="BK131" s="28"/>
      <c r="BL131" s="304" t="str">
        <f t="shared" si="64"/>
        <v/>
      </c>
      <c r="BM131" s="304" t="str">
        <f t="shared" si="64"/>
        <v/>
      </c>
      <c r="BN131" s="28"/>
      <c r="BO131" s="304" t="str">
        <f t="shared" si="65"/>
        <v/>
      </c>
      <c r="BP131" s="304" t="str">
        <f t="shared" si="65"/>
        <v/>
      </c>
      <c r="BQ131" s="28"/>
      <c r="BR131" s="304" t="str">
        <f t="shared" si="66"/>
        <v/>
      </c>
      <c r="BS131" s="304" t="str">
        <f t="shared" si="66"/>
        <v/>
      </c>
      <c r="BT131" s="28"/>
      <c r="BU131" s="304" t="str">
        <f t="shared" si="67"/>
        <v/>
      </c>
      <c r="BV131" s="304" t="str">
        <f t="shared" si="67"/>
        <v/>
      </c>
      <c r="BW131" s="28"/>
      <c r="BX131" s="139"/>
    </row>
    <row r="132" spans="1:76" s="122" customFormat="1" x14ac:dyDescent="0.25">
      <c r="A132" s="195">
        <v>15</v>
      </c>
      <c r="B132" s="216" t="str">
        <f t="shared" si="54"/>
        <v xml:space="preserve">: </v>
      </c>
      <c r="C132" s="221"/>
      <c r="D132" s="221"/>
      <c r="E132" s="221"/>
      <c r="F132" s="221"/>
      <c r="G132" s="240"/>
      <c r="H132" s="221"/>
      <c r="I132" s="240"/>
      <c r="J132" s="241"/>
      <c r="K132" s="241"/>
      <c r="L132" s="241"/>
      <c r="M132" s="225" t="str">
        <f t="shared" si="55"/>
        <v>US2014$/kg of protein</v>
      </c>
      <c r="N132" s="227"/>
      <c r="O132" s="241"/>
      <c r="Q132" s="228"/>
      <c r="R132" s="231" t="str">
        <f t="shared" si="68"/>
        <v/>
      </c>
      <c r="S132" s="230" t="str">
        <f t="shared" si="56"/>
        <v/>
      </c>
      <c r="T132" s="231" t="str">
        <f t="shared" si="57"/>
        <v/>
      </c>
      <c r="U132" s="232" t="str">
        <f t="shared" si="58"/>
        <v>US2014$/kg of protein</v>
      </c>
      <c r="V132" s="28"/>
      <c r="W132" s="28"/>
      <c r="Y132" s="99"/>
      <c r="AO132" s="139"/>
      <c r="AP132" s="28"/>
      <c r="AQ132" s="28"/>
      <c r="AR132" s="237"/>
      <c r="AS132" s="28"/>
      <c r="AT132" s="304" t="str">
        <f t="shared" si="69"/>
        <v/>
      </c>
      <c r="AU132" s="304" t="str">
        <f t="shared" si="69"/>
        <v/>
      </c>
      <c r="AV132" s="28"/>
      <c r="AW132" s="304" t="str">
        <f t="shared" si="59"/>
        <v/>
      </c>
      <c r="AX132" s="304" t="str">
        <f t="shared" si="59"/>
        <v/>
      </c>
      <c r="AY132" s="28"/>
      <c r="AZ132" s="304" t="str">
        <f t="shared" si="60"/>
        <v/>
      </c>
      <c r="BA132" s="304" t="str">
        <f t="shared" si="60"/>
        <v/>
      </c>
      <c r="BB132" s="28"/>
      <c r="BC132" s="304" t="str">
        <f t="shared" si="61"/>
        <v/>
      </c>
      <c r="BD132" s="304" t="str">
        <f t="shared" si="61"/>
        <v/>
      </c>
      <c r="BE132" s="28"/>
      <c r="BF132" s="304" t="str">
        <f t="shared" si="62"/>
        <v/>
      </c>
      <c r="BG132" s="304" t="str">
        <f t="shared" si="62"/>
        <v/>
      </c>
      <c r="BH132" s="28"/>
      <c r="BI132" s="304" t="str">
        <f t="shared" si="63"/>
        <v/>
      </c>
      <c r="BJ132" s="304" t="str">
        <f t="shared" si="63"/>
        <v/>
      </c>
      <c r="BK132" s="28"/>
      <c r="BL132" s="304" t="str">
        <f t="shared" si="64"/>
        <v/>
      </c>
      <c r="BM132" s="304" t="str">
        <f t="shared" si="64"/>
        <v/>
      </c>
      <c r="BN132" s="28"/>
      <c r="BO132" s="304" t="str">
        <f t="shared" si="65"/>
        <v/>
      </c>
      <c r="BP132" s="304" t="str">
        <f t="shared" si="65"/>
        <v/>
      </c>
      <c r="BQ132" s="28"/>
      <c r="BR132" s="304" t="str">
        <f t="shared" si="66"/>
        <v/>
      </c>
      <c r="BS132" s="304" t="str">
        <f t="shared" si="66"/>
        <v/>
      </c>
      <c r="BT132" s="28"/>
      <c r="BU132" s="304" t="str">
        <f t="shared" si="67"/>
        <v/>
      </c>
      <c r="BV132" s="304" t="str">
        <f t="shared" si="67"/>
        <v/>
      </c>
      <c r="BW132" s="28"/>
      <c r="BX132" s="139"/>
    </row>
    <row r="133" spans="1:76" s="122" customFormat="1" x14ac:dyDescent="0.25">
      <c r="A133" s="195">
        <v>16</v>
      </c>
      <c r="B133" s="216" t="str">
        <f t="shared" si="54"/>
        <v xml:space="preserve">: </v>
      </c>
      <c r="C133" s="221"/>
      <c r="D133" s="221"/>
      <c r="E133" s="221"/>
      <c r="F133" s="221"/>
      <c r="G133" s="240"/>
      <c r="H133" s="221"/>
      <c r="I133" s="240"/>
      <c r="J133" s="241"/>
      <c r="K133" s="241"/>
      <c r="L133" s="241"/>
      <c r="M133" s="225" t="str">
        <f t="shared" si="55"/>
        <v>US2014$/kg of protein</v>
      </c>
      <c r="N133" s="227"/>
      <c r="O133" s="241"/>
      <c r="Q133" s="228"/>
      <c r="R133" s="231" t="str">
        <f t="shared" si="68"/>
        <v/>
      </c>
      <c r="S133" s="230" t="str">
        <f t="shared" si="56"/>
        <v/>
      </c>
      <c r="T133" s="231" t="str">
        <f t="shared" si="57"/>
        <v/>
      </c>
      <c r="U133" s="232" t="str">
        <f t="shared" si="58"/>
        <v>US2014$/kg of protein</v>
      </c>
      <c r="V133" s="28"/>
      <c r="W133" s="28"/>
      <c r="Y133" s="99"/>
      <c r="AO133" s="139"/>
      <c r="AP133" s="28"/>
      <c r="AQ133" s="28"/>
      <c r="AR133" s="237"/>
      <c r="AS133" s="28"/>
      <c r="AT133" s="304" t="str">
        <f t="shared" si="69"/>
        <v/>
      </c>
      <c r="AU133" s="304" t="str">
        <f t="shared" si="69"/>
        <v/>
      </c>
      <c r="AV133" s="28"/>
      <c r="AW133" s="304" t="str">
        <f t="shared" si="59"/>
        <v/>
      </c>
      <c r="AX133" s="304" t="str">
        <f t="shared" si="59"/>
        <v/>
      </c>
      <c r="AY133" s="28"/>
      <c r="AZ133" s="304" t="str">
        <f t="shared" si="60"/>
        <v/>
      </c>
      <c r="BA133" s="304" t="str">
        <f t="shared" si="60"/>
        <v/>
      </c>
      <c r="BB133" s="28"/>
      <c r="BC133" s="304" t="str">
        <f t="shared" si="61"/>
        <v/>
      </c>
      <c r="BD133" s="304" t="str">
        <f t="shared" si="61"/>
        <v/>
      </c>
      <c r="BE133" s="28"/>
      <c r="BF133" s="304" t="str">
        <f t="shared" si="62"/>
        <v/>
      </c>
      <c r="BG133" s="304" t="str">
        <f t="shared" si="62"/>
        <v/>
      </c>
      <c r="BH133" s="28"/>
      <c r="BI133" s="304" t="str">
        <f t="shared" si="63"/>
        <v/>
      </c>
      <c r="BJ133" s="304" t="str">
        <f t="shared" si="63"/>
        <v/>
      </c>
      <c r="BK133" s="28"/>
      <c r="BL133" s="304" t="str">
        <f t="shared" si="64"/>
        <v/>
      </c>
      <c r="BM133" s="304" t="str">
        <f t="shared" si="64"/>
        <v/>
      </c>
      <c r="BN133" s="28"/>
      <c r="BO133" s="304" t="str">
        <f t="shared" si="65"/>
        <v/>
      </c>
      <c r="BP133" s="304" t="str">
        <f t="shared" si="65"/>
        <v/>
      </c>
      <c r="BQ133" s="28"/>
      <c r="BR133" s="304" t="str">
        <f t="shared" si="66"/>
        <v/>
      </c>
      <c r="BS133" s="304" t="str">
        <f t="shared" si="66"/>
        <v/>
      </c>
      <c r="BT133" s="28"/>
      <c r="BU133" s="304" t="str">
        <f t="shared" si="67"/>
        <v/>
      </c>
      <c r="BV133" s="304" t="str">
        <f t="shared" si="67"/>
        <v/>
      </c>
      <c r="BW133" s="28"/>
      <c r="BX133" s="139"/>
    </row>
    <row r="134" spans="1:76" s="122" customFormat="1" x14ac:dyDescent="0.25">
      <c r="A134" s="195">
        <v>17</v>
      </c>
      <c r="B134" s="216" t="str">
        <f t="shared" si="54"/>
        <v xml:space="preserve">: </v>
      </c>
      <c r="C134" s="221"/>
      <c r="D134" s="221"/>
      <c r="E134" s="221"/>
      <c r="F134" s="221"/>
      <c r="G134" s="240"/>
      <c r="H134" s="221"/>
      <c r="I134" s="240"/>
      <c r="J134" s="241"/>
      <c r="K134" s="241"/>
      <c r="L134" s="241"/>
      <c r="M134" s="225" t="str">
        <f t="shared" si="55"/>
        <v>US2014$/kg of protein</v>
      </c>
      <c r="N134" s="227"/>
      <c r="O134" s="241"/>
      <c r="Q134" s="228"/>
      <c r="R134" s="231" t="str">
        <f t="shared" si="68"/>
        <v/>
      </c>
      <c r="S134" s="230" t="str">
        <f t="shared" si="56"/>
        <v/>
      </c>
      <c r="T134" s="231" t="str">
        <f t="shared" si="57"/>
        <v/>
      </c>
      <c r="U134" s="232" t="str">
        <f t="shared" si="58"/>
        <v>US2014$/kg of protein</v>
      </c>
      <c r="V134" s="28"/>
      <c r="W134" s="28"/>
      <c r="Y134" s="99"/>
      <c r="AO134" s="139"/>
      <c r="AP134" s="28"/>
      <c r="AQ134" s="28"/>
      <c r="AR134" s="237"/>
      <c r="AS134" s="28"/>
      <c r="AT134" s="304" t="str">
        <f t="shared" si="69"/>
        <v/>
      </c>
      <c r="AU134" s="304" t="str">
        <f t="shared" si="69"/>
        <v/>
      </c>
      <c r="AV134" s="28"/>
      <c r="AW134" s="304" t="str">
        <f t="shared" si="59"/>
        <v/>
      </c>
      <c r="AX134" s="304" t="str">
        <f t="shared" si="59"/>
        <v/>
      </c>
      <c r="AY134" s="28"/>
      <c r="AZ134" s="304" t="str">
        <f t="shared" si="60"/>
        <v/>
      </c>
      <c r="BA134" s="304" t="str">
        <f t="shared" si="60"/>
        <v/>
      </c>
      <c r="BB134" s="28"/>
      <c r="BC134" s="304" t="str">
        <f t="shared" si="61"/>
        <v/>
      </c>
      <c r="BD134" s="304" t="str">
        <f t="shared" si="61"/>
        <v/>
      </c>
      <c r="BE134" s="28"/>
      <c r="BF134" s="304" t="str">
        <f t="shared" si="62"/>
        <v/>
      </c>
      <c r="BG134" s="304" t="str">
        <f t="shared" si="62"/>
        <v/>
      </c>
      <c r="BH134" s="28"/>
      <c r="BI134" s="304" t="str">
        <f t="shared" si="63"/>
        <v/>
      </c>
      <c r="BJ134" s="304" t="str">
        <f t="shared" si="63"/>
        <v/>
      </c>
      <c r="BK134" s="28"/>
      <c r="BL134" s="304" t="str">
        <f t="shared" si="64"/>
        <v/>
      </c>
      <c r="BM134" s="304" t="str">
        <f t="shared" si="64"/>
        <v/>
      </c>
      <c r="BN134" s="28"/>
      <c r="BO134" s="304" t="str">
        <f t="shared" si="65"/>
        <v/>
      </c>
      <c r="BP134" s="304" t="str">
        <f t="shared" si="65"/>
        <v/>
      </c>
      <c r="BQ134" s="28"/>
      <c r="BR134" s="304" t="str">
        <f t="shared" si="66"/>
        <v/>
      </c>
      <c r="BS134" s="304" t="str">
        <f t="shared" si="66"/>
        <v/>
      </c>
      <c r="BT134" s="28"/>
      <c r="BU134" s="304" t="str">
        <f t="shared" si="67"/>
        <v/>
      </c>
      <c r="BV134" s="304" t="str">
        <f t="shared" si="67"/>
        <v/>
      </c>
      <c r="BW134" s="28"/>
      <c r="BX134" s="139"/>
    </row>
    <row r="135" spans="1:76" s="122" customFormat="1" x14ac:dyDescent="0.25">
      <c r="A135" s="195">
        <v>18</v>
      </c>
      <c r="B135" s="216" t="str">
        <f t="shared" si="54"/>
        <v xml:space="preserve">: </v>
      </c>
      <c r="C135" s="221"/>
      <c r="D135" s="221"/>
      <c r="E135" s="221"/>
      <c r="F135" s="221"/>
      <c r="G135" s="240"/>
      <c r="H135" s="221"/>
      <c r="I135" s="240"/>
      <c r="J135" s="241"/>
      <c r="K135" s="241"/>
      <c r="L135" s="241"/>
      <c r="M135" s="225" t="str">
        <f t="shared" si="55"/>
        <v>US2014$/kg of protein</v>
      </c>
      <c r="N135" s="227"/>
      <c r="O135" s="241"/>
      <c r="Q135" s="228"/>
      <c r="R135" s="231" t="str">
        <f t="shared" si="68"/>
        <v/>
      </c>
      <c r="S135" s="230" t="str">
        <f t="shared" si="56"/>
        <v/>
      </c>
      <c r="T135" s="231" t="str">
        <f t="shared" si="57"/>
        <v/>
      </c>
      <c r="U135" s="232" t="str">
        <f t="shared" si="58"/>
        <v>US2014$/kg of protein</v>
      </c>
      <c r="V135" s="28"/>
      <c r="W135" s="28"/>
      <c r="Y135" s="99"/>
      <c r="AO135" s="139"/>
      <c r="AP135" s="28"/>
      <c r="AQ135" s="28"/>
      <c r="AR135" s="237"/>
      <c r="AS135" s="28"/>
      <c r="AT135" s="304" t="str">
        <f t="shared" si="69"/>
        <v/>
      </c>
      <c r="AU135" s="304" t="str">
        <f t="shared" si="69"/>
        <v/>
      </c>
      <c r="AV135" s="28"/>
      <c r="AW135" s="304" t="str">
        <f t="shared" si="59"/>
        <v/>
      </c>
      <c r="AX135" s="304" t="str">
        <f t="shared" si="59"/>
        <v/>
      </c>
      <c r="AY135" s="28"/>
      <c r="AZ135" s="304" t="str">
        <f t="shared" si="60"/>
        <v/>
      </c>
      <c r="BA135" s="304" t="str">
        <f t="shared" si="60"/>
        <v/>
      </c>
      <c r="BB135" s="28"/>
      <c r="BC135" s="304" t="str">
        <f t="shared" si="61"/>
        <v/>
      </c>
      <c r="BD135" s="304" t="str">
        <f t="shared" si="61"/>
        <v/>
      </c>
      <c r="BE135" s="28"/>
      <c r="BF135" s="304" t="str">
        <f t="shared" si="62"/>
        <v/>
      </c>
      <c r="BG135" s="304" t="str">
        <f t="shared" si="62"/>
        <v/>
      </c>
      <c r="BH135" s="28"/>
      <c r="BI135" s="304" t="str">
        <f t="shared" si="63"/>
        <v/>
      </c>
      <c r="BJ135" s="304" t="str">
        <f t="shared" si="63"/>
        <v/>
      </c>
      <c r="BK135" s="28"/>
      <c r="BL135" s="304" t="str">
        <f t="shared" si="64"/>
        <v/>
      </c>
      <c r="BM135" s="304" t="str">
        <f t="shared" si="64"/>
        <v/>
      </c>
      <c r="BN135" s="28"/>
      <c r="BO135" s="304" t="str">
        <f t="shared" si="65"/>
        <v/>
      </c>
      <c r="BP135" s="304" t="str">
        <f t="shared" si="65"/>
        <v/>
      </c>
      <c r="BQ135" s="28"/>
      <c r="BR135" s="304" t="str">
        <f t="shared" si="66"/>
        <v/>
      </c>
      <c r="BS135" s="304" t="str">
        <f t="shared" si="66"/>
        <v/>
      </c>
      <c r="BT135" s="28"/>
      <c r="BU135" s="304" t="str">
        <f t="shared" si="67"/>
        <v/>
      </c>
      <c r="BV135" s="304" t="str">
        <f t="shared" si="67"/>
        <v/>
      </c>
      <c r="BW135" s="28"/>
      <c r="BX135" s="139"/>
    </row>
    <row r="136" spans="1:76" s="122" customFormat="1" x14ac:dyDescent="0.25">
      <c r="A136" s="195">
        <v>19</v>
      </c>
      <c r="B136" s="216" t="str">
        <f t="shared" si="54"/>
        <v xml:space="preserve">: </v>
      </c>
      <c r="C136" s="221"/>
      <c r="D136" s="221"/>
      <c r="E136" s="221"/>
      <c r="F136" s="221"/>
      <c r="G136" s="240"/>
      <c r="H136" s="221"/>
      <c r="I136" s="240"/>
      <c r="J136" s="241"/>
      <c r="K136" s="241"/>
      <c r="L136" s="241"/>
      <c r="M136" s="225" t="str">
        <f t="shared" si="55"/>
        <v>US2014$/kg of protein</v>
      </c>
      <c r="N136" s="227"/>
      <c r="O136" s="241"/>
      <c r="Q136" s="228"/>
      <c r="R136" s="231" t="str">
        <f t="shared" si="68"/>
        <v/>
      </c>
      <c r="S136" s="230" t="str">
        <f t="shared" si="56"/>
        <v/>
      </c>
      <c r="T136" s="231" t="str">
        <f t="shared" si="57"/>
        <v/>
      </c>
      <c r="U136" s="232" t="str">
        <f t="shared" si="58"/>
        <v>US2014$/kg of protein</v>
      </c>
      <c r="V136" s="28"/>
      <c r="W136" s="28"/>
      <c r="Y136" s="99"/>
      <c r="AO136" s="139"/>
      <c r="AP136" s="28"/>
      <c r="AQ136" s="28"/>
      <c r="AR136" s="237"/>
      <c r="AS136" s="28"/>
      <c r="AT136" s="304" t="str">
        <f t="shared" si="69"/>
        <v/>
      </c>
      <c r="AU136" s="304" t="str">
        <f t="shared" si="69"/>
        <v/>
      </c>
      <c r="AV136" s="28"/>
      <c r="AW136" s="304" t="str">
        <f t="shared" si="59"/>
        <v/>
      </c>
      <c r="AX136" s="304" t="str">
        <f t="shared" si="59"/>
        <v/>
      </c>
      <c r="AY136" s="28"/>
      <c r="AZ136" s="304" t="str">
        <f t="shared" si="60"/>
        <v/>
      </c>
      <c r="BA136" s="304" t="str">
        <f t="shared" si="60"/>
        <v/>
      </c>
      <c r="BB136" s="28"/>
      <c r="BC136" s="304" t="str">
        <f t="shared" si="61"/>
        <v/>
      </c>
      <c r="BD136" s="304" t="str">
        <f t="shared" si="61"/>
        <v/>
      </c>
      <c r="BE136" s="28"/>
      <c r="BF136" s="304" t="str">
        <f t="shared" si="62"/>
        <v/>
      </c>
      <c r="BG136" s="304" t="str">
        <f t="shared" si="62"/>
        <v/>
      </c>
      <c r="BH136" s="28"/>
      <c r="BI136" s="304" t="str">
        <f t="shared" si="63"/>
        <v/>
      </c>
      <c r="BJ136" s="304" t="str">
        <f t="shared" si="63"/>
        <v/>
      </c>
      <c r="BK136" s="28"/>
      <c r="BL136" s="304" t="str">
        <f t="shared" si="64"/>
        <v/>
      </c>
      <c r="BM136" s="304" t="str">
        <f t="shared" si="64"/>
        <v/>
      </c>
      <c r="BN136" s="28"/>
      <c r="BO136" s="304" t="str">
        <f t="shared" si="65"/>
        <v/>
      </c>
      <c r="BP136" s="304" t="str">
        <f t="shared" si="65"/>
        <v/>
      </c>
      <c r="BQ136" s="28"/>
      <c r="BR136" s="304" t="str">
        <f t="shared" si="66"/>
        <v/>
      </c>
      <c r="BS136" s="304" t="str">
        <f t="shared" si="66"/>
        <v/>
      </c>
      <c r="BT136" s="28"/>
      <c r="BU136" s="304" t="str">
        <f t="shared" si="67"/>
        <v/>
      </c>
      <c r="BV136" s="304" t="str">
        <f t="shared" si="67"/>
        <v/>
      </c>
      <c r="BW136" s="28"/>
      <c r="BX136" s="139"/>
    </row>
    <row r="137" spans="1:76" s="122" customFormat="1" x14ac:dyDescent="0.25">
      <c r="A137" s="195">
        <v>20</v>
      </c>
      <c r="B137" s="216" t="str">
        <f t="shared" si="54"/>
        <v xml:space="preserve">: </v>
      </c>
      <c r="C137" s="221"/>
      <c r="D137" s="221"/>
      <c r="E137" s="221"/>
      <c r="F137" s="221"/>
      <c r="G137" s="240"/>
      <c r="H137" s="221"/>
      <c r="I137" s="240"/>
      <c r="J137" s="241"/>
      <c r="K137" s="241"/>
      <c r="L137" s="241"/>
      <c r="M137" s="225" t="str">
        <f t="shared" si="55"/>
        <v>US2014$/kg of protein</v>
      </c>
      <c r="N137" s="227"/>
      <c r="O137" s="241"/>
      <c r="Q137" s="228"/>
      <c r="R137" s="231" t="str">
        <f t="shared" si="68"/>
        <v/>
      </c>
      <c r="S137" s="230" t="str">
        <f t="shared" si="56"/>
        <v/>
      </c>
      <c r="T137" s="231" t="str">
        <f t="shared" si="57"/>
        <v/>
      </c>
      <c r="U137" s="232" t="str">
        <f t="shared" si="58"/>
        <v>US2014$/kg of protein</v>
      </c>
      <c r="V137" s="28"/>
      <c r="W137" s="28"/>
      <c r="Y137" s="99"/>
      <c r="AO137" s="139"/>
      <c r="AP137" s="28"/>
      <c r="AQ137" s="28"/>
      <c r="AR137" s="237"/>
      <c r="AS137" s="28"/>
      <c r="AT137" s="304" t="str">
        <f t="shared" si="69"/>
        <v/>
      </c>
      <c r="AU137" s="304" t="str">
        <f t="shared" si="69"/>
        <v/>
      </c>
      <c r="AV137" s="28"/>
      <c r="AW137" s="304" t="str">
        <f t="shared" si="59"/>
        <v/>
      </c>
      <c r="AX137" s="304" t="str">
        <f t="shared" si="59"/>
        <v/>
      </c>
      <c r="AY137" s="28"/>
      <c r="AZ137" s="304" t="str">
        <f t="shared" si="60"/>
        <v/>
      </c>
      <c r="BA137" s="304" t="str">
        <f t="shared" si="60"/>
        <v/>
      </c>
      <c r="BB137" s="28"/>
      <c r="BC137" s="304" t="str">
        <f t="shared" si="61"/>
        <v/>
      </c>
      <c r="BD137" s="304" t="str">
        <f t="shared" si="61"/>
        <v/>
      </c>
      <c r="BE137" s="28"/>
      <c r="BF137" s="304" t="str">
        <f t="shared" si="62"/>
        <v/>
      </c>
      <c r="BG137" s="304" t="str">
        <f t="shared" si="62"/>
        <v/>
      </c>
      <c r="BH137" s="28"/>
      <c r="BI137" s="304" t="str">
        <f t="shared" si="63"/>
        <v/>
      </c>
      <c r="BJ137" s="304" t="str">
        <f t="shared" si="63"/>
        <v/>
      </c>
      <c r="BK137" s="28"/>
      <c r="BL137" s="304" t="str">
        <f t="shared" si="64"/>
        <v/>
      </c>
      <c r="BM137" s="304" t="str">
        <f t="shared" si="64"/>
        <v/>
      </c>
      <c r="BN137" s="28"/>
      <c r="BO137" s="304" t="str">
        <f t="shared" si="65"/>
        <v/>
      </c>
      <c r="BP137" s="304" t="str">
        <f t="shared" si="65"/>
        <v/>
      </c>
      <c r="BQ137" s="28"/>
      <c r="BR137" s="304" t="str">
        <f t="shared" si="66"/>
        <v/>
      </c>
      <c r="BS137" s="304" t="str">
        <f t="shared" si="66"/>
        <v/>
      </c>
      <c r="BT137" s="28"/>
      <c r="BU137" s="304" t="str">
        <f t="shared" si="67"/>
        <v/>
      </c>
      <c r="BV137" s="304" t="str">
        <f t="shared" si="67"/>
        <v/>
      </c>
      <c r="BW137" s="28"/>
      <c r="BX137" s="139"/>
    </row>
    <row r="138" spans="1:76" s="122" customFormat="1" x14ac:dyDescent="0.25">
      <c r="A138" s="195"/>
      <c r="B138" s="244" t="s">
        <v>163</v>
      </c>
      <c r="C138" s="199"/>
      <c r="D138" s="199"/>
      <c r="E138" s="199"/>
      <c r="F138" s="199"/>
      <c r="H138" s="28"/>
      <c r="I138" s="245"/>
      <c r="L138" s="122" t="s">
        <v>134</v>
      </c>
      <c r="Q138" s="305" t="s">
        <v>136</v>
      </c>
      <c r="R138" s="246" t="e">
        <f>AVERAGE(R118:R137)</f>
        <v>#DIV/0!</v>
      </c>
      <c r="S138" s="247" t="e">
        <f>IF(R146="Y",SUM(S118:S137)/SUMPRODUCT(N118:N137,--ISNUMBER(S118:S137)),AVERAGE(S118:S137))</f>
        <v>#DIV/0!</v>
      </c>
      <c r="T138" s="248" t="e">
        <f>SUM(T118:T137)/SUMPRODUCT(N118:N137,--ISNUMBER(T118:T137))</f>
        <v>#DIV/0!</v>
      </c>
      <c r="U138" s="28"/>
      <c r="V138" s="28"/>
      <c r="W138" s="28"/>
      <c r="Y138" s="99"/>
      <c r="AO138" s="139"/>
      <c r="AP138" s="28"/>
      <c r="AQ138" s="28"/>
      <c r="AR138" s="28"/>
      <c r="AS138" s="245" t="s">
        <v>136</v>
      </c>
      <c r="AT138" s="307" t="e">
        <f>AVERAGE(AT118:AT137)</f>
        <v>#DIV/0!</v>
      </c>
      <c r="AU138" s="307" t="e">
        <f>SUM(AU118:AU137)/COUNTIF(AU118:AU137,"&gt;0")</f>
        <v>#DIV/0!</v>
      </c>
      <c r="AV138" s="245"/>
      <c r="AW138" s="307" t="e">
        <f>AVERAGE(AW118:AW137)</f>
        <v>#DIV/0!</v>
      </c>
      <c r="AX138" s="307" t="e">
        <f>SUM(AX118:AX137)/COUNTIF(AX118:AX137,"&gt;0")</f>
        <v>#DIV/0!</v>
      </c>
      <c r="AY138" s="28"/>
      <c r="AZ138" s="307" t="e">
        <f>AVERAGE(AZ118:AZ137)</f>
        <v>#DIV/0!</v>
      </c>
      <c r="BA138" s="307" t="e">
        <f>SUM(BA118:BA137)/COUNTIF(BA118:BA137,"&gt;0")</f>
        <v>#DIV/0!</v>
      </c>
      <c r="BB138" s="28"/>
      <c r="BC138" s="307" t="e">
        <f>AVERAGE(BC118:BC137)</f>
        <v>#DIV/0!</v>
      </c>
      <c r="BD138" s="307" t="e">
        <f>SUM(BD118:BD137)/COUNTIF(BD118:BD137,"&gt;0")</f>
        <v>#DIV/0!</v>
      </c>
      <c r="BE138" s="28"/>
      <c r="BF138" s="307" t="e">
        <f>AVERAGE(BF118:BF137)</f>
        <v>#DIV/0!</v>
      </c>
      <c r="BG138" s="307" t="e">
        <f>SUM(BG118:BG137)/COUNTIF(BG118:BG137,"&gt;0")</f>
        <v>#DIV/0!</v>
      </c>
      <c r="BH138" s="28"/>
      <c r="BI138" s="307" t="e">
        <f>AVERAGE(BI118:BI137)</f>
        <v>#DIV/0!</v>
      </c>
      <c r="BJ138" s="307" t="e">
        <f>SUM(BJ118:BJ137)/COUNTIF(BJ118:BJ137,"&gt;0")</f>
        <v>#DIV/0!</v>
      </c>
      <c r="BK138" s="245"/>
      <c r="BL138" s="307" t="e">
        <f>AVERAGE(BL118:BL137)</f>
        <v>#DIV/0!</v>
      </c>
      <c r="BM138" s="307" t="e">
        <f>SUM(BM118:BM137)/COUNTIF(BM118:BM137,"&gt;0")</f>
        <v>#DIV/0!</v>
      </c>
      <c r="BN138" s="28"/>
      <c r="BO138" s="307" t="e">
        <f>AVERAGE(BO118:BO137)</f>
        <v>#DIV/0!</v>
      </c>
      <c r="BP138" s="307" t="e">
        <f>SUM(BP118:BP137)/COUNTIF(BP118:BP137,"&gt;0")</f>
        <v>#DIV/0!</v>
      </c>
      <c r="BQ138" s="28"/>
      <c r="BR138" s="307" t="e">
        <f>AVERAGE(BR118:BR137)</f>
        <v>#DIV/0!</v>
      </c>
      <c r="BS138" s="307" t="e">
        <f>SUM(BS118:BS137)/COUNTIF(BS118:BS137,"&gt;0")</f>
        <v>#DIV/0!</v>
      </c>
      <c r="BT138" s="28"/>
      <c r="BU138" s="307" t="e">
        <f>AVERAGE(BU118:BU137)</f>
        <v>#DIV/0!</v>
      </c>
      <c r="BV138" s="307" t="e">
        <f>SUM(BV118:BV137)/COUNTIF(BV118:BV137,"&gt;0")</f>
        <v>#DIV/0!</v>
      </c>
      <c r="BW138" s="28"/>
      <c r="BX138" s="139"/>
    </row>
    <row r="139" spans="1:76" s="122" customFormat="1" x14ac:dyDescent="0.25">
      <c r="A139" s="195"/>
      <c r="B139" s="244" t="s">
        <v>164</v>
      </c>
      <c r="C139" s="199" t="s">
        <v>139</v>
      </c>
      <c r="D139" s="252"/>
      <c r="E139" s="253"/>
      <c r="F139" s="253"/>
      <c r="G139" s="253"/>
      <c r="H139" s="253"/>
      <c r="I139" s="253"/>
      <c r="J139" s="254"/>
      <c r="Q139" s="306" t="s">
        <v>144</v>
      </c>
      <c r="R139" s="257" t="e">
        <f>R138+U139*R142</f>
        <v>#DIV/0!</v>
      </c>
      <c r="S139" s="257" t="e">
        <f>S138+U139*S142</f>
        <v>#DIV/0!</v>
      </c>
      <c r="T139" s="257" t="e">
        <f>T138+U139*T142</f>
        <v>#DIV/0!</v>
      </c>
      <c r="U139" s="258">
        <v>1</v>
      </c>
      <c r="V139" s="122" t="s">
        <v>142</v>
      </c>
      <c r="W139" s="28"/>
      <c r="X139" s="259" t="s">
        <v>143</v>
      </c>
      <c r="Y139" s="99"/>
      <c r="AO139" s="139"/>
      <c r="AP139" s="28"/>
      <c r="AQ139" s="28"/>
      <c r="AR139" s="28"/>
      <c r="AS139" s="256" t="s">
        <v>144</v>
      </c>
      <c r="AT139" s="261" t="e">
        <f>AT138+(AT144*AT141)</f>
        <v>#DIV/0!</v>
      </c>
      <c r="AU139" s="261" t="e">
        <f>AU138+(AU144*AT141)</f>
        <v>#DIV/0!</v>
      </c>
      <c r="AV139" s="256"/>
      <c r="AW139" s="261" t="e">
        <f>AW138+(AW144*AW141)</f>
        <v>#DIV/0!</v>
      </c>
      <c r="AX139" s="261" t="e">
        <f>AX138+(AX144*AW141)</f>
        <v>#DIV/0!</v>
      </c>
      <c r="AY139" s="28"/>
      <c r="AZ139" s="261" t="e">
        <f>AZ138+(AZ144*AZ141)</f>
        <v>#DIV/0!</v>
      </c>
      <c r="BA139" s="261" t="e">
        <f>BA138+(BA144*AZ141)</f>
        <v>#DIV/0!</v>
      </c>
      <c r="BB139" s="28"/>
      <c r="BC139" s="261" t="e">
        <f>BC138+(BC144*BC141)</f>
        <v>#DIV/0!</v>
      </c>
      <c r="BD139" s="261" t="e">
        <f>BD138+(BD144*BC141)</f>
        <v>#DIV/0!</v>
      </c>
      <c r="BE139" s="28"/>
      <c r="BF139" s="261" t="e">
        <f>BF138+(BF144*BF141)</f>
        <v>#DIV/0!</v>
      </c>
      <c r="BG139" s="261" t="e">
        <f>BG138+(BG144*BF141)</f>
        <v>#DIV/0!</v>
      </c>
      <c r="BH139" s="28"/>
      <c r="BI139" s="261" t="e">
        <f>BI138+(BI144*BI141)</f>
        <v>#DIV/0!</v>
      </c>
      <c r="BJ139" s="261" t="e">
        <f>BJ138+(BJ144*BI141)</f>
        <v>#DIV/0!</v>
      </c>
      <c r="BK139" s="256"/>
      <c r="BL139" s="261" t="e">
        <f>BL138+(BL144*BL141)</f>
        <v>#DIV/0!</v>
      </c>
      <c r="BM139" s="261" t="e">
        <f>BM138+(BM144*BL141)</f>
        <v>#DIV/0!</v>
      </c>
      <c r="BN139" s="28"/>
      <c r="BO139" s="261" t="e">
        <f>BO138+(BO144*BO141)</f>
        <v>#DIV/0!</v>
      </c>
      <c r="BP139" s="261" t="e">
        <f>BP138+(BP144*BO141)</f>
        <v>#DIV/0!</v>
      </c>
      <c r="BQ139" s="28"/>
      <c r="BR139" s="261" t="e">
        <f>BR138+(BR144*BR141)</f>
        <v>#DIV/0!</v>
      </c>
      <c r="BS139" s="261" t="e">
        <f>BS138+(BS144*BR141)</f>
        <v>#DIV/0!</v>
      </c>
      <c r="BT139" s="28"/>
      <c r="BU139" s="261" t="e">
        <f>BU138+(BU144*BU141)</f>
        <v>#DIV/0!</v>
      </c>
      <c r="BV139" s="261" t="e">
        <f>BV138+(BV144*BU141)</f>
        <v>#DIV/0!</v>
      </c>
      <c r="BW139" s="28"/>
      <c r="BX139" s="139"/>
    </row>
    <row r="140" spans="1:76" s="122" customFormat="1" x14ac:dyDescent="0.25">
      <c r="A140" s="195"/>
      <c r="B140" s="244" t="s">
        <v>165</v>
      </c>
      <c r="C140" s="195"/>
      <c r="D140" s="263"/>
      <c r="E140" s="264"/>
      <c r="F140" s="264"/>
      <c r="G140" s="264"/>
      <c r="H140" s="264"/>
      <c r="I140" s="264"/>
      <c r="J140" s="265"/>
      <c r="K140" s="28"/>
      <c r="L140" s="28"/>
      <c r="Q140" s="306" t="s">
        <v>150</v>
      </c>
      <c r="R140" s="257" t="e">
        <f>IF($X140="Y",MIN(R118:R137),R138-$U140*R142)</f>
        <v>#DIV/0!</v>
      </c>
      <c r="S140" s="257" t="e">
        <f t="shared" ref="S140:T140" si="70">IF($X140="Y",MIN(S118:S137),S138-$U140*S142)</f>
        <v>#DIV/0!</v>
      </c>
      <c r="T140" s="257" t="e">
        <f t="shared" si="70"/>
        <v>#DIV/0!</v>
      </c>
      <c r="U140" s="258">
        <v>1</v>
      </c>
      <c r="V140" s="122" t="s">
        <v>148</v>
      </c>
      <c r="W140" s="28"/>
      <c r="X140" s="266" t="s">
        <v>149</v>
      </c>
      <c r="Y140" s="99"/>
      <c r="AO140" s="139"/>
      <c r="AP140" s="28"/>
      <c r="AQ140" s="28"/>
      <c r="AR140" s="28"/>
      <c r="AS140" s="256" t="s">
        <v>150</v>
      </c>
      <c r="AT140" s="261" t="e">
        <f>AT138-(AT144*AT142)</f>
        <v>#DIV/0!</v>
      </c>
      <c r="AU140" s="261" t="e">
        <f>AU138-(AU144*AT142)</f>
        <v>#DIV/0!</v>
      </c>
      <c r="AV140" s="256"/>
      <c r="AW140" s="261" t="e">
        <f>AW138-(AW144*AW142)</f>
        <v>#DIV/0!</v>
      </c>
      <c r="AX140" s="261" t="e">
        <f>AX138-(AX144*AW142)</f>
        <v>#DIV/0!</v>
      </c>
      <c r="AY140" s="28"/>
      <c r="AZ140" s="261" t="e">
        <f>AZ138-(AZ144*AZ142)</f>
        <v>#DIV/0!</v>
      </c>
      <c r="BA140" s="261" t="e">
        <f>BA138-(BA144*AZ142)</f>
        <v>#DIV/0!</v>
      </c>
      <c r="BB140" s="28"/>
      <c r="BC140" s="261" t="e">
        <f>BC138-(BC144*BC142)</f>
        <v>#DIV/0!</v>
      </c>
      <c r="BD140" s="261" t="e">
        <f>BD138-(BD144*BC142)</f>
        <v>#DIV/0!</v>
      </c>
      <c r="BE140" s="28"/>
      <c r="BF140" s="261" t="e">
        <f>BF138-(BF144*BF142)</f>
        <v>#DIV/0!</v>
      </c>
      <c r="BG140" s="261" t="e">
        <f>BG138-(BG144*BF142)</f>
        <v>#DIV/0!</v>
      </c>
      <c r="BH140" s="28"/>
      <c r="BI140" s="261" t="e">
        <f>BI138-(BI144*BI142)</f>
        <v>#DIV/0!</v>
      </c>
      <c r="BJ140" s="261" t="e">
        <f>BJ138-(BJ144*BI142)</f>
        <v>#DIV/0!</v>
      </c>
      <c r="BK140" s="256"/>
      <c r="BL140" s="261" t="e">
        <f>BL138-(BL144*BL142)</f>
        <v>#DIV/0!</v>
      </c>
      <c r="BM140" s="261" t="e">
        <f>BM138-(BM144*BL142)</f>
        <v>#DIV/0!</v>
      </c>
      <c r="BN140" s="28"/>
      <c r="BO140" s="261" t="e">
        <f>BO138-(BO144*BO142)</f>
        <v>#DIV/0!</v>
      </c>
      <c r="BP140" s="261" t="e">
        <f>BP138-(BP144*BO142)</f>
        <v>#DIV/0!</v>
      </c>
      <c r="BQ140" s="28"/>
      <c r="BR140" s="261" t="e">
        <f>BR138-(BR144*BR142)</f>
        <v>#DIV/0!</v>
      </c>
      <c r="BS140" s="261" t="e">
        <f>BS138-(BS144*BR142)</f>
        <v>#DIV/0!</v>
      </c>
      <c r="BT140" s="28"/>
      <c r="BU140" s="261" t="e">
        <f>BU138-(BU144*BU142)</f>
        <v>#DIV/0!</v>
      </c>
      <c r="BV140" s="261" t="e">
        <f>BV138-(BV144*BU142)</f>
        <v>#DIV/0!</v>
      </c>
      <c r="BW140" s="28"/>
      <c r="BX140" s="139"/>
    </row>
    <row r="141" spans="1:76" s="122" customFormat="1" ht="14.25" x14ac:dyDescent="0.2">
      <c r="A141" s="195"/>
      <c r="B141" s="196"/>
      <c r="C141" s="195"/>
      <c r="D141" s="263"/>
      <c r="E141" s="264"/>
      <c r="F141" s="264"/>
      <c r="G141" s="264"/>
      <c r="H141" s="264"/>
      <c r="I141" s="264"/>
      <c r="J141" s="265"/>
      <c r="Q141" s="306" t="s">
        <v>151</v>
      </c>
      <c r="R141" s="257" t="e">
        <f>IF((0.67*R142)&gt;R138,"no","yes")</f>
        <v>#DIV/0!</v>
      </c>
      <c r="S141" s="257" t="e">
        <f>IF((0.67*S142)&gt;S138,"no","yes")</f>
        <v>#DIV/0!</v>
      </c>
      <c r="T141" s="257" t="e">
        <f>IF((0.67*T142)&gt;T138,"no","yes")</f>
        <v>#DIV/0!</v>
      </c>
      <c r="Y141" s="139"/>
      <c r="AO141" s="139"/>
      <c r="AR141" s="267" t="s">
        <v>152</v>
      </c>
      <c r="AS141" s="268"/>
      <c r="AT141" s="258">
        <v>1</v>
      </c>
      <c r="AV141" s="308"/>
      <c r="AW141" s="258">
        <v>1</v>
      </c>
      <c r="AZ141" s="258">
        <v>1</v>
      </c>
      <c r="BC141" s="258">
        <v>1</v>
      </c>
      <c r="BF141" s="258">
        <v>1</v>
      </c>
      <c r="BI141" s="258">
        <v>1</v>
      </c>
      <c r="BK141" s="256"/>
      <c r="BL141" s="258">
        <v>1</v>
      </c>
      <c r="BO141" s="258">
        <v>1</v>
      </c>
      <c r="BR141" s="258">
        <v>1</v>
      </c>
      <c r="BU141" s="258">
        <v>1</v>
      </c>
      <c r="BX141" s="139"/>
    </row>
    <row r="142" spans="1:76" s="122" customFormat="1" ht="28.5" x14ac:dyDescent="0.2">
      <c r="A142" s="270" t="e">
        <f ca="1">HYPERLINK("#"&amp;"'"&amp;A$1&amp;"'!a1","Back to top")</f>
        <v>#VALUE!</v>
      </c>
      <c r="B142" s="271"/>
      <c r="C142" s="195"/>
      <c r="D142" s="263"/>
      <c r="E142" s="264"/>
      <c r="F142" s="264"/>
      <c r="G142" s="264"/>
      <c r="H142" s="264"/>
      <c r="I142" s="264"/>
      <c r="J142" s="265"/>
      <c r="Q142" s="306" t="s">
        <v>157</v>
      </c>
      <c r="R142" s="257">
        <f>IF(COUNT(R118:R137)&gt;1,_xlfn.STDEV.S(R118:R137),0)</f>
        <v>0</v>
      </c>
      <c r="S142" s="257" t="e">
        <f t="array" ref="S142">IF(R146="Y",SQRT(SUM(IFERROR(N118:N137*(R118:R137-(S138))^2,0))/((COUNT(S118:S137)-1)/COUNT(S118:S137)*SUMPRODUCT(N118:N137,--ISNUMBER(S118:S137)))),_xlfn.STDEV.S(S118:S137))</f>
        <v>#DIV/0!</v>
      </c>
      <c r="T142" s="257" t="e">
        <f t="array" ref="T142">SQRT(SUM(IFERROR(N118:N137*(R118:R137-(T138))^2,0))/((COUNT(T118:T137)-1)/COUNT(T118:T137)*SUMPRODUCT(N118:N137,--ISNUMBER(T118:T137))))</f>
        <v>#DIV/0!</v>
      </c>
      <c r="Y142" s="139"/>
      <c r="AO142" s="139"/>
      <c r="AR142" s="267"/>
      <c r="AS142" s="268"/>
      <c r="AT142" s="258">
        <v>1</v>
      </c>
      <c r="AV142" s="308"/>
      <c r="AW142" s="258">
        <v>1</v>
      </c>
      <c r="AZ142" s="258">
        <v>1</v>
      </c>
      <c r="BC142" s="258">
        <v>1</v>
      </c>
      <c r="BF142" s="258">
        <v>1</v>
      </c>
      <c r="BI142" s="258">
        <v>1</v>
      </c>
      <c r="BK142" s="256"/>
      <c r="BL142" s="258">
        <v>1</v>
      </c>
      <c r="BO142" s="258">
        <v>1</v>
      </c>
      <c r="BR142" s="258">
        <v>1</v>
      </c>
      <c r="BU142" s="258">
        <v>1</v>
      </c>
      <c r="BX142" s="139"/>
    </row>
    <row r="143" spans="1:76" s="122" customFormat="1" ht="15" customHeight="1" x14ac:dyDescent="0.25">
      <c r="A143" s="195"/>
      <c r="B143" s="196"/>
      <c r="C143" s="195"/>
      <c r="D143" s="263"/>
      <c r="E143" s="264"/>
      <c r="F143" s="264"/>
      <c r="G143" s="264"/>
      <c r="H143" s="264"/>
      <c r="I143" s="264"/>
      <c r="J143" s="265"/>
      <c r="Q143" s="309" t="s">
        <v>159</v>
      </c>
      <c r="R143" s="310">
        <f>COUNT(R118:R137)</f>
        <v>0</v>
      </c>
      <c r="S143" s="310">
        <f>COUNT(S118:S137)</f>
        <v>0</v>
      </c>
      <c r="T143" s="118"/>
      <c r="U143" s="273" t="s">
        <v>155</v>
      </c>
      <c r="Y143" s="139"/>
      <c r="AO143" s="139"/>
      <c r="AS143" s="256" t="s">
        <v>151</v>
      </c>
      <c r="AT143" s="261" t="e">
        <f>IF((0.67*AT144)&gt;AT138,"no","yes")</f>
        <v>#DIV/0!</v>
      </c>
      <c r="AU143" s="261" t="e">
        <f>IF((0.67*AU144)&gt;AU138,"no","yes")</f>
        <v>#DIV/0!</v>
      </c>
      <c r="AV143" s="256"/>
      <c r="AW143" s="261" t="e">
        <f>IF((0.67*AW144)&gt;AW138,"no","yes")</f>
        <v>#DIV/0!</v>
      </c>
      <c r="AX143" s="261" t="e">
        <f>IF((0.67*AX144)&gt;AX138,"no","yes")</f>
        <v>#DIV/0!</v>
      </c>
      <c r="AZ143" s="261" t="e">
        <f>IF((0.67*AZ144)&gt;AZ138,"no","yes")</f>
        <v>#DIV/0!</v>
      </c>
      <c r="BA143" s="261" t="e">
        <f>IF((0.67*BA144)&gt;BA138,"no","yes")</f>
        <v>#DIV/0!</v>
      </c>
      <c r="BC143" s="261" t="e">
        <f>IF((0.67*BC144)&gt;BC138,"no","yes")</f>
        <v>#DIV/0!</v>
      </c>
      <c r="BD143" s="261" t="e">
        <f>IF((0.67*BD144)&gt;BD138,"no","yes")</f>
        <v>#DIV/0!</v>
      </c>
      <c r="BF143" s="261" t="e">
        <f>IF((0.67*BF144)&gt;BF138,"no","yes")</f>
        <v>#DIV/0!</v>
      </c>
      <c r="BG143" s="261" t="e">
        <f>IF((0.67*BG144)&gt;BG138,"no","yes")</f>
        <v>#DIV/0!</v>
      </c>
      <c r="BI143" s="261" t="e">
        <f>IF((0.67*BI144)&gt;BI138,"no","yes")</f>
        <v>#DIV/0!</v>
      </c>
      <c r="BJ143" s="261" t="e">
        <f>IF((0.67*BJ144)&gt;BJ138,"no","yes")</f>
        <v>#DIV/0!</v>
      </c>
      <c r="BK143" s="133"/>
      <c r="BL143" s="261" t="e">
        <f>IF((0.67*BL144)&gt;BL138,"no","yes")</f>
        <v>#DIV/0!</v>
      </c>
      <c r="BM143" s="261" t="e">
        <f>IF((0.67*BM144)&gt;BM138,"no","yes")</f>
        <v>#DIV/0!</v>
      </c>
      <c r="BO143" s="261" t="e">
        <f>IF((0.67*BO144)&gt;BO138,"no","yes")</f>
        <v>#DIV/0!</v>
      </c>
      <c r="BP143" s="261" t="e">
        <f>IF((0.67*BP144)&gt;BP138,"no","yes")</f>
        <v>#DIV/0!</v>
      </c>
      <c r="BR143" s="261" t="e">
        <f>IF((0.67*BR144)&gt;BR138,"no","yes")</f>
        <v>#DIV/0!</v>
      </c>
      <c r="BS143" s="261" t="e">
        <f>IF((0.67*BS144)&gt;BS138,"no","yes")</f>
        <v>#DIV/0!</v>
      </c>
      <c r="BU143" s="261" t="e">
        <f>IF((0.67*BU144)&gt;BU138,"no","yes")</f>
        <v>#DIV/0!</v>
      </c>
      <c r="BV143" s="261" t="e">
        <f>IF((0.67*BV144)&gt;BV138,"no","yes")</f>
        <v>#DIV/0!</v>
      </c>
      <c r="BX143" s="139"/>
    </row>
    <row r="144" spans="1:76" s="122" customFormat="1" ht="14.25" x14ac:dyDescent="0.2">
      <c r="B144" s="118"/>
      <c r="C144" s="195"/>
      <c r="D144" s="263"/>
      <c r="E144" s="264"/>
      <c r="F144" s="264"/>
      <c r="G144" s="264"/>
      <c r="H144" s="264"/>
      <c r="I144" s="264"/>
      <c r="J144" s="265"/>
      <c r="Q144" s="311"/>
      <c r="U144" s="274"/>
      <c r="V144" s="275"/>
      <c r="W144" s="276"/>
      <c r="Y144" s="139"/>
      <c r="AO144" s="139"/>
      <c r="AS144" s="256" t="s">
        <v>157</v>
      </c>
      <c r="AT144" s="261">
        <f>IF(AT145&gt;1,_xlfn.STDEV.S(AT118:AT137),0)</f>
        <v>0</v>
      </c>
      <c r="AU144" s="261">
        <f>IF(AU145&gt;1,_xlfn.STDEV.S(AU118:AU137),0)</f>
        <v>0</v>
      </c>
      <c r="AW144" s="261">
        <f t="shared" ref="AW144:AX144" si="71">IF(AW145&gt;1,_xlfn.STDEV.S(AW118:AW137),0)</f>
        <v>0</v>
      </c>
      <c r="AX144" s="261">
        <f t="shared" si="71"/>
        <v>0</v>
      </c>
      <c r="AZ144" s="261">
        <f t="shared" ref="AZ144:BA144" si="72">IF(AZ145&gt;1,_xlfn.STDEV.S(AZ118:AZ137),0)</f>
        <v>0</v>
      </c>
      <c r="BA144" s="261">
        <f t="shared" si="72"/>
        <v>0</v>
      </c>
      <c r="BC144" s="261">
        <f t="shared" ref="BC144:BD144" si="73">IF(BC145&gt;1,_xlfn.STDEV.S(BC118:BC137),0)</f>
        <v>0</v>
      </c>
      <c r="BD144" s="261">
        <f t="shared" si="73"/>
        <v>0</v>
      </c>
      <c r="BF144" s="261">
        <f t="shared" ref="BF144:BG144" si="74">IF(BF145&gt;1,_xlfn.STDEV.S(BF118:BF137),0)</f>
        <v>0</v>
      </c>
      <c r="BG144" s="261">
        <f t="shared" si="74"/>
        <v>0</v>
      </c>
      <c r="BI144" s="261">
        <f t="shared" ref="BI144:BJ144" si="75">IF(BI145&gt;1,_xlfn.STDEV.S(BI118:BI137),0)</f>
        <v>0</v>
      </c>
      <c r="BJ144" s="261">
        <f t="shared" si="75"/>
        <v>0</v>
      </c>
      <c r="BL144" s="261">
        <f t="shared" ref="BL144:BM144" si="76">IF(BL145&gt;1,_xlfn.STDEV.S(BL118:BL137),0)</f>
        <v>0</v>
      </c>
      <c r="BM144" s="261">
        <f t="shared" si="76"/>
        <v>0</v>
      </c>
      <c r="BO144" s="261">
        <f t="shared" ref="BO144:BP144" si="77">IF(BO145&gt;1,_xlfn.STDEV.S(BO118:BO137),0)</f>
        <v>0</v>
      </c>
      <c r="BP144" s="261">
        <f t="shared" si="77"/>
        <v>0</v>
      </c>
      <c r="BR144" s="261">
        <f t="shared" ref="BR144:BS144" si="78">IF(BR145&gt;1,_xlfn.STDEV.S(BR118:BR137),0)</f>
        <v>0</v>
      </c>
      <c r="BS144" s="261">
        <f t="shared" si="78"/>
        <v>0</v>
      </c>
      <c r="BU144" s="261">
        <f t="shared" ref="BU144:BV144" si="79">IF(BU145&gt;1,_xlfn.STDEV.S(BU118:BU137),0)</f>
        <v>0</v>
      </c>
      <c r="BV144" s="261">
        <f t="shared" si="79"/>
        <v>0</v>
      </c>
      <c r="BX144" s="139"/>
    </row>
    <row r="145" spans="1:76" s="122" customFormat="1" x14ac:dyDescent="0.2">
      <c r="A145" s="195"/>
      <c r="B145" s="196"/>
      <c r="D145" s="277"/>
      <c r="E145" s="278"/>
      <c r="F145" s="278"/>
      <c r="G145" s="278"/>
      <c r="H145" s="278"/>
      <c r="I145" s="278"/>
      <c r="J145" s="279"/>
      <c r="Q145" s="311"/>
      <c r="R145" s="280" t="s">
        <v>158</v>
      </c>
      <c r="U145" s="281"/>
      <c r="V145" s="282"/>
      <c r="W145" s="283"/>
      <c r="Y145" s="139"/>
      <c r="AO145" s="139"/>
      <c r="AS145" s="133" t="s">
        <v>159</v>
      </c>
      <c r="AT145" s="284">
        <f>COUNT(AT118:AT137)</f>
        <v>0</v>
      </c>
      <c r="AU145" s="284">
        <f>COUNT(AU118:AU137)</f>
        <v>0</v>
      </c>
      <c r="AW145" s="284">
        <f t="shared" ref="AW145:AX145" si="80">COUNT(AW118:AW137)</f>
        <v>0</v>
      </c>
      <c r="AX145" s="284">
        <f t="shared" si="80"/>
        <v>0</v>
      </c>
      <c r="AZ145" s="284">
        <f t="shared" ref="AZ145:BA145" si="81">COUNT(AZ118:AZ137)</f>
        <v>0</v>
      </c>
      <c r="BA145" s="284">
        <f t="shared" si="81"/>
        <v>0</v>
      </c>
      <c r="BC145" s="284">
        <f t="shared" ref="BC145:BD145" si="82">COUNT(BC118:BC137)</f>
        <v>0</v>
      </c>
      <c r="BD145" s="284">
        <f t="shared" si="82"/>
        <v>0</v>
      </c>
      <c r="BF145" s="284">
        <f t="shared" ref="BF145:BG145" si="83">COUNT(BF118:BF137)</f>
        <v>0</v>
      </c>
      <c r="BG145" s="284">
        <f t="shared" si="83"/>
        <v>0</v>
      </c>
      <c r="BI145" s="284">
        <f t="shared" ref="BI145:BJ145" si="84">COUNT(BI118:BI137)</f>
        <v>0</v>
      </c>
      <c r="BJ145" s="284">
        <f t="shared" si="84"/>
        <v>0</v>
      </c>
      <c r="BL145" s="284">
        <f t="shared" ref="BL145:BM145" si="85">COUNT(BL118:BL137)</f>
        <v>0</v>
      </c>
      <c r="BM145" s="284">
        <f t="shared" si="85"/>
        <v>0</v>
      </c>
      <c r="BO145" s="284">
        <f t="shared" ref="BO145:BP145" si="86">COUNT(BO118:BO137)</f>
        <v>0</v>
      </c>
      <c r="BP145" s="284">
        <f t="shared" si="86"/>
        <v>0</v>
      </c>
      <c r="BR145" s="284">
        <f t="shared" ref="BR145:BS145" si="87">COUNT(BR118:BR137)</f>
        <v>0</v>
      </c>
      <c r="BS145" s="284">
        <f t="shared" si="87"/>
        <v>0</v>
      </c>
      <c r="BU145" s="284">
        <f t="shared" ref="BU145:BV145" si="88">COUNT(BU118:BU137)</f>
        <v>0</v>
      </c>
      <c r="BV145" s="284">
        <f t="shared" si="88"/>
        <v>0</v>
      </c>
      <c r="BX145" s="139"/>
    </row>
    <row r="146" spans="1:76" s="122" customFormat="1" ht="14.25" x14ac:dyDescent="0.2">
      <c r="A146" s="195"/>
      <c r="B146" s="196"/>
      <c r="D146" s="314"/>
      <c r="E146" s="314"/>
      <c r="F146" s="314"/>
      <c r="G146" s="314"/>
      <c r="H146" s="314"/>
      <c r="I146" s="314"/>
      <c r="J146" s="314"/>
      <c r="Q146" s="311"/>
      <c r="R146" s="287" t="s">
        <v>149</v>
      </c>
      <c r="U146" s="281"/>
      <c r="V146" s="282"/>
      <c r="W146" s="283"/>
      <c r="Y146" s="139"/>
      <c r="AO146" s="139"/>
      <c r="AS146" s="133"/>
      <c r="AT146" s="133"/>
      <c r="AU146" s="133"/>
      <c r="AV146" s="133"/>
      <c r="AW146" s="195"/>
      <c r="AX146" s="195"/>
      <c r="AZ146" s="195"/>
      <c r="BA146" s="195"/>
      <c r="BC146" s="195"/>
      <c r="BD146" s="195"/>
      <c r="BF146" s="195"/>
      <c r="BG146" s="195"/>
      <c r="BI146" s="195"/>
      <c r="BJ146" s="195"/>
      <c r="BL146" s="195"/>
      <c r="BM146" s="195"/>
      <c r="BO146" s="195"/>
      <c r="BP146" s="195"/>
      <c r="BR146" s="195"/>
      <c r="BS146" s="195"/>
      <c r="BU146" s="195"/>
      <c r="BV146" s="195"/>
      <c r="BX146" s="139"/>
    </row>
    <row r="147" spans="1:76" s="122" customFormat="1" ht="14.25" x14ac:dyDescent="0.2">
      <c r="A147" s="195"/>
      <c r="B147" s="196"/>
      <c r="D147" s="314"/>
      <c r="E147" s="314"/>
      <c r="F147" s="314"/>
      <c r="G147" s="314"/>
      <c r="H147" s="314"/>
      <c r="I147" s="314"/>
      <c r="J147" s="314"/>
      <c r="Q147" s="311"/>
      <c r="U147" s="288"/>
      <c r="V147" s="289"/>
      <c r="W147" s="290"/>
      <c r="Y147" s="139"/>
      <c r="AO147" s="139"/>
      <c r="AS147" s="133"/>
      <c r="AT147" s="133"/>
      <c r="AU147" s="133"/>
      <c r="AV147" s="133"/>
      <c r="AW147" s="195"/>
      <c r="AX147" s="195"/>
      <c r="AZ147" s="195"/>
      <c r="BA147" s="195"/>
      <c r="BC147" s="195"/>
      <c r="BD147" s="195"/>
      <c r="BF147" s="195"/>
      <c r="BG147" s="195"/>
      <c r="BI147" s="195"/>
      <c r="BJ147" s="195"/>
      <c r="BL147" s="195"/>
      <c r="BM147" s="195"/>
      <c r="BO147" s="195"/>
      <c r="BP147" s="195"/>
      <c r="BR147" s="195"/>
      <c r="BS147" s="195"/>
      <c r="BU147" s="195"/>
      <c r="BV147" s="195"/>
      <c r="BX147" s="139"/>
    </row>
    <row r="148" spans="1:76" s="122" customFormat="1" ht="18" x14ac:dyDescent="0.25">
      <c r="B148" s="118"/>
      <c r="Q148" s="311"/>
      <c r="Y148" s="139"/>
      <c r="AO148" s="296"/>
      <c r="BX148" s="139"/>
    </row>
    <row r="149" spans="1:76" s="122" customFormat="1" ht="14.25" x14ac:dyDescent="0.2">
      <c r="B149" s="118"/>
      <c r="Q149" s="311"/>
      <c r="Y149" s="139"/>
      <c r="AO149" s="139"/>
      <c r="BX149" s="139"/>
    </row>
    <row r="150" spans="1:76" s="122" customFormat="1" ht="14.25" x14ac:dyDescent="0.2">
      <c r="B150" s="118"/>
      <c r="Q150" s="311"/>
      <c r="Y150" s="139"/>
      <c r="AO150" s="139"/>
      <c r="BX150" s="139"/>
    </row>
    <row r="151" spans="1:76" s="139" customFormat="1" ht="18" x14ac:dyDescent="0.25">
      <c r="A151" s="188">
        <f>A115+1</f>
        <v>4</v>
      </c>
      <c r="B151" s="189"/>
      <c r="C151" s="293" t="s">
        <v>167</v>
      </c>
      <c r="D151" s="191"/>
      <c r="E151" s="191"/>
      <c r="F151" s="191"/>
      <c r="G151" s="191"/>
      <c r="H151" s="192"/>
      <c r="I151" s="192"/>
      <c r="J151" s="191"/>
      <c r="K151" s="192"/>
      <c r="L151" s="192"/>
      <c r="M151" s="175"/>
      <c r="N151" s="175"/>
      <c r="O151" s="192"/>
      <c r="P151" s="192"/>
      <c r="Q151" s="294"/>
      <c r="R151" s="194" t="s">
        <v>93</v>
      </c>
      <c r="S151" s="194"/>
      <c r="T151" s="194"/>
      <c r="U151" s="194"/>
      <c r="V151" s="192"/>
      <c r="W151" s="192"/>
      <c r="Y151" s="192"/>
      <c r="AP151" s="295">
        <f>A151</f>
        <v>4</v>
      </c>
      <c r="AQ151" s="295" t="str">
        <f>C151</f>
        <v>Lifetime Capacity - CONVENTIONAL</v>
      </c>
      <c r="AR151" s="296"/>
      <c r="AS151" s="296"/>
      <c r="AT151" s="296"/>
      <c r="AU151" s="296"/>
      <c r="AV151" s="296"/>
      <c r="AW151" s="296"/>
      <c r="AX151" s="296"/>
      <c r="AY151" s="296"/>
      <c r="AZ151" s="296"/>
      <c r="BA151" s="296"/>
      <c r="BB151" s="296"/>
      <c r="BC151" s="296"/>
      <c r="BD151" s="296"/>
      <c r="BE151" s="296"/>
      <c r="BF151" s="296"/>
      <c r="BG151" s="296"/>
      <c r="BH151" s="296"/>
      <c r="BI151" s="296"/>
      <c r="BJ151" s="296"/>
      <c r="BK151" s="296"/>
      <c r="BL151" s="296"/>
      <c r="BM151" s="296"/>
      <c r="BN151" s="296"/>
      <c r="BO151" s="296"/>
      <c r="BP151" s="296"/>
      <c r="BQ151" s="296"/>
      <c r="BR151" s="296"/>
      <c r="BS151" s="296"/>
      <c r="BT151" s="296"/>
      <c r="BU151" s="296"/>
      <c r="BV151" s="296"/>
      <c r="BW151" s="296"/>
    </row>
    <row r="152" spans="1:76" s="122" customFormat="1" x14ac:dyDescent="0.25">
      <c r="A152" s="195"/>
      <c r="B152" s="196"/>
      <c r="C152" s="195"/>
      <c r="D152" s="120"/>
      <c r="E152" s="120"/>
      <c r="F152" s="120"/>
      <c r="G152" s="120"/>
      <c r="J152" s="120"/>
      <c r="Q152" s="311"/>
      <c r="Y152" s="139"/>
      <c r="AO152" s="139"/>
      <c r="AP152" s="28"/>
      <c r="AQ152" s="28"/>
      <c r="AR152" s="28"/>
      <c r="AS152" s="28"/>
      <c r="AT152" s="198" t="s">
        <v>95</v>
      </c>
      <c r="AU152" s="198"/>
      <c r="AV152" s="28"/>
      <c r="AW152" s="198" t="s">
        <v>96</v>
      </c>
      <c r="AX152" s="198"/>
      <c r="AY152" s="28"/>
      <c r="AZ152" s="198" t="s">
        <v>97</v>
      </c>
      <c r="BA152" s="198"/>
      <c r="BB152" s="28"/>
      <c r="BC152" s="198" t="s">
        <v>98</v>
      </c>
      <c r="BD152" s="198"/>
      <c r="BE152" s="28"/>
      <c r="BF152" s="198" t="s">
        <v>99</v>
      </c>
      <c r="BG152" s="198"/>
      <c r="BH152" s="28"/>
      <c r="BI152" s="198" t="s">
        <v>100</v>
      </c>
      <c r="BJ152" s="198"/>
      <c r="BK152" s="28"/>
      <c r="BL152" s="198" t="s">
        <v>101</v>
      </c>
      <c r="BM152" s="198"/>
      <c r="BN152" s="28"/>
      <c r="BO152" s="198" t="s">
        <v>102</v>
      </c>
      <c r="BP152" s="198"/>
      <c r="BQ152" s="28"/>
      <c r="BR152" s="198" t="s">
        <v>103</v>
      </c>
      <c r="BS152" s="198"/>
      <c r="BT152" s="28"/>
      <c r="BU152" s="198" t="s">
        <v>104</v>
      </c>
      <c r="BV152" s="198"/>
      <c r="BW152" s="28"/>
      <c r="BX152" s="139"/>
    </row>
    <row r="153" spans="1:76" s="122" customFormat="1" ht="30.75" thickBot="1" x14ac:dyDescent="0.3">
      <c r="A153" s="199" t="s">
        <v>105</v>
      </c>
      <c r="B153" s="200" t="s">
        <v>106</v>
      </c>
      <c r="C153" s="298" t="s">
        <v>107</v>
      </c>
      <c r="D153" s="299" t="s">
        <v>108</v>
      </c>
      <c r="E153" s="299" t="s">
        <v>109</v>
      </c>
      <c r="F153" s="300" t="s">
        <v>110</v>
      </c>
      <c r="G153" s="201" t="s">
        <v>111</v>
      </c>
      <c r="H153" s="202" t="s">
        <v>112</v>
      </c>
      <c r="I153" s="203" t="s">
        <v>113</v>
      </c>
      <c r="J153" s="301" t="s">
        <v>114</v>
      </c>
      <c r="K153" s="205" t="s">
        <v>115</v>
      </c>
      <c r="L153" s="302" t="s">
        <v>116</v>
      </c>
      <c r="M153" s="207" t="s">
        <v>117</v>
      </c>
      <c r="N153" s="208" t="s">
        <v>118</v>
      </c>
      <c r="O153" s="208" t="s">
        <v>119</v>
      </c>
      <c r="P153" s="210"/>
      <c r="Q153" s="211" t="s">
        <v>120</v>
      </c>
      <c r="R153" s="212" t="s">
        <v>121</v>
      </c>
      <c r="S153" s="212" t="s">
        <v>122</v>
      </c>
      <c r="T153" s="212" t="s">
        <v>123</v>
      </c>
      <c r="U153" s="213" t="s">
        <v>124</v>
      </c>
      <c r="V153" s="210"/>
      <c r="W153" s="210"/>
      <c r="Y153" s="303"/>
      <c r="AO153" s="139"/>
      <c r="AP153" s="210"/>
      <c r="AQ153" s="210"/>
      <c r="AR153" s="213" t="s">
        <v>125</v>
      </c>
      <c r="AS153" s="210"/>
      <c r="AT153" s="215" t="s">
        <v>121</v>
      </c>
      <c r="AU153" s="215" t="s">
        <v>122</v>
      </c>
      <c r="AV153" s="210"/>
      <c r="AW153" s="215" t="s">
        <v>121</v>
      </c>
      <c r="AX153" s="215" t="s">
        <v>122</v>
      </c>
      <c r="AY153" s="210"/>
      <c r="AZ153" s="215" t="s">
        <v>121</v>
      </c>
      <c r="BA153" s="215" t="s">
        <v>122</v>
      </c>
      <c r="BB153" s="210"/>
      <c r="BC153" s="215" t="s">
        <v>121</v>
      </c>
      <c r="BD153" s="215" t="s">
        <v>122</v>
      </c>
      <c r="BE153" s="210"/>
      <c r="BF153" s="215" t="s">
        <v>121</v>
      </c>
      <c r="BG153" s="215" t="s">
        <v>122</v>
      </c>
      <c r="BH153" s="210"/>
      <c r="BI153" s="215" t="s">
        <v>121</v>
      </c>
      <c r="BJ153" s="215" t="s">
        <v>122</v>
      </c>
      <c r="BK153" s="210"/>
      <c r="BL153" s="215" t="s">
        <v>121</v>
      </c>
      <c r="BM153" s="215" t="s">
        <v>122</v>
      </c>
      <c r="BN153" s="210"/>
      <c r="BO153" s="215" t="s">
        <v>121</v>
      </c>
      <c r="BP153" s="215" t="s">
        <v>122</v>
      </c>
      <c r="BQ153" s="210"/>
      <c r="BR153" s="215" t="s">
        <v>121</v>
      </c>
      <c r="BS153" s="215" t="s">
        <v>122</v>
      </c>
      <c r="BT153" s="210"/>
      <c r="BU153" s="215" t="s">
        <v>121</v>
      </c>
      <c r="BV153" s="215" t="s">
        <v>122</v>
      </c>
      <c r="BW153" s="210"/>
      <c r="BX153" s="139"/>
    </row>
    <row r="154" spans="1:76" s="122" customFormat="1" x14ac:dyDescent="0.25">
      <c r="A154" s="195">
        <v>1</v>
      </c>
      <c r="B154" s="216" t="str">
        <f t="shared" ref="B154:B173" si="89">CONCATENATE(E154,": ",C154)</f>
        <v xml:space="preserve">: </v>
      </c>
      <c r="C154" s="219"/>
      <c r="D154" s="219"/>
      <c r="E154" s="219"/>
      <c r="F154" s="219"/>
      <c r="G154" s="220"/>
      <c r="H154" s="221"/>
      <c r="I154" s="220"/>
      <c r="J154" s="312"/>
      <c r="K154" s="226"/>
      <c r="L154" s="241"/>
      <c r="M154" s="225" t="str">
        <f t="shared" ref="M154:M173" si="90">CONCATENATE(FunctionalUnitOfMeasure,"/",AdoptionUnitOfMeasure)</f>
        <v>kg of protein/kg of protein</v>
      </c>
      <c r="N154" s="227"/>
      <c r="O154" s="241"/>
      <c r="Q154" s="228"/>
      <c r="R154" s="231" t="str">
        <f>IF(Q154="Y","",IF(AND(L154="",J154=""),"",IF(L154="",J154,L154)))</f>
        <v/>
      </c>
      <c r="S154" s="230" t="str">
        <f t="shared" ref="S154:S173" si="91">IF(R154="","",IF($R$182="Y",T154,IF(R154&gt;=$R$174-$AA$35*$R$178,IF(R154&lt;=$R$174+$AA$35*$R$178,R154,""),"")))</f>
        <v/>
      </c>
      <c r="T154" s="231" t="str">
        <f t="shared" ref="T154:T173" si="92">IF(OR(Q154="Y",IFERROR(R154&gt;$R$174+$R$178*$AA$35,0),IFERROR(R154&lt;$R$174-$R$178*$AA$35,0)),"",IFERROR(R154*N154,""))</f>
        <v/>
      </c>
      <c r="U154" s="232" t="str">
        <f t="shared" ref="U154:U173" si="93">IF(AND(M154="",K154=""),"",IF(M154="",K154,M154))</f>
        <v>kg of protein/kg of protein</v>
      </c>
      <c r="V154" s="28"/>
      <c r="W154" s="28"/>
      <c r="Y154" s="99"/>
      <c r="AO154" s="139"/>
      <c r="AP154" s="28"/>
      <c r="AQ154" s="28"/>
      <c r="AR154" s="233" t="str">
        <f>$U154</f>
        <v>kg of protein/kg of protein</v>
      </c>
      <c r="AS154" s="28"/>
      <c r="AT154" s="304" t="str">
        <f>IF($E154=$AT$47,R154,"")</f>
        <v/>
      </c>
      <c r="AU154" s="304" t="str">
        <f>IF($E154=$AT$47,S154,"")</f>
        <v/>
      </c>
      <c r="AV154" s="28"/>
      <c r="AW154" s="304" t="str">
        <f t="shared" ref="AW154:AX173" si="94">IF($E154=$AW$83,R154,"")</f>
        <v/>
      </c>
      <c r="AX154" s="304" t="str">
        <f t="shared" si="94"/>
        <v/>
      </c>
      <c r="AY154" s="28"/>
      <c r="AZ154" s="304" t="str">
        <f t="shared" ref="AZ154:BA173" si="95">IF($E154=$AZ$83,R154,"")</f>
        <v/>
      </c>
      <c r="BA154" s="304" t="str">
        <f t="shared" si="95"/>
        <v/>
      </c>
      <c r="BB154" s="28"/>
      <c r="BC154" s="304" t="str">
        <f t="shared" ref="BC154:BD173" si="96">IF($E154=$BC$83,R154,"")</f>
        <v/>
      </c>
      <c r="BD154" s="304" t="str">
        <f t="shared" si="96"/>
        <v/>
      </c>
      <c r="BE154" s="28"/>
      <c r="BF154" s="304" t="str">
        <f t="shared" ref="BF154:BG173" si="97">IF($E154=$BF$83,R154,"")</f>
        <v/>
      </c>
      <c r="BG154" s="304" t="str">
        <f t="shared" si="97"/>
        <v/>
      </c>
      <c r="BH154" s="28"/>
      <c r="BI154" s="304" t="str">
        <f t="shared" ref="BI154:BJ173" si="98">IF($E154=$BI$83,R154,"")</f>
        <v/>
      </c>
      <c r="BJ154" s="304" t="str">
        <f t="shared" si="98"/>
        <v/>
      </c>
      <c r="BK154" s="28"/>
      <c r="BL154" s="304" t="str">
        <f t="shared" ref="BL154:BM173" si="99">IF($E154=$BL$83,R154,"")</f>
        <v/>
      </c>
      <c r="BM154" s="304" t="str">
        <f t="shared" si="99"/>
        <v/>
      </c>
      <c r="BN154" s="28"/>
      <c r="BO154" s="304" t="str">
        <f t="shared" ref="BO154:BP173" si="100">IF($E154=$BO$83,R154,"")</f>
        <v/>
      </c>
      <c r="BP154" s="304" t="str">
        <f t="shared" si="100"/>
        <v/>
      </c>
      <c r="BQ154" s="28"/>
      <c r="BR154" s="304" t="str">
        <f t="shared" ref="BR154:BS173" si="101">IF($E154=$BR$83,R154,"")</f>
        <v/>
      </c>
      <c r="BS154" s="304" t="str">
        <f t="shared" si="101"/>
        <v/>
      </c>
      <c r="BT154" s="28"/>
      <c r="BU154" s="304" t="str">
        <f t="shared" ref="BU154:BV173" si="102">IF($E154=$BU$83,R154,"")</f>
        <v/>
      </c>
      <c r="BV154" s="304" t="str">
        <f t="shared" si="102"/>
        <v/>
      </c>
      <c r="BW154" s="28"/>
      <c r="BX154" s="139"/>
    </row>
    <row r="155" spans="1:76" s="122" customFormat="1" x14ac:dyDescent="0.25">
      <c r="A155" s="195">
        <v>2</v>
      </c>
      <c r="B155" s="216" t="str">
        <f t="shared" si="89"/>
        <v xml:space="preserve">: </v>
      </c>
      <c r="C155" s="219"/>
      <c r="D155" s="219"/>
      <c r="E155" s="219"/>
      <c r="F155" s="219"/>
      <c r="G155" s="220"/>
      <c r="H155" s="221"/>
      <c r="I155" s="220"/>
      <c r="J155" s="312"/>
      <c r="K155" s="227"/>
      <c r="L155" s="241"/>
      <c r="M155" s="225" t="str">
        <f t="shared" si="90"/>
        <v>kg of protein/kg of protein</v>
      </c>
      <c r="N155" s="227"/>
      <c r="O155" s="241"/>
      <c r="Q155" s="228"/>
      <c r="R155" s="231" t="str">
        <f t="shared" ref="R155:R173" si="103">IF(Q155="Y","",IF(AND(L155="",J155=""),"",IF(L155="",J155,L155)))</f>
        <v/>
      </c>
      <c r="S155" s="230" t="str">
        <f t="shared" si="91"/>
        <v/>
      </c>
      <c r="T155" s="231" t="str">
        <f t="shared" si="92"/>
        <v/>
      </c>
      <c r="U155" s="232" t="str">
        <f t="shared" si="93"/>
        <v>kg of protein/kg of protein</v>
      </c>
      <c r="V155" s="28"/>
      <c r="W155" s="28"/>
      <c r="Y155" s="99"/>
      <c r="AO155" s="139"/>
      <c r="AP155" s="28"/>
      <c r="AQ155" s="28"/>
      <c r="AR155" s="237"/>
      <c r="AS155" s="28"/>
      <c r="AT155" s="304" t="str">
        <f t="shared" ref="AT155:AU173" si="104">IF($E155=$AT$47,R155,"")</f>
        <v/>
      </c>
      <c r="AU155" s="304" t="str">
        <f t="shared" si="104"/>
        <v/>
      </c>
      <c r="AV155" s="28"/>
      <c r="AW155" s="304" t="str">
        <f t="shared" si="94"/>
        <v/>
      </c>
      <c r="AX155" s="304" t="str">
        <f t="shared" si="94"/>
        <v/>
      </c>
      <c r="AY155" s="28"/>
      <c r="AZ155" s="304" t="str">
        <f t="shared" si="95"/>
        <v/>
      </c>
      <c r="BA155" s="304" t="str">
        <f t="shared" si="95"/>
        <v/>
      </c>
      <c r="BB155" s="28"/>
      <c r="BC155" s="304" t="str">
        <f t="shared" si="96"/>
        <v/>
      </c>
      <c r="BD155" s="304" t="str">
        <f t="shared" si="96"/>
        <v/>
      </c>
      <c r="BE155" s="28"/>
      <c r="BF155" s="304" t="str">
        <f t="shared" si="97"/>
        <v/>
      </c>
      <c r="BG155" s="304" t="str">
        <f t="shared" si="97"/>
        <v/>
      </c>
      <c r="BH155" s="28"/>
      <c r="BI155" s="304" t="str">
        <f t="shared" si="98"/>
        <v/>
      </c>
      <c r="BJ155" s="304" t="str">
        <f t="shared" si="98"/>
        <v/>
      </c>
      <c r="BK155" s="28"/>
      <c r="BL155" s="304" t="str">
        <f t="shared" si="99"/>
        <v/>
      </c>
      <c r="BM155" s="304" t="str">
        <f t="shared" si="99"/>
        <v/>
      </c>
      <c r="BN155" s="28"/>
      <c r="BO155" s="304" t="str">
        <f t="shared" si="100"/>
        <v/>
      </c>
      <c r="BP155" s="304" t="str">
        <f t="shared" si="100"/>
        <v/>
      </c>
      <c r="BQ155" s="28"/>
      <c r="BR155" s="304" t="str">
        <f t="shared" si="101"/>
        <v/>
      </c>
      <c r="BS155" s="304" t="str">
        <f t="shared" si="101"/>
        <v/>
      </c>
      <c r="BT155" s="28"/>
      <c r="BU155" s="304" t="str">
        <f t="shared" si="102"/>
        <v/>
      </c>
      <c r="BV155" s="304" t="str">
        <f t="shared" si="102"/>
        <v/>
      </c>
      <c r="BW155" s="28"/>
      <c r="BX155" s="139"/>
    </row>
    <row r="156" spans="1:76" s="122" customFormat="1" x14ac:dyDescent="0.25">
      <c r="A156" s="195">
        <v>3</v>
      </c>
      <c r="B156" s="216" t="str">
        <f>CONCATENATE(E156,": ",C156)</f>
        <v xml:space="preserve">: </v>
      </c>
      <c r="C156" s="221"/>
      <c r="D156" s="221"/>
      <c r="E156" s="221"/>
      <c r="F156" s="221"/>
      <c r="G156" s="240"/>
      <c r="H156" s="221"/>
      <c r="I156" s="240"/>
      <c r="J156" s="312"/>
      <c r="K156" s="227"/>
      <c r="L156" s="241"/>
      <c r="M156" s="225" t="str">
        <f t="shared" si="90"/>
        <v>kg of protein/kg of protein</v>
      </c>
      <c r="N156" s="227"/>
      <c r="O156" s="241"/>
      <c r="Q156" s="228"/>
      <c r="R156" s="231" t="str">
        <f t="shared" si="103"/>
        <v/>
      </c>
      <c r="S156" s="230" t="str">
        <f t="shared" si="91"/>
        <v/>
      </c>
      <c r="T156" s="231" t="str">
        <f t="shared" si="92"/>
        <v/>
      </c>
      <c r="U156" s="232" t="str">
        <f t="shared" si="93"/>
        <v>kg of protein/kg of protein</v>
      </c>
      <c r="V156" s="28"/>
      <c r="W156" s="28"/>
      <c r="Y156" s="99"/>
      <c r="AO156" s="139"/>
      <c r="AP156" s="28"/>
      <c r="AQ156" s="28"/>
      <c r="AR156" s="237"/>
      <c r="AS156" s="28"/>
      <c r="AT156" s="304" t="str">
        <f t="shared" si="104"/>
        <v/>
      </c>
      <c r="AU156" s="304" t="str">
        <f t="shared" si="104"/>
        <v/>
      </c>
      <c r="AV156" s="28"/>
      <c r="AW156" s="304" t="str">
        <f t="shared" si="94"/>
        <v/>
      </c>
      <c r="AX156" s="304" t="str">
        <f t="shared" si="94"/>
        <v/>
      </c>
      <c r="AY156" s="28"/>
      <c r="AZ156" s="304" t="str">
        <f t="shared" si="95"/>
        <v/>
      </c>
      <c r="BA156" s="304" t="str">
        <f t="shared" si="95"/>
        <v/>
      </c>
      <c r="BB156" s="28"/>
      <c r="BC156" s="304" t="str">
        <f t="shared" si="96"/>
        <v/>
      </c>
      <c r="BD156" s="304" t="str">
        <f t="shared" si="96"/>
        <v/>
      </c>
      <c r="BE156" s="28"/>
      <c r="BF156" s="304" t="str">
        <f t="shared" si="97"/>
        <v/>
      </c>
      <c r="BG156" s="304" t="str">
        <f t="shared" si="97"/>
        <v/>
      </c>
      <c r="BH156" s="28"/>
      <c r="BI156" s="304" t="str">
        <f t="shared" si="98"/>
        <v/>
      </c>
      <c r="BJ156" s="304" t="str">
        <f t="shared" si="98"/>
        <v/>
      </c>
      <c r="BK156" s="28"/>
      <c r="BL156" s="304" t="str">
        <f t="shared" si="99"/>
        <v/>
      </c>
      <c r="BM156" s="304" t="str">
        <f t="shared" si="99"/>
        <v/>
      </c>
      <c r="BN156" s="28"/>
      <c r="BO156" s="304" t="str">
        <f t="shared" si="100"/>
        <v/>
      </c>
      <c r="BP156" s="304" t="str">
        <f t="shared" si="100"/>
        <v/>
      </c>
      <c r="BQ156" s="28"/>
      <c r="BR156" s="304" t="str">
        <f t="shared" si="101"/>
        <v/>
      </c>
      <c r="BS156" s="304" t="str">
        <f t="shared" si="101"/>
        <v/>
      </c>
      <c r="BT156" s="28"/>
      <c r="BU156" s="304" t="str">
        <f t="shared" si="102"/>
        <v/>
      </c>
      <c r="BV156" s="304" t="str">
        <f t="shared" si="102"/>
        <v/>
      </c>
      <c r="BW156" s="28"/>
      <c r="BX156" s="139"/>
    </row>
    <row r="157" spans="1:76" s="122" customFormat="1" x14ac:dyDescent="0.25">
      <c r="A157" s="195">
        <v>4</v>
      </c>
      <c r="B157" s="216" t="str">
        <f t="shared" si="89"/>
        <v xml:space="preserve">: </v>
      </c>
      <c r="C157" s="221"/>
      <c r="D157" s="221"/>
      <c r="E157" s="221"/>
      <c r="F157" s="221"/>
      <c r="G157" s="240"/>
      <c r="H157" s="221"/>
      <c r="I157" s="240"/>
      <c r="J157" s="241"/>
      <c r="K157" s="241"/>
      <c r="L157" s="241"/>
      <c r="M157" s="225" t="str">
        <f t="shared" si="90"/>
        <v>kg of protein/kg of protein</v>
      </c>
      <c r="N157" s="227"/>
      <c r="O157" s="241"/>
      <c r="Q157" s="228"/>
      <c r="R157" s="231" t="str">
        <f t="shared" si="103"/>
        <v/>
      </c>
      <c r="S157" s="230" t="str">
        <f t="shared" si="91"/>
        <v/>
      </c>
      <c r="T157" s="231" t="str">
        <f t="shared" si="92"/>
        <v/>
      </c>
      <c r="U157" s="232" t="str">
        <f t="shared" si="93"/>
        <v>kg of protein/kg of protein</v>
      </c>
      <c r="V157" s="28"/>
      <c r="W157" s="28"/>
      <c r="Y157" s="99"/>
      <c r="AO157" s="139"/>
      <c r="AP157" s="28"/>
      <c r="AQ157" s="28"/>
      <c r="AR157" s="237"/>
      <c r="AS157" s="28"/>
      <c r="AT157" s="304" t="str">
        <f t="shared" si="104"/>
        <v/>
      </c>
      <c r="AU157" s="304" t="str">
        <f t="shared" si="104"/>
        <v/>
      </c>
      <c r="AV157" s="28"/>
      <c r="AW157" s="304" t="str">
        <f t="shared" si="94"/>
        <v/>
      </c>
      <c r="AX157" s="304" t="str">
        <f t="shared" si="94"/>
        <v/>
      </c>
      <c r="AY157" s="28"/>
      <c r="AZ157" s="304" t="str">
        <f t="shared" si="95"/>
        <v/>
      </c>
      <c r="BA157" s="304" t="str">
        <f t="shared" si="95"/>
        <v/>
      </c>
      <c r="BB157" s="28"/>
      <c r="BC157" s="304" t="str">
        <f t="shared" si="96"/>
        <v/>
      </c>
      <c r="BD157" s="304" t="str">
        <f t="shared" si="96"/>
        <v/>
      </c>
      <c r="BE157" s="28"/>
      <c r="BF157" s="304" t="str">
        <f t="shared" si="97"/>
        <v/>
      </c>
      <c r="BG157" s="304" t="str">
        <f t="shared" si="97"/>
        <v/>
      </c>
      <c r="BH157" s="28"/>
      <c r="BI157" s="304" t="str">
        <f t="shared" si="98"/>
        <v/>
      </c>
      <c r="BJ157" s="304" t="str">
        <f t="shared" si="98"/>
        <v/>
      </c>
      <c r="BK157" s="28"/>
      <c r="BL157" s="304" t="str">
        <f t="shared" si="99"/>
        <v/>
      </c>
      <c r="BM157" s="304" t="str">
        <f t="shared" si="99"/>
        <v/>
      </c>
      <c r="BN157" s="28"/>
      <c r="BO157" s="304" t="str">
        <f t="shared" si="100"/>
        <v/>
      </c>
      <c r="BP157" s="304" t="str">
        <f t="shared" si="100"/>
        <v/>
      </c>
      <c r="BQ157" s="28"/>
      <c r="BR157" s="304" t="str">
        <f t="shared" si="101"/>
        <v/>
      </c>
      <c r="BS157" s="304" t="str">
        <f t="shared" si="101"/>
        <v/>
      </c>
      <c r="BT157" s="28"/>
      <c r="BU157" s="304" t="str">
        <f t="shared" si="102"/>
        <v/>
      </c>
      <c r="BV157" s="304" t="str">
        <f t="shared" si="102"/>
        <v/>
      </c>
      <c r="BW157" s="28"/>
      <c r="BX157" s="139"/>
    </row>
    <row r="158" spans="1:76" s="122" customFormat="1" x14ac:dyDescent="0.25">
      <c r="A158" s="195">
        <v>5</v>
      </c>
      <c r="B158" s="216" t="str">
        <f t="shared" si="89"/>
        <v xml:space="preserve">: </v>
      </c>
      <c r="C158" s="221"/>
      <c r="D158" s="221"/>
      <c r="E158" s="221"/>
      <c r="F158" s="221"/>
      <c r="G158" s="240"/>
      <c r="H158" s="221"/>
      <c r="I158" s="240"/>
      <c r="J158" s="241"/>
      <c r="K158" s="241"/>
      <c r="L158" s="241"/>
      <c r="M158" s="225" t="str">
        <f t="shared" si="90"/>
        <v>kg of protein/kg of protein</v>
      </c>
      <c r="N158" s="227"/>
      <c r="O158" s="241"/>
      <c r="Q158" s="228"/>
      <c r="R158" s="231" t="str">
        <f t="shared" si="103"/>
        <v/>
      </c>
      <c r="S158" s="230" t="str">
        <f t="shared" si="91"/>
        <v/>
      </c>
      <c r="T158" s="231" t="str">
        <f t="shared" si="92"/>
        <v/>
      </c>
      <c r="U158" s="232" t="str">
        <f t="shared" si="93"/>
        <v>kg of protein/kg of protein</v>
      </c>
      <c r="V158" s="28"/>
      <c r="W158" s="28"/>
      <c r="Y158" s="99"/>
      <c r="AO158" s="139"/>
      <c r="AP158" s="28"/>
      <c r="AQ158" s="28"/>
      <c r="AR158" s="237"/>
      <c r="AS158" s="28"/>
      <c r="AT158" s="304" t="str">
        <f t="shared" si="104"/>
        <v/>
      </c>
      <c r="AU158" s="304" t="str">
        <f t="shared" si="104"/>
        <v/>
      </c>
      <c r="AV158" s="28"/>
      <c r="AW158" s="304" t="str">
        <f t="shared" si="94"/>
        <v/>
      </c>
      <c r="AX158" s="304" t="str">
        <f t="shared" si="94"/>
        <v/>
      </c>
      <c r="AY158" s="28"/>
      <c r="AZ158" s="304" t="str">
        <f t="shared" si="95"/>
        <v/>
      </c>
      <c r="BA158" s="304" t="str">
        <f t="shared" si="95"/>
        <v/>
      </c>
      <c r="BB158" s="28"/>
      <c r="BC158" s="304" t="str">
        <f t="shared" si="96"/>
        <v/>
      </c>
      <c r="BD158" s="304" t="str">
        <f t="shared" si="96"/>
        <v/>
      </c>
      <c r="BE158" s="28"/>
      <c r="BF158" s="304" t="str">
        <f t="shared" si="97"/>
        <v/>
      </c>
      <c r="BG158" s="304" t="str">
        <f t="shared" si="97"/>
        <v/>
      </c>
      <c r="BH158" s="28"/>
      <c r="BI158" s="304" t="str">
        <f t="shared" si="98"/>
        <v/>
      </c>
      <c r="BJ158" s="304" t="str">
        <f t="shared" si="98"/>
        <v/>
      </c>
      <c r="BK158" s="28"/>
      <c r="BL158" s="304" t="str">
        <f t="shared" si="99"/>
        <v/>
      </c>
      <c r="BM158" s="304" t="str">
        <f t="shared" si="99"/>
        <v/>
      </c>
      <c r="BN158" s="28"/>
      <c r="BO158" s="304" t="str">
        <f t="shared" si="100"/>
        <v/>
      </c>
      <c r="BP158" s="304" t="str">
        <f t="shared" si="100"/>
        <v/>
      </c>
      <c r="BQ158" s="28"/>
      <c r="BR158" s="304" t="str">
        <f t="shared" si="101"/>
        <v/>
      </c>
      <c r="BS158" s="304" t="str">
        <f t="shared" si="101"/>
        <v/>
      </c>
      <c r="BT158" s="28"/>
      <c r="BU158" s="304" t="str">
        <f t="shared" si="102"/>
        <v/>
      </c>
      <c r="BV158" s="304" t="str">
        <f t="shared" si="102"/>
        <v/>
      </c>
      <c r="BW158" s="28"/>
      <c r="BX158" s="139"/>
    </row>
    <row r="159" spans="1:76" s="122" customFormat="1" x14ac:dyDescent="0.25">
      <c r="A159" s="195">
        <v>6</v>
      </c>
      <c r="B159" s="216" t="str">
        <f t="shared" si="89"/>
        <v xml:space="preserve">: </v>
      </c>
      <c r="C159" s="221"/>
      <c r="D159" s="221"/>
      <c r="E159" s="221"/>
      <c r="F159" s="221"/>
      <c r="G159" s="240"/>
      <c r="H159" s="221"/>
      <c r="I159" s="240"/>
      <c r="J159" s="241"/>
      <c r="K159" s="241"/>
      <c r="L159" s="241"/>
      <c r="M159" s="225" t="str">
        <f t="shared" si="90"/>
        <v>kg of protein/kg of protein</v>
      </c>
      <c r="N159" s="227"/>
      <c r="O159" s="241"/>
      <c r="Q159" s="228"/>
      <c r="R159" s="231" t="str">
        <f t="shared" si="103"/>
        <v/>
      </c>
      <c r="S159" s="230" t="str">
        <f t="shared" si="91"/>
        <v/>
      </c>
      <c r="T159" s="231" t="str">
        <f t="shared" si="92"/>
        <v/>
      </c>
      <c r="U159" s="232" t="str">
        <f t="shared" si="93"/>
        <v>kg of protein/kg of protein</v>
      </c>
      <c r="V159" s="28"/>
      <c r="W159" s="28"/>
      <c r="Y159" s="99"/>
      <c r="AO159" s="139"/>
      <c r="AP159" s="28"/>
      <c r="AQ159" s="28"/>
      <c r="AR159" s="237"/>
      <c r="AS159" s="28"/>
      <c r="AT159" s="304" t="str">
        <f t="shared" si="104"/>
        <v/>
      </c>
      <c r="AU159" s="304" t="str">
        <f t="shared" si="104"/>
        <v/>
      </c>
      <c r="AV159" s="28"/>
      <c r="AW159" s="304" t="str">
        <f t="shared" si="94"/>
        <v/>
      </c>
      <c r="AX159" s="304" t="str">
        <f t="shared" si="94"/>
        <v/>
      </c>
      <c r="AY159" s="28"/>
      <c r="AZ159" s="304" t="str">
        <f t="shared" si="95"/>
        <v/>
      </c>
      <c r="BA159" s="304" t="str">
        <f t="shared" si="95"/>
        <v/>
      </c>
      <c r="BB159" s="28"/>
      <c r="BC159" s="304" t="str">
        <f t="shared" si="96"/>
        <v/>
      </c>
      <c r="BD159" s="304" t="str">
        <f t="shared" si="96"/>
        <v/>
      </c>
      <c r="BE159" s="28"/>
      <c r="BF159" s="304" t="str">
        <f t="shared" si="97"/>
        <v/>
      </c>
      <c r="BG159" s="304" t="str">
        <f t="shared" si="97"/>
        <v/>
      </c>
      <c r="BH159" s="28"/>
      <c r="BI159" s="304" t="str">
        <f t="shared" si="98"/>
        <v/>
      </c>
      <c r="BJ159" s="304" t="str">
        <f t="shared" si="98"/>
        <v/>
      </c>
      <c r="BK159" s="28"/>
      <c r="BL159" s="304" t="str">
        <f t="shared" si="99"/>
        <v/>
      </c>
      <c r="BM159" s="304" t="str">
        <f t="shared" si="99"/>
        <v/>
      </c>
      <c r="BN159" s="28"/>
      <c r="BO159" s="304" t="str">
        <f t="shared" si="100"/>
        <v/>
      </c>
      <c r="BP159" s="304" t="str">
        <f t="shared" si="100"/>
        <v/>
      </c>
      <c r="BQ159" s="28"/>
      <c r="BR159" s="304" t="str">
        <f t="shared" si="101"/>
        <v/>
      </c>
      <c r="BS159" s="304" t="str">
        <f t="shared" si="101"/>
        <v/>
      </c>
      <c r="BT159" s="28"/>
      <c r="BU159" s="304" t="str">
        <f t="shared" si="102"/>
        <v/>
      </c>
      <c r="BV159" s="304" t="str">
        <f t="shared" si="102"/>
        <v/>
      </c>
      <c r="BW159" s="28"/>
      <c r="BX159" s="139"/>
    </row>
    <row r="160" spans="1:76" s="122" customFormat="1" x14ac:dyDescent="0.25">
      <c r="A160" s="195">
        <v>7</v>
      </c>
      <c r="B160" s="216" t="str">
        <f t="shared" si="89"/>
        <v xml:space="preserve">: </v>
      </c>
      <c r="C160" s="221"/>
      <c r="D160" s="221"/>
      <c r="E160" s="221"/>
      <c r="F160" s="221"/>
      <c r="G160" s="240"/>
      <c r="H160" s="221"/>
      <c r="I160" s="240"/>
      <c r="J160" s="241"/>
      <c r="K160" s="241"/>
      <c r="L160" s="241"/>
      <c r="M160" s="225" t="str">
        <f t="shared" si="90"/>
        <v>kg of protein/kg of protein</v>
      </c>
      <c r="N160" s="227"/>
      <c r="O160" s="241"/>
      <c r="Q160" s="228"/>
      <c r="R160" s="231" t="str">
        <f t="shared" si="103"/>
        <v/>
      </c>
      <c r="S160" s="230" t="str">
        <f t="shared" si="91"/>
        <v/>
      </c>
      <c r="T160" s="231" t="str">
        <f t="shared" si="92"/>
        <v/>
      </c>
      <c r="U160" s="232" t="str">
        <f t="shared" si="93"/>
        <v>kg of protein/kg of protein</v>
      </c>
      <c r="V160" s="28"/>
      <c r="W160" s="28"/>
      <c r="Y160" s="99"/>
      <c r="AO160" s="139"/>
      <c r="AP160" s="28"/>
      <c r="AQ160" s="28"/>
      <c r="AR160" s="237"/>
      <c r="AS160" s="28"/>
      <c r="AT160" s="304" t="str">
        <f t="shared" si="104"/>
        <v/>
      </c>
      <c r="AU160" s="304" t="str">
        <f t="shared" si="104"/>
        <v/>
      </c>
      <c r="AV160" s="28"/>
      <c r="AW160" s="304" t="str">
        <f t="shared" si="94"/>
        <v/>
      </c>
      <c r="AX160" s="304" t="str">
        <f t="shared" si="94"/>
        <v/>
      </c>
      <c r="AY160" s="28"/>
      <c r="AZ160" s="304" t="str">
        <f t="shared" si="95"/>
        <v/>
      </c>
      <c r="BA160" s="304" t="str">
        <f t="shared" si="95"/>
        <v/>
      </c>
      <c r="BB160" s="28"/>
      <c r="BC160" s="304" t="str">
        <f t="shared" si="96"/>
        <v/>
      </c>
      <c r="BD160" s="304" t="str">
        <f t="shared" si="96"/>
        <v/>
      </c>
      <c r="BE160" s="28"/>
      <c r="BF160" s="304" t="str">
        <f t="shared" si="97"/>
        <v/>
      </c>
      <c r="BG160" s="304" t="str">
        <f t="shared" si="97"/>
        <v/>
      </c>
      <c r="BH160" s="28"/>
      <c r="BI160" s="304" t="str">
        <f t="shared" si="98"/>
        <v/>
      </c>
      <c r="BJ160" s="304" t="str">
        <f t="shared" si="98"/>
        <v/>
      </c>
      <c r="BK160" s="28"/>
      <c r="BL160" s="304" t="str">
        <f t="shared" si="99"/>
        <v/>
      </c>
      <c r="BM160" s="304" t="str">
        <f t="shared" si="99"/>
        <v/>
      </c>
      <c r="BN160" s="28"/>
      <c r="BO160" s="304" t="str">
        <f t="shared" si="100"/>
        <v/>
      </c>
      <c r="BP160" s="304" t="str">
        <f t="shared" si="100"/>
        <v/>
      </c>
      <c r="BQ160" s="28"/>
      <c r="BR160" s="304" t="str">
        <f t="shared" si="101"/>
        <v/>
      </c>
      <c r="BS160" s="304" t="str">
        <f t="shared" si="101"/>
        <v/>
      </c>
      <c r="BT160" s="28"/>
      <c r="BU160" s="304" t="str">
        <f t="shared" si="102"/>
        <v/>
      </c>
      <c r="BV160" s="304" t="str">
        <f t="shared" si="102"/>
        <v/>
      </c>
      <c r="BW160" s="28"/>
      <c r="BX160" s="139"/>
    </row>
    <row r="161" spans="1:76" s="122" customFormat="1" x14ac:dyDescent="0.25">
      <c r="A161" s="195">
        <v>8</v>
      </c>
      <c r="B161" s="216" t="str">
        <f t="shared" si="89"/>
        <v xml:space="preserve">: </v>
      </c>
      <c r="C161" s="221"/>
      <c r="D161" s="221"/>
      <c r="E161" s="221"/>
      <c r="F161" s="221"/>
      <c r="G161" s="240"/>
      <c r="H161" s="221"/>
      <c r="I161" s="240"/>
      <c r="J161" s="241"/>
      <c r="K161" s="241"/>
      <c r="L161" s="241"/>
      <c r="M161" s="225" t="str">
        <f t="shared" si="90"/>
        <v>kg of protein/kg of protein</v>
      </c>
      <c r="N161" s="227"/>
      <c r="O161" s="241"/>
      <c r="Q161" s="228"/>
      <c r="R161" s="231" t="str">
        <f t="shared" si="103"/>
        <v/>
      </c>
      <c r="S161" s="230" t="str">
        <f t="shared" si="91"/>
        <v/>
      </c>
      <c r="T161" s="231" t="str">
        <f t="shared" si="92"/>
        <v/>
      </c>
      <c r="U161" s="232" t="str">
        <f t="shared" si="93"/>
        <v>kg of protein/kg of protein</v>
      </c>
      <c r="V161" s="28"/>
      <c r="W161" s="28"/>
      <c r="Y161" s="99"/>
      <c r="AO161" s="139"/>
      <c r="AP161" s="28"/>
      <c r="AQ161" s="28"/>
      <c r="AR161" s="237"/>
      <c r="AS161" s="28"/>
      <c r="AT161" s="304" t="str">
        <f t="shared" si="104"/>
        <v/>
      </c>
      <c r="AU161" s="304" t="str">
        <f t="shared" si="104"/>
        <v/>
      </c>
      <c r="AV161" s="28"/>
      <c r="AW161" s="304" t="str">
        <f t="shared" si="94"/>
        <v/>
      </c>
      <c r="AX161" s="304" t="str">
        <f t="shared" si="94"/>
        <v/>
      </c>
      <c r="AY161" s="28"/>
      <c r="AZ161" s="304" t="str">
        <f t="shared" si="95"/>
        <v/>
      </c>
      <c r="BA161" s="304" t="str">
        <f t="shared" si="95"/>
        <v/>
      </c>
      <c r="BB161" s="28"/>
      <c r="BC161" s="304" t="str">
        <f t="shared" si="96"/>
        <v/>
      </c>
      <c r="BD161" s="304" t="str">
        <f t="shared" si="96"/>
        <v/>
      </c>
      <c r="BE161" s="28"/>
      <c r="BF161" s="304" t="str">
        <f t="shared" si="97"/>
        <v/>
      </c>
      <c r="BG161" s="304" t="str">
        <f t="shared" si="97"/>
        <v/>
      </c>
      <c r="BH161" s="28"/>
      <c r="BI161" s="304" t="str">
        <f t="shared" si="98"/>
        <v/>
      </c>
      <c r="BJ161" s="304" t="str">
        <f t="shared" si="98"/>
        <v/>
      </c>
      <c r="BK161" s="28"/>
      <c r="BL161" s="304" t="str">
        <f t="shared" si="99"/>
        <v/>
      </c>
      <c r="BM161" s="304" t="str">
        <f t="shared" si="99"/>
        <v/>
      </c>
      <c r="BN161" s="28"/>
      <c r="BO161" s="304" t="str">
        <f t="shared" si="100"/>
        <v/>
      </c>
      <c r="BP161" s="304" t="str">
        <f t="shared" si="100"/>
        <v/>
      </c>
      <c r="BQ161" s="28"/>
      <c r="BR161" s="304" t="str">
        <f t="shared" si="101"/>
        <v/>
      </c>
      <c r="BS161" s="304" t="str">
        <f t="shared" si="101"/>
        <v/>
      </c>
      <c r="BT161" s="28"/>
      <c r="BU161" s="304" t="str">
        <f t="shared" si="102"/>
        <v/>
      </c>
      <c r="BV161" s="304" t="str">
        <f t="shared" si="102"/>
        <v/>
      </c>
      <c r="BW161" s="28"/>
      <c r="BX161" s="139"/>
    </row>
    <row r="162" spans="1:76" s="122" customFormat="1" x14ac:dyDescent="0.25">
      <c r="A162" s="195">
        <v>9</v>
      </c>
      <c r="B162" s="216" t="str">
        <f t="shared" si="89"/>
        <v xml:space="preserve">: </v>
      </c>
      <c r="C162" s="221"/>
      <c r="D162" s="221"/>
      <c r="E162" s="221"/>
      <c r="F162" s="221"/>
      <c r="G162" s="240"/>
      <c r="H162" s="221"/>
      <c r="I162" s="240"/>
      <c r="J162" s="241"/>
      <c r="K162" s="241"/>
      <c r="L162" s="241"/>
      <c r="M162" s="225" t="str">
        <f t="shared" si="90"/>
        <v>kg of protein/kg of protein</v>
      </c>
      <c r="N162" s="227"/>
      <c r="O162" s="241"/>
      <c r="Q162" s="228"/>
      <c r="R162" s="231" t="str">
        <f t="shared" si="103"/>
        <v/>
      </c>
      <c r="S162" s="230" t="str">
        <f t="shared" si="91"/>
        <v/>
      </c>
      <c r="T162" s="231" t="str">
        <f t="shared" si="92"/>
        <v/>
      </c>
      <c r="U162" s="232" t="str">
        <f t="shared" si="93"/>
        <v>kg of protein/kg of protein</v>
      </c>
      <c r="V162" s="28"/>
      <c r="W162" s="28"/>
      <c r="Y162" s="99"/>
      <c r="AO162" s="139"/>
      <c r="AP162" s="28"/>
      <c r="AQ162" s="28"/>
      <c r="AR162" s="237"/>
      <c r="AS162" s="28"/>
      <c r="AT162" s="304" t="str">
        <f t="shared" si="104"/>
        <v/>
      </c>
      <c r="AU162" s="304" t="str">
        <f t="shared" si="104"/>
        <v/>
      </c>
      <c r="AV162" s="28"/>
      <c r="AW162" s="304" t="str">
        <f t="shared" si="94"/>
        <v/>
      </c>
      <c r="AX162" s="304" t="str">
        <f t="shared" si="94"/>
        <v/>
      </c>
      <c r="AY162" s="28"/>
      <c r="AZ162" s="304" t="str">
        <f t="shared" si="95"/>
        <v/>
      </c>
      <c r="BA162" s="304" t="str">
        <f t="shared" si="95"/>
        <v/>
      </c>
      <c r="BB162" s="28"/>
      <c r="BC162" s="304" t="str">
        <f t="shared" si="96"/>
        <v/>
      </c>
      <c r="BD162" s="304" t="str">
        <f t="shared" si="96"/>
        <v/>
      </c>
      <c r="BE162" s="28"/>
      <c r="BF162" s="304" t="str">
        <f t="shared" si="97"/>
        <v/>
      </c>
      <c r="BG162" s="304" t="str">
        <f t="shared" si="97"/>
        <v/>
      </c>
      <c r="BH162" s="28"/>
      <c r="BI162" s="304" t="str">
        <f t="shared" si="98"/>
        <v/>
      </c>
      <c r="BJ162" s="304" t="str">
        <f t="shared" si="98"/>
        <v/>
      </c>
      <c r="BK162" s="28"/>
      <c r="BL162" s="304" t="str">
        <f t="shared" si="99"/>
        <v/>
      </c>
      <c r="BM162" s="304" t="str">
        <f t="shared" si="99"/>
        <v/>
      </c>
      <c r="BN162" s="28"/>
      <c r="BO162" s="304" t="str">
        <f t="shared" si="100"/>
        <v/>
      </c>
      <c r="BP162" s="304" t="str">
        <f t="shared" si="100"/>
        <v/>
      </c>
      <c r="BQ162" s="28"/>
      <c r="BR162" s="304" t="str">
        <f t="shared" si="101"/>
        <v/>
      </c>
      <c r="BS162" s="304" t="str">
        <f t="shared" si="101"/>
        <v/>
      </c>
      <c r="BT162" s="28"/>
      <c r="BU162" s="304" t="str">
        <f t="shared" si="102"/>
        <v/>
      </c>
      <c r="BV162" s="304" t="str">
        <f t="shared" si="102"/>
        <v/>
      </c>
      <c r="BW162" s="28"/>
      <c r="BX162" s="139"/>
    </row>
    <row r="163" spans="1:76" s="122" customFormat="1" x14ac:dyDescent="0.25">
      <c r="A163" s="195">
        <v>10</v>
      </c>
      <c r="B163" s="216" t="str">
        <f t="shared" si="89"/>
        <v xml:space="preserve">: </v>
      </c>
      <c r="C163" s="221"/>
      <c r="D163" s="221"/>
      <c r="E163" s="221"/>
      <c r="F163" s="221"/>
      <c r="G163" s="240"/>
      <c r="H163" s="221"/>
      <c r="I163" s="240"/>
      <c r="J163" s="241"/>
      <c r="K163" s="241"/>
      <c r="L163" s="241"/>
      <c r="M163" s="225" t="str">
        <f t="shared" si="90"/>
        <v>kg of protein/kg of protein</v>
      </c>
      <c r="N163" s="227"/>
      <c r="O163" s="241"/>
      <c r="Q163" s="228"/>
      <c r="R163" s="231" t="str">
        <f t="shared" si="103"/>
        <v/>
      </c>
      <c r="S163" s="230" t="str">
        <f t="shared" si="91"/>
        <v/>
      </c>
      <c r="T163" s="231" t="str">
        <f t="shared" si="92"/>
        <v/>
      </c>
      <c r="U163" s="232" t="str">
        <f t="shared" si="93"/>
        <v>kg of protein/kg of protein</v>
      </c>
      <c r="V163" s="28"/>
      <c r="W163" s="28"/>
      <c r="Y163" s="99"/>
      <c r="AO163" s="139"/>
      <c r="AP163" s="28"/>
      <c r="AQ163" s="28"/>
      <c r="AR163" s="237"/>
      <c r="AS163" s="28"/>
      <c r="AT163" s="304" t="str">
        <f t="shared" si="104"/>
        <v/>
      </c>
      <c r="AU163" s="304" t="str">
        <f t="shared" si="104"/>
        <v/>
      </c>
      <c r="AV163" s="28"/>
      <c r="AW163" s="304" t="str">
        <f t="shared" si="94"/>
        <v/>
      </c>
      <c r="AX163" s="304" t="str">
        <f t="shared" si="94"/>
        <v/>
      </c>
      <c r="AY163" s="28"/>
      <c r="AZ163" s="304" t="str">
        <f t="shared" si="95"/>
        <v/>
      </c>
      <c r="BA163" s="304" t="str">
        <f t="shared" si="95"/>
        <v/>
      </c>
      <c r="BB163" s="28"/>
      <c r="BC163" s="304" t="str">
        <f t="shared" si="96"/>
        <v/>
      </c>
      <c r="BD163" s="304" t="str">
        <f t="shared" si="96"/>
        <v/>
      </c>
      <c r="BE163" s="28"/>
      <c r="BF163" s="304" t="str">
        <f t="shared" si="97"/>
        <v/>
      </c>
      <c r="BG163" s="304" t="str">
        <f t="shared" si="97"/>
        <v/>
      </c>
      <c r="BH163" s="28"/>
      <c r="BI163" s="304" t="str">
        <f t="shared" si="98"/>
        <v/>
      </c>
      <c r="BJ163" s="304" t="str">
        <f t="shared" si="98"/>
        <v/>
      </c>
      <c r="BK163" s="28"/>
      <c r="BL163" s="304" t="str">
        <f t="shared" si="99"/>
        <v/>
      </c>
      <c r="BM163" s="304" t="str">
        <f t="shared" si="99"/>
        <v/>
      </c>
      <c r="BN163" s="28"/>
      <c r="BO163" s="304" t="str">
        <f t="shared" si="100"/>
        <v/>
      </c>
      <c r="BP163" s="304" t="str">
        <f t="shared" si="100"/>
        <v/>
      </c>
      <c r="BQ163" s="28"/>
      <c r="BR163" s="304" t="str">
        <f t="shared" si="101"/>
        <v/>
      </c>
      <c r="BS163" s="304" t="str">
        <f t="shared" si="101"/>
        <v/>
      </c>
      <c r="BT163" s="28"/>
      <c r="BU163" s="304" t="str">
        <f t="shared" si="102"/>
        <v/>
      </c>
      <c r="BV163" s="304" t="str">
        <f t="shared" si="102"/>
        <v/>
      </c>
      <c r="BW163" s="28"/>
      <c r="BX163" s="139"/>
    </row>
    <row r="164" spans="1:76" s="122" customFormat="1" x14ac:dyDescent="0.25">
      <c r="A164" s="195">
        <v>11</v>
      </c>
      <c r="B164" s="216" t="str">
        <f t="shared" si="89"/>
        <v xml:space="preserve">: </v>
      </c>
      <c r="C164" s="221"/>
      <c r="D164" s="221"/>
      <c r="E164" s="221"/>
      <c r="F164" s="221"/>
      <c r="G164" s="240"/>
      <c r="H164" s="221"/>
      <c r="I164" s="240"/>
      <c r="J164" s="241"/>
      <c r="K164" s="241"/>
      <c r="L164" s="241"/>
      <c r="M164" s="225" t="str">
        <f t="shared" si="90"/>
        <v>kg of protein/kg of protein</v>
      </c>
      <c r="N164" s="227"/>
      <c r="O164" s="241"/>
      <c r="Q164" s="228"/>
      <c r="R164" s="231" t="str">
        <f t="shared" si="103"/>
        <v/>
      </c>
      <c r="S164" s="230" t="str">
        <f t="shared" si="91"/>
        <v/>
      </c>
      <c r="T164" s="231" t="str">
        <f t="shared" si="92"/>
        <v/>
      </c>
      <c r="U164" s="232" t="str">
        <f t="shared" si="93"/>
        <v>kg of protein/kg of protein</v>
      </c>
      <c r="V164" s="28"/>
      <c r="W164" s="28"/>
      <c r="Y164" s="99"/>
      <c r="AO164" s="139"/>
      <c r="AP164" s="28"/>
      <c r="AQ164" s="28"/>
      <c r="AR164" s="237"/>
      <c r="AS164" s="28"/>
      <c r="AT164" s="304" t="str">
        <f t="shared" si="104"/>
        <v/>
      </c>
      <c r="AU164" s="304" t="str">
        <f t="shared" si="104"/>
        <v/>
      </c>
      <c r="AV164" s="28"/>
      <c r="AW164" s="304" t="str">
        <f t="shared" si="94"/>
        <v/>
      </c>
      <c r="AX164" s="304" t="str">
        <f t="shared" si="94"/>
        <v/>
      </c>
      <c r="AY164" s="28"/>
      <c r="AZ164" s="304" t="str">
        <f t="shared" si="95"/>
        <v/>
      </c>
      <c r="BA164" s="304" t="str">
        <f t="shared" si="95"/>
        <v/>
      </c>
      <c r="BB164" s="28"/>
      <c r="BC164" s="304" t="str">
        <f t="shared" si="96"/>
        <v/>
      </c>
      <c r="BD164" s="304" t="str">
        <f t="shared" si="96"/>
        <v/>
      </c>
      <c r="BE164" s="28"/>
      <c r="BF164" s="304" t="str">
        <f t="shared" si="97"/>
        <v/>
      </c>
      <c r="BG164" s="304" t="str">
        <f t="shared" si="97"/>
        <v/>
      </c>
      <c r="BH164" s="28"/>
      <c r="BI164" s="304" t="str">
        <f t="shared" si="98"/>
        <v/>
      </c>
      <c r="BJ164" s="304" t="str">
        <f t="shared" si="98"/>
        <v/>
      </c>
      <c r="BK164" s="28"/>
      <c r="BL164" s="304" t="str">
        <f t="shared" si="99"/>
        <v/>
      </c>
      <c r="BM164" s="304" t="str">
        <f t="shared" si="99"/>
        <v/>
      </c>
      <c r="BN164" s="28"/>
      <c r="BO164" s="304" t="str">
        <f t="shared" si="100"/>
        <v/>
      </c>
      <c r="BP164" s="304" t="str">
        <f t="shared" si="100"/>
        <v/>
      </c>
      <c r="BQ164" s="28"/>
      <c r="BR164" s="304" t="str">
        <f t="shared" si="101"/>
        <v/>
      </c>
      <c r="BS164" s="304" t="str">
        <f t="shared" si="101"/>
        <v/>
      </c>
      <c r="BT164" s="28"/>
      <c r="BU164" s="304" t="str">
        <f t="shared" si="102"/>
        <v/>
      </c>
      <c r="BV164" s="304" t="str">
        <f t="shared" si="102"/>
        <v/>
      </c>
      <c r="BW164" s="28"/>
      <c r="BX164" s="139"/>
    </row>
    <row r="165" spans="1:76" s="122" customFormat="1" x14ac:dyDescent="0.25">
      <c r="A165" s="195">
        <v>12</v>
      </c>
      <c r="B165" s="216" t="str">
        <f t="shared" si="89"/>
        <v xml:space="preserve">: </v>
      </c>
      <c r="C165" s="221"/>
      <c r="D165" s="221"/>
      <c r="E165" s="221"/>
      <c r="F165" s="221"/>
      <c r="G165" s="240"/>
      <c r="H165" s="221"/>
      <c r="I165" s="240"/>
      <c r="J165" s="241"/>
      <c r="K165" s="241"/>
      <c r="L165" s="241"/>
      <c r="M165" s="225" t="str">
        <f t="shared" si="90"/>
        <v>kg of protein/kg of protein</v>
      </c>
      <c r="N165" s="227"/>
      <c r="O165" s="241"/>
      <c r="Q165" s="228"/>
      <c r="R165" s="231" t="str">
        <f t="shared" si="103"/>
        <v/>
      </c>
      <c r="S165" s="230" t="str">
        <f t="shared" si="91"/>
        <v/>
      </c>
      <c r="T165" s="231" t="str">
        <f t="shared" si="92"/>
        <v/>
      </c>
      <c r="U165" s="232" t="str">
        <f t="shared" si="93"/>
        <v>kg of protein/kg of protein</v>
      </c>
      <c r="V165" s="28"/>
      <c r="W165" s="28"/>
      <c r="Y165" s="99"/>
      <c r="AO165" s="139"/>
      <c r="AP165" s="28"/>
      <c r="AQ165" s="28"/>
      <c r="AR165" s="237"/>
      <c r="AS165" s="28"/>
      <c r="AT165" s="304" t="str">
        <f t="shared" si="104"/>
        <v/>
      </c>
      <c r="AU165" s="304" t="str">
        <f t="shared" si="104"/>
        <v/>
      </c>
      <c r="AV165" s="28"/>
      <c r="AW165" s="304" t="str">
        <f t="shared" si="94"/>
        <v/>
      </c>
      <c r="AX165" s="304" t="str">
        <f t="shared" si="94"/>
        <v/>
      </c>
      <c r="AY165" s="28"/>
      <c r="AZ165" s="304" t="str">
        <f t="shared" si="95"/>
        <v/>
      </c>
      <c r="BA165" s="304" t="str">
        <f t="shared" si="95"/>
        <v/>
      </c>
      <c r="BB165" s="28"/>
      <c r="BC165" s="304" t="str">
        <f t="shared" si="96"/>
        <v/>
      </c>
      <c r="BD165" s="304" t="str">
        <f t="shared" si="96"/>
        <v/>
      </c>
      <c r="BE165" s="28"/>
      <c r="BF165" s="304" t="str">
        <f t="shared" si="97"/>
        <v/>
      </c>
      <c r="BG165" s="304" t="str">
        <f t="shared" si="97"/>
        <v/>
      </c>
      <c r="BH165" s="28"/>
      <c r="BI165" s="304" t="str">
        <f t="shared" si="98"/>
        <v/>
      </c>
      <c r="BJ165" s="304" t="str">
        <f t="shared" si="98"/>
        <v/>
      </c>
      <c r="BK165" s="28"/>
      <c r="BL165" s="304" t="str">
        <f t="shared" si="99"/>
        <v/>
      </c>
      <c r="BM165" s="304" t="str">
        <f t="shared" si="99"/>
        <v/>
      </c>
      <c r="BN165" s="28"/>
      <c r="BO165" s="304" t="str">
        <f t="shared" si="100"/>
        <v/>
      </c>
      <c r="BP165" s="304" t="str">
        <f t="shared" si="100"/>
        <v/>
      </c>
      <c r="BQ165" s="28"/>
      <c r="BR165" s="304" t="str">
        <f t="shared" si="101"/>
        <v/>
      </c>
      <c r="BS165" s="304" t="str">
        <f t="shared" si="101"/>
        <v/>
      </c>
      <c r="BT165" s="28"/>
      <c r="BU165" s="304" t="str">
        <f t="shared" si="102"/>
        <v/>
      </c>
      <c r="BV165" s="304" t="str">
        <f t="shared" si="102"/>
        <v/>
      </c>
      <c r="BW165" s="28"/>
      <c r="BX165" s="139"/>
    </row>
    <row r="166" spans="1:76" s="122" customFormat="1" x14ac:dyDescent="0.25">
      <c r="A166" s="195">
        <v>13</v>
      </c>
      <c r="B166" s="216" t="str">
        <f t="shared" si="89"/>
        <v xml:space="preserve">: </v>
      </c>
      <c r="C166" s="221"/>
      <c r="D166" s="221"/>
      <c r="E166" s="221"/>
      <c r="F166" s="221"/>
      <c r="G166" s="240"/>
      <c r="H166" s="221"/>
      <c r="I166" s="240"/>
      <c r="J166" s="241"/>
      <c r="K166" s="241"/>
      <c r="L166" s="241"/>
      <c r="M166" s="225" t="str">
        <f t="shared" si="90"/>
        <v>kg of protein/kg of protein</v>
      </c>
      <c r="N166" s="227"/>
      <c r="O166" s="241"/>
      <c r="Q166" s="228"/>
      <c r="R166" s="231" t="str">
        <f t="shared" si="103"/>
        <v/>
      </c>
      <c r="S166" s="230" t="str">
        <f t="shared" si="91"/>
        <v/>
      </c>
      <c r="T166" s="231" t="str">
        <f t="shared" si="92"/>
        <v/>
      </c>
      <c r="U166" s="232" t="str">
        <f t="shared" si="93"/>
        <v>kg of protein/kg of protein</v>
      </c>
      <c r="V166" s="28"/>
      <c r="W166" s="28"/>
      <c r="Y166" s="99"/>
      <c r="AO166" s="139"/>
      <c r="AP166" s="28"/>
      <c r="AQ166" s="28"/>
      <c r="AR166" s="237"/>
      <c r="AS166" s="28"/>
      <c r="AT166" s="304" t="str">
        <f t="shared" si="104"/>
        <v/>
      </c>
      <c r="AU166" s="304" t="str">
        <f t="shared" si="104"/>
        <v/>
      </c>
      <c r="AV166" s="28"/>
      <c r="AW166" s="304" t="str">
        <f t="shared" si="94"/>
        <v/>
      </c>
      <c r="AX166" s="304" t="str">
        <f t="shared" si="94"/>
        <v/>
      </c>
      <c r="AY166" s="28"/>
      <c r="AZ166" s="304" t="str">
        <f t="shared" si="95"/>
        <v/>
      </c>
      <c r="BA166" s="304" t="str">
        <f t="shared" si="95"/>
        <v/>
      </c>
      <c r="BB166" s="28"/>
      <c r="BC166" s="304" t="str">
        <f t="shared" si="96"/>
        <v/>
      </c>
      <c r="BD166" s="304" t="str">
        <f t="shared" si="96"/>
        <v/>
      </c>
      <c r="BE166" s="28"/>
      <c r="BF166" s="304" t="str">
        <f t="shared" si="97"/>
        <v/>
      </c>
      <c r="BG166" s="304" t="str">
        <f t="shared" si="97"/>
        <v/>
      </c>
      <c r="BH166" s="28"/>
      <c r="BI166" s="304" t="str">
        <f t="shared" si="98"/>
        <v/>
      </c>
      <c r="BJ166" s="304" t="str">
        <f t="shared" si="98"/>
        <v/>
      </c>
      <c r="BK166" s="28"/>
      <c r="BL166" s="304" t="str">
        <f t="shared" si="99"/>
        <v/>
      </c>
      <c r="BM166" s="304" t="str">
        <f t="shared" si="99"/>
        <v/>
      </c>
      <c r="BN166" s="28"/>
      <c r="BO166" s="304" t="str">
        <f t="shared" si="100"/>
        <v/>
      </c>
      <c r="BP166" s="304" t="str">
        <f t="shared" si="100"/>
        <v/>
      </c>
      <c r="BQ166" s="28"/>
      <c r="BR166" s="304" t="str">
        <f t="shared" si="101"/>
        <v/>
      </c>
      <c r="BS166" s="304" t="str">
        <f t="shared" si="101"/>
        <v/>
      </c>
      <c r="BT166" s="28"/>
      <c r="BU166" s="304" t="str">
        <f t="shared" si="102"/>
        <v/>
      </c>
      <c r="BV166" s="304" t="str">
        <f t="shared" si="102"/>
        <v/>
      </c>
      <c r="BW166" s="28"/>
      <c r="BX166" s="139"/>
    </row>
    <row r="167" spans="1:76" s="122" customFormat="1" x14ac:dyDescent="0.25">
      <c r="A167" s="195">
        <v>14</v>
      </c>
      <c r="B167" s="216" t="str">
        <f t="shared" si="89"/>
        <v xml:space="preserve">: </v>
      </c>
      <c r="C167" s="221"/>
      <c r="D167" s="221"/>
      <c r="E167" s="221"/>
      <c r="F167" s="221"/>
      <c r="G167" s="240"/>
      <c r="H167" s="221"/>
      <c r="I167" s="240"/>
      <c r="J167" s="241"/>
      <c r="K167" s="241"/>
      <c r="L167" s="241"/>
      <c r="M167" s="225" t="str">
        <f t="shared" si="90"/>
        <v>kg of protein/kg of protein</v>
      </c>
      <c r="N167" s="227"/>
      <c r="O167" s="241"/>
      <c r="Q167" s="228"/>
      <c r="R167" s="231" t="str">
        <f t="shared" si="103"/>
        <v/>
      </c>
      <c r="S167" s="230" t="str">
        <f t="shared" si="91"/>
        <v/>
      </c>
      <c r="T167" s="231" t="str">
        <f t="shared" si="92"/>
        <v/>
      </c>
      <c r="U167" s="232" t="str">
        <f t="shared" si="93"/>
        <v>kg of protein/kg of protein</v>
      </c>
      <c r="V167" s="28"/>
      <c r="W167" s="28"/>
      <c r="Y167" s="99"/>
      <c r="AO167" s="139"/>
      <c r="AP167" s="28"/>
      <c r="AQ167" s="28"/>
      <c r="AR167" s="237"/>
      <c r="AS167" s="28"/>
      <c r="AT167" s="304" t="str">
        <f t="shared" si="104"/>
        <v/>
      </c>
      <c r="AU167" s="304" t="str">
        <f t="shared" si="104"/>
        <v/>
      </c>
      <c r="AV167" s="28"/>
      <c r="AW167" s="304" t="str">
        <f t="shared" si="94"/>
        <v/>
      </c>
      <c r="AX167" s="304" t="str">
        <f t="shared" si="94"/>
        <v/>
      </c>
      <c r="AY167" s="28"/>
      <c r="AZ167" s="304" t="str">
        <f t="shared" si="95"/>
        <v/>
      </c>
      <c r="BA167" s="304" t="str">
        <f t="shared" si="95"/>
        <v/>
      </c>
      <c r="BB167" s="28"/>
      <c r="BC167" s="304" t="str">
        <f t="shared" si="96"/>
        <v/>
      </c>
      <c r="BD167" s="304" t="str">
        <f t="shared" si="96"/>
        <v/>
      </c>
      <c r="BE167" s="28"/>
      <c r="BF167" s="304" t="str">
        <f t="shared" si="97"/>
        <v/>
      </c>
      <c r="BG167" s="304" t="str">
        <f t="shared" si="97"/>
        <v/>
      </c>
      <c r="BH167" s="28"/>
      <c r="BI167" s="304" t="str">
        <f t="shared" si="98"/>
        <v/>
      </c>
      <c r="BJ167" s="304" t="str">
        <f t="shared" si="98"/>
        <v/>
      </c>
      <c r="BK167" s="28"/>
      <c r="BL167" s="304" t="str">
        <f t="shared" si="99"/>
        <v/>
      </c>
      <c r="BM167" s="304" t="str">
        <f t="shared" si="99"/>
        <v/>
      </c>
      <c r="BN167" s="28"/>
      <c r="BO167" s="304" t="str">
        <f t="shared" si="100"/>
        <v/>
      </c>
      <c r="BP167" s="304" t="str">
        <f t="shared" si="100"/>
        <v/>
      </c>
      <c r="BQ167" s="28"/>
      <c r="BR167" s="304" t="str">
        <f t="shared" si="101"/>
        <v/>
      </c>
      <c r="BS167" s="304" t="str">
        <f t="shared" si="101"/>
        <v/>
      </c>
      <c r="BT167" s="28"/>
      <c r="BU167" s="304" t="str">
        <f t="shared" si="102"/>
        <v/>
      </c>
      <c r="BV167" s="304" t="str">
        <f t="shared" si="102"/>
        <v/>
      </c>
      <c r="BW167" s="28"/>
      <c r="BX167" s="139"/>
    </row>
    <row r="168" spans="1:76" s="122" customFormat="1" x14ac:dyDescent="0.25">
      <c r="A168" s="195">
        <v>15</v>
      </c>
      <c r="B168" s="216" t="str">
        <f t="shared" si="89"/>
        <v xml:space="preserve">: </v>
      </c>
      <c r="C168" s="221"/>
      <c r="D168" s="221"/>
      <c r="E168" s="221"/>
      <c r="F168" s="221"/>
      <c r="G168" s="240"/>
      <c r="H168" s="221"/>
      <c r="I168" s="240"/>
      <c r="J168" s="241"/>
      <c r="K168" s="241"/>
      <c r="L168" s="241"/>
      <c r="M168" s="225" t="str">
        <f t="shared" si="90"/>
        <v>kg of protein/kg of protein</v>
      </c>
      <c r="N168" s="227"/>
      <c r="O168" s="241"/>
      <c r="Q168" s="228"/>
      <c r="R168" s="231" t="str">
        <f t="shared" si="103"/>
        <v/>
      </c>
      <c r="S168" s="230" t="str">
        <f t="shared" si="91"/>
        <v/>
      </c>
      <c r="T168" s="231" t="str">
        <f t="shared" si="92"/>
        <v/>
      </c>
      <c r="U168" s="232" t="str">
        <f t="shared" si="93"/>
        <v>kg of protein/kg of protein</v>
      </c>
      <c r="V168" s="28"/>
      <c r="W168" s="28"/>
      <c r="Y168" s="99"/>
      <c r="AO168" s="139"/>
      <c r="AP168" s="28"/>
      <c r="AQ168" s="28"/>
      <c r="AR168" s="237"/>
      <c r="AS168" s="28"/>
      <c r="AT168" s="304" t="str">
        <f t="shared" si="104"/>
        <v/>
      </c>
      <c r="AU168" s="304" t="str">
        <f t="shared" si="104"/>
        <v/>
      </c>
      <c r="AV168" s="28"/>
      <c r="AW168" s="304" t="str">
        <f t="shared" si="94"/>
        <v/>
      </c>
      <c r="AX168" s="304" t="str">
        <f t="shared" si="94"/>
        <v/>
      </c>
      <c r="AY168" s="28"/>
      <c r="AZ168" s="304" t="str">
        <f t="shared" si="95"/>
        <v/>
      </c>
      <c r="BA168" s="304" t="str">
        <f t="shared" si="95"/>
        <v/>
      </c>
      <c r="BB168" s="28"/>
      <c r="BC168" s="304" t="str">
        <f t="shared" si="96"/>
        <v/>
      </c>
      <c r="BD168" s="304" t="str">
        <f t="shared" si="96"/>
        <v/>
      </c>
      <c r="BE168" s="28"/>
      <c r="BF168" s="304" t="str">
        <f t="shared" si="97"/>
        <v/>
      </c>
      <c r="BG168" s="304" t="str">
        <f t="shared" si="97"/>
        <v/>
      </c>
      <c r="BH168" s="28"/>
      <c r="BI168" s="304" t="str">
        <f t="shared" si="98"/>
        <v/>
      </c>
      <c r="BJ168" s="304" t="str">
        <f t="shared" si="98"/>
        <v/>
      </c>
      <c r="BK168" s="28"/>
      <c r="BL168" s="304" t="str">
        <f t="shared" si="99"/>
        <v/>
      </c>
      <c r="BM168" s="304" t="str">
        <f t="shared" si="99"/>
        <v/>
      </c>
      <c r="BN168" s="28"/>
      <c r="BO168" s="304" t="str">
        <f t="shared" si="100"/>
        <v/>
      </c>
      <c r="BP168" s="304" t="str">
        <f t="shared" si="100"/>
        <v/>
      </c>
      <c r="BQ168" s="28"/>
      <c r="BR168" s="304" t="str">
        <f t="shared" si="101"/>
        <v/>
      </c>
      <c r="BS168" s="304" t="str">
        <f t="shared" si="101"/>
        <v/>
      </c>
      <c r="BT168" s="28"/>
      <c r="BU168" s="304" t="str">
        <f t="shared" si="102"/>
        <v/>
      </c>
      <c r="BV168" s="304" t="str">
        <f t="shared" si="102"/>
        <v/>
      </c>
      <c r="BW168" s="28"/>
      <c r="BX168" s="139"/>
    </row>
    <row r="169" spans="1:76" s="122" customFormat="1" x14ac:dyDescent="0.25">
      <c r="A169" s="195">
        <v>16</v>
      </c>
      <c r="B169" s="216" t="str">
        <f t="shared" si="89"/>
        <v xml:space="preserve">: </v>
      </c>
      <c r="C169" s="221"/>
      <c r="D169" s="221"/>
      <c r="E169" s="221"/>
      <c r="F169" s="221"/>
      <c r="G169" s="240"/>
      <c r="H169" s="221"/>
      <c r="I169" s="240"/>
      <c r="J169" s="241"/>
      <c r="K169" s="241"/>
      <c r="L169" s="241"/>
      <c r="M169" s="225" t="str">
        <f t="shared" si="90"/>
        <v>kg of protein/kg of protein</v>
      </c>
      <c r="N169" s="227"/>
      <c r="O169" s="241"/>
      <c r="Q169" s="228"/>
      <c r="R169" s="231" t="str">
        <f t="shared" si="103"/>
        <v/>
      </c>
      <c r="S169" s="230" t="str">
        <f t="shared" si="91"/>
        <v/>
      </c>
      <c r="T169" s="231" t="str">
        <f t="shared" si="92"/>
        <v/>
      </c>
      <c r="U169" s="232" t="str">
        <f t="shared" si="93"/>
        <v>kg of protein/kg of protein</v>
      </c>
      <c r="V169" s="28"/>
      <c r="W169" s="28"/>
      <c r="Y169" s="99"/>
      <c r="AO169" s="139"/>
      <c r="AP169" s="28"/>
      <c r="AQ169" s="28"/>
      <c r="AR169" s="237"/>
      <c r="AS169" s="28"/>
      <c r="AT169" s="304" t="str">
        <f t="shared" si="104"/>
        <v/>
      </c>
      <c r="AU169" s="304" t="str">
        <f t="shared" si="104"/>
        <v/>
      </c>
      <c r="AV169" s="28"/>
      <c r="AW169" s="304" t="str">
        <f t="shared" si="94"/>
        <v/>
      </c>
      <c r="AX169" s="304" t="str">
        <f t="shared" si="94"/>
        <v/>
      </c>
      <c r="AY169" s="28"/>
      <c r="AZ169" s="304" t="str">
        <f t="shared" si="95"/>
        <v/>
      </c>
      <c r="BA169" s="304" t="str">
        <f t="shared" si="95"/>
        <v/>
      </c>
      <c r="BB169" s="28"/>
      <c r="BC169" s="304" t="str">
        <f t="shared" si="96"/>
        <v/>
      </c>
      <c r="BD169" s="304" t="str">
        <f t="shared" si="96"/>
        <v/>
      </c>
      <c r="BE169" s="28"/>
      <c r="BF169" s="304" t="str">
        <f t="shared" si="97"/>
        <v/>
      </c>
      <c r="BG169" s="304" t="str">
        <f t="shared" si="97"/>
        <v/>
      </c>
      <c r="BH169" s="28"/>
      <c r="BI169" s="304" t="str">
        <f t="shared" si="98"/>
        <v/>
      </c>
      <c r="BJ169" s="304" t="str">
        <f t="shared" si="98"/>
        <v/>
      </c>
      <c r="BK169" s="28"/>
      <c r="BL169" s="304" t="str">
        <f t="shared" si="99"/>
        <v/>
      </c>
      <c r="BM169" s="304" t="str">
        <f t="shared" si="99"/>
        <v/>
      </c>
      <c r="BN169" s="28"/>
      <c r="BO169" s="304" t="str">
        <f t="shared" si="100"/>
        <v/>
      </c>
      <c r="BP169" s="304" t="str">
        <f t="shared" si="100"/>
        <v/>
      </c>
      <c r="BQ169" s="28"/>
      <c r="BR169" s="304" t="str">
        <f t="shared" si="101"/>
        <v/>
      </c>
      <c r="BS169" s="304" t="str">
        <f t="shared" si="101"/>
        <v/>
      </c>
      <c r="BT169" s="28"/>
      <c r="BU169" s="304" t="str">
        <f t="shared" si="102"/>
        <v/>
      </c>
      <c r="BV169" s="304" t="str">
        <f t="shared" si="102"/>
        <v/>
      </c>
      <c r="BW169" s="28"/>
      <c r="BX169" s="139"/>
    </row>
    <row r="170" spans="1:76" s="122" customFormat="1" x14ac:dyDescent="0.25">
      <c r="A170" s="195">
        <v>17</v>
      </c>
      <c r="B170" s="216" t="str">
        <f t="shared" si="89"/>
        <v xml:space="preserve">: </v>
      </c>
      <c r="C170" s="221"/>
      <c r="D170" s="221"/>
      <c r="E170" s="221"/>
      <c r="F170" s="221"/>
      <c r="G170" s="240"/>
      <c r="H170" s="221"/>
      <c r="I170" s="240"/>
      <c r="J170" s="241"/>
      <c r="K170" s="241"/>
      <c r="L170" s="241"/>
      <c r="M170" s="225" t="str">
        <f t="shared" si="90"/>
        <v>kg of protein/kg of protein</v>
      </c>
      <c r="N170" s="227"/>
      <c r="O170" s="241"/>
      <c r="Q170" s="228"/>
      <c r="R170" s="231" t="str">
        <f t="shared" si="103"/>
        <v/>
      </c>
      <c r="S170" s="230" t="str">
        <f t="shared" si="91"/>
        <v/>
      </c>
      <c r="T170" s="231" t="str">
        <f t="shared" si="92"/>
        <v/>
      </c>
      <c r="U170" s="232" t="str">
        <f t="shared" si="93"/>
        <v>kg of protein/kg of protein</v>
      </c>
      <c r="V170" s="28"/>
      <c r="W170" s="28"/>
      <c r="Y170" s="99"/>
      <c r="AO170" s="139"/>
      <c r="AP170" s="28"/>
      <c r="AQ170" s="28"/>
      <c r="AR170" s="237"/>
      <c r="AS170" s="28"/>
      <c r="AT170" s="304" t="str">
        <f t="shared" si="104"/>
        <v/>
      </c>
      <c r="AU170" s="304" t="str">
        <f t="shared" si="104"/>
        <v/>
      </c>
      <c r="AV170" s="28"/>
      <c r="AW170" s="304" t="str">
        <f t="shared" si="94"/>
        <v/>
      </c>
      <c r="AX170" s="304" t="str">
        <f t="shared" si="94"/>
        <v/>
      </c>
      <c r="AY170" s="28"/>
      <c r="AZ170" s="304" t="str">
        <f t="shared" si="95"/>
        <v/>
      </c>
      <c r="BA170" s="304" t="str">
        <f t="shared" si="95"/>
        <v/>
      </c>
      <c r="BB170" s="28"/>
      <c r="BC170" s="304" t="str">
        <f t="shared" si="96"/>
        <v/>
      </c>
      <c r="BD170" s="304" t="str">
        <f t="shared" si="96"/>
        <v/>
      </c>
      <c r="BE170" s="28"/>
      <c r="BF170" s="304" t="str">
        <f t="shared" si="97"/>
        <v/>
      </c>
      <c r="BG170" s="304" t="str">
        <f t="shared" si="97"/>
        <v/>
      </c>
      <c r="BH170" s="28"/>
      <c r="BI170" s="304" t="str">
        <f t="shared" si="98"/>
        <v/>
      </c>
      <c r="BJ170" s="304" t="str">
        <f t="shared" si="98"/>
        <v/>
      </c>
      <c r="BK170" s="28"/>
      <c r="BL170" s="304" t="str">
        <f t="shared" si="99"/>
        <v/>
      </c>
      <c r="BM170" s="304" t="str">
        <f t="shared" si="99"/>
        <v/>
      </c>
      <c r="BN170" s="28"/>
      <c r="BO170" s="304" t="str">
        <f t="shared" si="100"/>
        <v/>
      </c>
      <c r="BP170" s="304" t="str">
        <f t="shared" si="100"/>
        <v/>
      </c>
      <c r="BQ170" s="28"/>
      <c r="BR170" s="304" t="str">
        <f t="shared" si="101"/>
        <v/>
      </c>
      <c r="BS170" s="304" t="str">
        <f t="shared" si="101"/>
        <v/>
      </c>
      <c r="BT170" s="28"/>
      <c r="BU170" s="304" t="str">
        <f t="shared" si="102"/>
        <v/>
      </c>
      <c r="BV170" s="304" t="str">
        <f t="shared" si="102"/>
        <v/>
      </c>
      <c r="BW170" s="28"/>
      <c r="BX170" s="139"/>
    </row>
    <row r="171" spans="1:76" s="122" customFormat="1" x14ac:dyDescent="0.25">
      <c r="A171" s="195">
        <v>18</v>
      </c>
      <c r="B171" s="216" t="str">
        <f t="shared" si="89"/>
        <v xml:space="preserve">: </v>
      </c>
      <c r="C171" s="221"/>
      <c r="D171" s="221"/>
      <c r="E171" s="221"/>
      <c r="F171" s="221"/>
      <c r="G171" s="240"/>
      <c r="H171" s="221"/>
      <c r="I171" s="240"/>
      <c r="J171" s="241"/>
      <c r="K171" s="241"/>
      <c r="L171" s="241"/>
      <c r="M171" s="225" t="str">
        <f t="shared" si="90"/>
        <v>kg of protein/kg of protein</v>
      </c>
      <c r="N171" s="227"/>
      <c r="O171" s="241"/>
      <c r="Q171" s="228"/>
      <c r="R171" s="231" t="str">
        <f t="shared" si="103"/>
        <v/>
      </c>
      <c r="S171" s="230" t="str">
        <f t="shared" si="91"/>
        <v/>
      </c>
      <c r="T171" s="231" t="str">
        <f t="shared" si="92"/>
        <v/>
      </c>
      <c r="U171" s="232" t="str">
        <f t="shared" si="93"/>
        <v>kg of protein/kg of protein</v>
      </c>
      <c r="V171" s="28"/>
      <c r="W171" s="28"/>
      <c r="Y171" s="99"/>
      <c r="AO171" s="139"/>
      <c r="AP171" s="28"/>
      <c r="AQ171" s="28"/>
      <c r="AR171" s="237"/>
      <c r="AS171" s="28"/>
      <c r="AT171" s="304" t="str">
        <f t="shared" si="104"/>
        <v/>
      </c>
      <c r="AU171" s="304" t="str">
        <f t="shared" si="104"/>
        <v/>
      </c>
      <c r="AV171" s="28"/>
      <c r="AW171" s="304" t="str">
        <f t="shared" si="94"/>
        <v/>
      </c>
      <c r="AX171" s="304" t="str">
        <f t="shared" si="94"/>
        <v/>
      </c>
      <c r="AY171" s="28"/>
      <c r="AZ171" s="304" t="str">
        <f t="shared" si="95"/>
        <v/>
      </c>
      <c r="BA171" s="304" t="str">
        <f t="shared" si="95"/>
        <v/>
      </c>
      <c r="BB171" s="28"/>
      <c r="BC171" s="304" t="str">
        <f t="shared" si="96"/>
        <v/>
      </c>
      <c r="BD171" s="304" t="str">
        <f t="shared" si="96"/>
        <v/>
      </c>
      <c r="BE171" s="28"/>
      <c r="BF171" s="304" t="str">
        <f t="shared" si="97"/>
        <v/>
      </c>
      <c r="BG171" s="304" t="str">
        <f t="shared" si="97"/>
        <v/>
      </c>
      <c r="BH171" s="28"/>
      <c r="BI171" s="304" t="str">
        <f t="shared" si="98"/>
        <v/>
      </c>
      <c r="BJ171" s="304" t="str">
        <f t="shared" si="98"/>
        <v/>
      </c>
      <c r="BK171" s="28"/>
      <c r="BL171" s="304" t="str">
        <f t="shared" si="99"/>
        <v/>
      </c>
      <c r="BM171" s="304" t="str">
        <f t="shared" si="99"/>
        <v/>
      </c>
      <c r="BN171" s="28"/>
      <c r="BO171" s="304" t="str">
        <f t="shared" si="100"/>
        <v/>
      </c>
      <c r="BP171" s="304" t="str">
        <f t="shared" si="100"/>
        <v/>
      </c>
      <c r="BQ171" s="28"/>
      <c r="BR171" s="304" t="str">
        <f t="shared" si="101"/>
        <v/>
      </c>
      <c r="BS171" s="304" t="str">
        <f t="shared" si="101"/>
        <v/>
      </c>
      <c r="BT171" s="28"/>
      <c r="BU171" s="304" t="str">
        <f t="shared" si="102"/>
        <v/>
      </c>
      <c r="BV171" s="304" t="str">
        <f t="shared" si="102"/>
        <v/>
      </c>
      <c r="BW171" s="28"/>
      <c r="BX171" s="139"/>
    </row>
    <row r="172" spans="1:76" s="122" customFormat="1" x14ac:dyDescent="0.25">
      <c r="A172" s="195">
        <v>19</v>
      </c>
      <c r="B172" s="216" t="str">
        <f t="shared" si="89"/>
        <v xml:space="preserve">: </v>
      </c>
      <c r="C172" s="221"/>
      <c r="D172" s="221"/>
      <c r="E172" s="221"/>
      <c r="F172" s="221"/>
      <c r="G172" s="240"/>
      <c r="H172" s="221"/>
      <c r="I172" s="240"/>
      <c r="J172" s="241"/>
      <c r="K172" s="241"/>
      <c r="L172" s="241"/>
      <c r="M172" s="225" t="str">
        <f t="shared" si="90"/>
        <v>kg of protein/kg of protein</v>
      </c>
      <c r="N172" s="227"/>
      <c r="O172" s="241"/>
      <c r="Q172" s="228"/>
      <c r="R172" s="231" t="str">
        <f t="shared" si="103"/>
        <v/>
      </c>
      <c r="S172" s="230" t="str">
        <f t="shared" si="91"/>
        <v/>
      </c>
      <c r="T172" s="231" t="str">
        <f t="shared" si="92"/>
        <v/>
      </c>
      <c r="U172" s="232" t="str">
        <f t="shared" si="93"/>
        <v>kg of protein/kg of protein</v>
      </c>
      <c r="V172" s="28"/>
      <c r="W172" s="28"/>
      <c r="Y172" s="99"/>
      <c r="AO172" s="139"/>
      <c r="AP172" s="28"/>
      <c r="AQ172" s="28"/>
      <c r="AR172" s="237"/>
      <c r="AS172" s="28"/>
      <c r="AT172" s="304" t="str">
        <f t="shared" si="104"/>
        <v/>
      </c>
      <c r="AU172" s="304" t="str">
        <f t="shared" si="104"/>
        <v/>
      </c>
      <c r="AV172" s="28"/>
      <c r="AW172" s="304" t="str">
        <f t="shared" si="94"/>
        <v/>
      </c>
      <c r="AX172" s="304" t="str">
        <f t="shared" si="94"/>
        <v/>
      </c>
      <c r="AY172" s="28"/>
      <c r="AZ172" s="304" t="str">
        <f t="shared" si="95"/>
        <v/>
      </c>
      <c r="BA172" s="304" t="str">
        <f t="shared" si="95"/>
        <v/>
      </c>
      <c r="BB172" s="28"/>
      <c r="BC172" s="304" t="str">
        <f t="shared" si="96"/>
        <v/>
      </c>
      <c r="BD172" s="304" t="str">
        <f t="shared" si="96"/>
        <v/>
      </c>
      <c r="BE172" s="28"/>
      <c r="BF172" s="304" t="str">
        <f t="shared" si="97"/>
        <v/>
      </c>
      <c r="BG172" s="304" t="str">
        <f t="shared" si="97"/>
        <v/>
      </c>
      <c r="BH172" s="28"/>
      <c r="BI172" s="304" t="str">
        <f t="shared" si="98"/>
        <v/>
      </c>
      <c r="BJ172" s="304" t="str">
        <f t="shared" si="98"/>
        <v/>
      </c>
      <c r="BK172" s="28"/>
      <c r="BL172" s="304" t="str">
        <f t="shared" si="99"/>
        <v/>
      </c>
      <c r="BM172" s="304" t="str">
        <f t="shared" si="99"/>
        <v/>
      </c>
      <c r="BN172" s="28"/>
      <c r="BO172" s="304" t="str">
        <f t="shared" si="100"/>
        <v/>
      </c>
      <c r="BP172" s="304" t="str">
        <f t="shared" si="100"/>
        <v/>
      </c>
      <c r="BQ172" s="28"/>
      <c r="BR172" s="304" t="str">
        <f t="shared" si="101"/>
        <v/>
      </c>
      <c r="BS172" s="304" t="str">
        <f t="shared" si="101"/>
        <v/>
      </c>
      <c r="BT172" s="28"/>
      <c r="BU172" s="304" t="str">
        <f t="shared" si="102"/>
        <v/>
      </c>
      <c r="BV172" s="304" t="str">
        <f t="shared" si="102"/>
        <v/>
      </c>
      <c r="BW172" s="28"/>
      <c r="BX172" s="139"/>
    </row>
    <row r="173" spans="1:76" s="122" customFormat="1" x14ac:dyDescent="0.25">
      <c r="A173" s="195">
        <v>20</v>
      </c>
      <c r="B173" s="216" t="str">
        <f t="shared" si="89"/>
        <v xml:space="preserve">: </v>
      </c>
      <c r="C173" s="221"/>
      <c r="D173" s="221"/>
      <c r="E173" s="221"/>
      <c r="F173" s="221"/>
      <c r="G173" s="240"/>
      <c r="H173" s="221"/>
      <c r="I173" s="240"/>
      <c r="J173" s="241"/>
      <c r="K173" s="241"/>
      <c r="L173" s="241"/>
      <c r="M173" s="225" t="str">
        <f t="shared" si="90"/>
        <v>kg of protein/kg of protein</v>
      </c>
      <c r="N173" s="227"/>
      <c r="O173" s="241"/>
      <c r="Q173" s="228"/>
      <c r="R173" s="231" t="str">
        <f t="shared" si="103"/>
        <v/>
      </c>
      <c r="S173" s="230" t="str">
        <f t="shared" si="91"/>
        <v/>
      </c>
      <c r="T173" s="231" t="str">
        <f t="shared" si="92"/>
        <v/>
      </c>
      <c r="U173" s="232" t="str">
        <f t="shared" si="93"/>
        <v>kg of protein/kg of protein</v>
      </c>
      <c r="V173" s="28"/>
      <c r="W173" s="28"/>
      <c r="Y173" s="99"/>
      <c r="AO173" s="139"/>
      <c r="AP173" s="28"/>
      <c r="AQ173" s="28"/>
      <c r="AR173" s="237"/>
      <c r="AS173" s="28"/>
      <c r="AT173" s="304" t="str">
        <f t="shared" si="104"/>
        <v/>
      </c>
      <c r="AU173" s="304" t="str">
        <f t="shared" si="104"/>
        <v/>
      </c>
      <c r="AV173" s="28"/>
      <c r="AW173" s="304" t="str">
        <f t="shared" si="94"/>
        <v/>
      </c>
      <c r="AX173" s="304" t="str">
        <f t="shared" si="94"/>
        <v/>
      </c>
      <c r="AY173" s="28"/>
      <c r="AZ173" s="304" t="str">
        <f t="shared" si="95"/>
        <v/>
      </c>
      <c r="BA173" s="304" t="str">
        <f t="shared" si="95"/>
        <v/>
      </c>
      <c r="BB173" s="28"/>
      <c r="BC173" s="304" t="str">
        <f t="shared" si="96"/>
        <v/>
      </c>
      <c r="BD173" s="304" t="str">
        <f t="shared" si="96"/>
        <v/>
      </c>
      <c r="BE173" s="28"/>
      <c r="BF173" s="304" t="str">
        <f t="shared" si="97"/>
        <v/>
      </c>
      <c r="BG173" s="304" t="str">
        <f t="shared" si="97"/>
        <v/>
      </c>
      <c r="BH173" s="28"/>
      <c r="BI173" s="304" t="str">
        <f t="shared" si="98"/>
        <v/>
      </c>
      <c r="BJ173" s="304" t="str">
        <f t="shared" si="98"/>
        <v/>
      </c>
      <c r="BK173" s="28"/>
      <c r="BL173" s="304" t="str">
        <f t="shared" si="99"/>
        <v/>
      </c>
      <c r="BM173" s="304" t="str">
        <f t="shared" si="99"/>
        <v/>
      </c>
      <c r="BN173" s="28"/>
      <c r="BO173" s="304" t="str">
        <f t="shared" si="100"/>
        <v/>
      </c>
      <c r="BP173" s="304" t="str">
        <f t="shared" si="100"/>
        <v/>
      </c>
      <c r="BQ173" s="28"/>
      <c r="BR173" s="304" t="str">
        <f t="shared" si="101"/>
        <v/>
      </c>
      <c r="BS173" s="304" t="str">
        <f t="shared" si="101"/>
        <v/>
      </c>
      <c r="BT173" s="28"/>
      <c r="BU173" s="304" t="str">
        <f t="shared" si="102"/>
        <v/>
      </c>
      <c r="BV173" s="304" t="str">
        <f t="shared" si="102"/>
        <v/>
      </c>
      <c r="BW173" s="28"/>
      <c r="BX173" s="139"/>
    </row>
    <row r="174" spans="1:76" s="122" customFormat="1" x14ac:dyDescent="0.25">
      <c r="A174" s="195"/>
      <c r="B174" s="244" t="s">
        <v>163</v>
      </c>
      <c r="C174" s="199"/>
      <c r="D174" s="199"/>
      <c r="E174" s="199"/>
      <c r="F174" s="199"/>
      <c r="H174" s="28"/>
      <c r="I174" s="245"/>
      <c r="L174" s="122" t="s">
        <v>134</v>
      </c>
      <c r="Q174" s="305" t="s">
        <v>136</v>
      </c>
      <c r="R174" s="246" t="e">
        <f>AVERAGE(R154:R173)</f>
        <v>#DIV/0!</v>
      </c>
      <c r="S174" s="247" t="e">
        <f>IF(R182="Y",SUM(S154:S173)/SUMPRODUCT(N154:N173,--ISNUMBER(S154:S173)),AVERAGE(S154:S173))</f>
        <v>#DIV/0!</v>
      </c>
      <c r="T174" s="248" t="e">
        <f>SUM(T154:T173)/SUMPRODUCT(N154:N173,--ISNUMBER(T154:T173))</f>
        <v>#DIV/0!</v>
      </c>
      <c r="U174" s="28"/>
      <c r="V174" s="28"/>
      <c r="W174" s="28"/>
      <c r="Y174" s="99"/>
      <c r="AO174" s="139"/>
      <c r="AP174" s="28"/>
      <c r="AQ174" s="28"/>
      <c r="AR174" s="28"/>
      <c r="AS174" s="245" t="s">
        <v>136</v>
      </c>
      <c r="AT174" s="307" t="e">
        <f>AVERAGE(AT154:AT173)</f>
        <v>#DIV/0!</v>
      </c>
      <c r="AU174" s="307" t="e">
        <f>SUM(AU154:AU173)/COUNTIF(AU154:AU173,"&gt;0")</f>
        <v>#DIV/0!</v>
      </c>
      <c r="AV174" s="245"/>
      <c r="AW174" s="307" t="e">
        <f>AVERAGE(AW154:AW173)</f>
        <v>#DIV/0!</v>
      </c>
      <c r="AX174" s="307" t="e">
        <f>SUM(AX154:AX173)/COUNTIF(AX154:AX173,"&gt;0")</f>
        <v>#DIV/0!</v>
      </c>
      <c r="AY174" s="28"/>
      <c r="AZ174" s="307" t="e">
        <f>AVERAGE(AZ154:AZ173)</f>
        <v>#DIV/0!</v>
      </c>
      <c r="BA174" s="307" t="e">
        <f>SUM(BA154:BA173)/COUNTIF(BA154:BA173,"&gt;0")</f>
        <v>#DIV/0!</v>
      </c>
      <c r="BB174" s="28"/>
      <c r="BC174" s="307" t="e">
        <f>AVERAGE(BC154:BC173)</f>
        <v>#DIV/0!</v>
      </c>
      <c r="BD174" s="307" t="e">
        <f>SUM(BD154:BD173)/COUNTIF(BD154:BD173,"&gt;0")</f>
        <v>#DIV/0!</v>
      </c>
      <c r="BE174" s="28"/>
      <c r="BF174" s="307" t="e">
        <f>AVERAGE(BF154:BF173)</f>
        <v>#DIV/0!</v>
      </c>
      <c r="BG174" s="307" t="e">
        <f>SUM(BG154:BG173)/COUNTIF(BG154:BG173,"&gt;0")</f>
        <v>#DIV/0!</v>
      </c>
      <c r="BH174" s="28"/>
      <c r="BI174" s="307" t="e">
        <f>AVERAGE(BI154:BI173)</f>
        <v>#DIV/0!</v>
      </c>
      <c r="BJ174" s="307" t="e">
        <f>SUM(BJ154:BJ173)/COUNTIF(BJ154:BJ173,"&gt;0")</f>
        <v>#DIV/0!</v>
      </c>
      <c r="BK174" s="245"/>
      <c r="BL174" s="307" t="e">
        <f>AVERAGE(BL154:BL173)</f>
        <v>#DIV/0!</v>
      </c>
      <c r="BM174" s="307" t="e">
        <f>SUM(BM154:BM173)/COUNTIF(BM154:BM173,"&gt;0")</f>
        <v>#DIV/0!</v>
      </c>
      <c r="BN174" s="28"/>
      <c r="BO174" s="307" t="e">
        <f>AVERAGE(BO154:BO173)</f>
        <v>#DIV/0!</v>
      </c>
      <c r="BP174" s="307" t="e">
        <f>SUM(BP154:BP173)/COUNTIF(BP154:BP173,"&gt;0")</f>
        <v>#DIV/0!</v>
      </c>
      <c r="BQ174" s="28"/>
      <c r="BR174" s="307" t="e">
        <f>AVERAGE(BR154:BR173)</f>
        <v>#DIV/0!</v>
      </c>
      <c r="BS174" s="307" t="e">
        <f>SUM(BS154:BS173)/COUNTIF(BS154:BS173,"&gt;0")</f>
        <v>#DIV/0!</v>
      </c>
      <c r="BT174" s="28"/>
      <c r="BU174" s="307" t="e">
        <f>AVERAGE(BU154:BU173)</f>
        <v>#DIV/0!</v>
      </c>
      <c r="BV174" s="307" t="e">
        <f>SUM(BV154:BV173)/COUNTIF(BV154:BV173,"&gt;0")</f>
        <v>#DIV/0!</v>
      </c>
      <c r="BW174" s="28"/>
      <c r="BX174" s="139"/>
    </row>
    <row r="175" spans="1:76" s="122" customFormat="1" x14ac:dyDescent="0.25">
      <c r="A175" s="195"/>
      <c r="B175" s="244" t="s">
        <v>164</v>
      </c>
      <c r="C175" s="195"/>
      <c r="D175" s="195"/>
      <c r="E175" s="195"/>
      <c r="F175" s="195"/>
      <c r="H175" s="28"/>
      <c r="I175" s="256"/>
      <c r="Q175" s="306" t="s">
        <v>144</v>
      </c>
      <c r="R175" s="257" t="e">
        <f>R174+U175*R178</f>
        <v>#DIV/0!</v>
      </c>
      <c r="S175" s="257" t="e">
        <f>S174+U175*S178</f>
        <v>#DIV/0!</v>
      </c>
      <c r="T175" s="257" t="e">
        <f>T174+U175*T178</f>
        <v>#DIV/0!</v>
      </c>
      <c r="U175" s="258">
        <v>1</v>
      </c>
      <c r="V175" s="122" t="s">
        <v>142</v>
      </c>
      <c r="W175" s="28"/>
      <c r="X175" s="259" t="s">
        <v>143</v>
      </c>
      <c r="Y175" s="99"/>
      <c r="AO175" s="139"/>
      <c r="AP175" s="28"/>
      <c r="AQ175" s="28"/>
      <c r="AR175" s="28"/>
      <c r="AS175" s="256" t="s">
        <v>144</v>
      </c>
      <c r="AT175" s="261" t="e">
        <f>AT174+(AT180*AT177)</f>
        <v>#DIV/0!</v>
      </c>
      <c r="AU175" s="261" t="e">
        <f>AU174+(AU180*AT177)</f>
        <v>#DIV/0!</v>
      </c>
      <c r="AV175" s="256"/>
      <c r="AW175" s="261" t="e">
        <f>AW174+(AW180*AW177)</f>
        <v>#DIV/0!</v>
      </c>
      <c r="AX175" s="261" t="e">
        <f>AX174+(AX180*AW177)</f>
        <v>#DIV/0!</v>
      </c>
      <c r="AY175" s="28"/>
      <c r="AZ175" s="261" t="e">
        <f>AZ174+(AZ180*AZ177)</f>
        <v>#DIV/0!</v>
      </c>
      <c r="BA175" s="261" t="e">
        <f>BA174+(BA180*AZ177)</f>
        <v>#DIV/0!</v>
      </c>
      <c r="BB175" s="28"/>
      <c r="BC175" s="261" t="e">
        <f>BC174+(BC180*BC177)</f>
        <v>#DIV/0!</v>
      </c>
      <c r="BD175" s="261" t="e">
        <f>BD174+(BD180*BC177)</f>
        <v>#DIV/0!</v>
      </c>
      <c r="BE175" s="28"/>
      <c r="BF175" s="261" t="e">
        <f>BF174+(BF180*BF177)</f>
        <v>#DIV/0!</v>
      </c>
      <c r="BG175" s="261" t="e">
        <f>BG174+(BG180*BF177)</f>
        <v>#DIV/0!</v>
      </c>
      <c r="BH175" s="28"/>
      <c r="BI175" s="261" t="e">
        <f>BI174+(BI180*BI177)</f>
        <v>#DIV/0!</v>
      </c>
      <c r="BJ175" s="261" t="e">
        <f>BJ174+(BJ180*BI177)</f>
        <v>#DIV/0!</v>
      </c>
      <c r="BK175" s="256"/>
      <c r="BL175" s="261" t="e">
        <f>BL174+(BL180*BL177)</f>
        <v>#DIV/0!</v>
      </c>
      <c r="BM175" s="261" t="e">
        <f>BM174+(BM180*BL177)</f>
        <v>#DIV/0!</v>
      </c>
      <c r="BN175" s="28"/>
      <c r="BO175" s="261" t="e">
        <f>BO174+(BO180*BO177)</f>
        <v>#DIV/0!</v>
      </c>
      <c r="BP175" s="261" t="e">
        <f>BP174+(BP180*BO177)</f>
        <v>#DIV/0!</v>
      </c>
      <c r="BQ175" s="28"/>
      <c r="BR175" s="261" t="e">
        <f>BR174+(BR180*BR177)</f>
        <v>#DIV/0!</v>
      </c>
      <c r="BS175" s="261" t="e">
        <f>BS174+(BS180*BR177)</f>
        <v>#DIV/0!</v>
      </c>
      <c r="BT175" s="28"/>
      <c r="BU175" s="261" t="e">
        <f>BU174+(BU180*BU177)</f>
        <v>#DIV/0!</v>
      </c>
      <c r="BV175" s="261" t="e">
        <f>BV174+(BV180*BU177)</f>
        <v>#DIV/0!</v>
      </c>
      <c r="BW175" s="28"/>
      <c r="BX175" s="139"/>
    </row>
    <row r="176" spans="1:76" s="122" customFormat="1" x14ac:dyDescent="0.25">
      <c r="A176" s="195"/>
      <c r="B176" s="244" t="s">
        <v>165</v>
      </c>
      <c r="C176" s="199" t="s">
        <v>139</v>
      </c>
      <c r="D176" s="252"/>
      <c r="E176" s="253"/>
      <c r="F176" s="253"/>
      <c r="G176" s="253"/>
      <c r="H176" s="253"/>
      <c r="I176" s="253"/>
      <c r="J176" s="254"/>
      <c r="K176" s="28"/>
      <c r="L176" s="28"/>
      <c r="Q176" s="306" t="s">
        <v>150</v>
      </c>
      <c r="R176" s="257" t="e">
        <f>IF($X176="Y",MIN(R154:R173),R174-$U176*R178)</f>
        <v>#DIV/0!</v>
      </c>
      <c r="S176" s="257" t="e">
        <f t="shared" ref="S176:T176" si="105">IF($X176="Y",MIN(S154:S173),S174-$U176*S178)</f>
        <v>#DIV/0!</v>
      </c>
      <c r="T176" s="257" t="e">
        <f t="shared" si="105"/>
        <v>#DIV/0!</v>
      </c>
      <c r="U176" s="258">
        <v>1</v>
      </c>
      <c r="V176" s="122" t="s">
        <v>148</v>
      </c>
      <c r="W176" s="28"/>
      <c r="X176" s="266" t="s">
        <v>149</v>
      </c>
      <c r="Y176" s="99"/>
      <c r="AO176" s="139"/>
      <c r="AP176" s="28"/>
      <c r="AQ176" s="28"/>
      <c r="AR176" s="28"/>
      <c r="AS176" s="256" t="s">
        <v>150</v>
      </c>
      <c r="AT176" s="261" t="e">
        <f>AT174-(AT180*AT178)</f>
        <v>#DIV/0!</v>
      </c>
      <c r="AU176" s="261" t="e">
        <f>AU174-(AU180*AT178)</f>
        <v>#DIV/0!</v>
      </c>
      <c r="AV176" s="256"/>
      <c r="AW176" s="261" t="e">
        <f>AW174-(AW180*AW178)</f>
        <v>#DIV/0!</v>
      </c>
      <c r="AX176" s="261" t="e">
        <f>AX174-(AX180*AW178)</f>
        <v>#DIV/0!</v>
      </c>
      <c r="AY176" s="28"/>
      <c r="AZ176" s="261" t="e">
        <f>AZ174-(AZ180*AZ178)</f>
        <v>#DIV/0!</v>
      </c>
      <c r="BA176" s="261" t="e">
        <f>BA174-(BA180*AZ178)</f>
        <v>#DIV/0!</v>
      </c>
      <c r="BB176" s="28"/>
      <c r="BC176" s="261" t="e">
        <f>BC174-(BC180*BC178)</f>
        <v>#DIV/0!</v>
      </c>
      <c r="BD176" s="261" t="e">
        <f>BD174-(BD180*BC178)</f>
        <v>#DIV/0!</v>
      </c>
      <c r="BE176" s="28"/>
      <c r="BF176" s="261" t="e">
        <f>BF174-(BF180*BF178)</f>
        <v>#DIV/0!</v>
      </c>
      <c r="BG176" s="261" t="e">
        <f>BG174-(BG180*BF178)</f>
        <v>#DIV/0!</v>
      </c>
      <c r="BH176" s="28"/>
      <c r="BI176" s="261" t="e">
        <f>BI174-(BI180*BI178)</f>
        <v>#DIV/0!</v>
      </c>
      <c r="BJ176" s="261" t="e">
        <f>BJ174-(BJ180*BI178)</f>
        <v>#DIV/0!</v>
      </c>
      <c r="BK176" s="256"/>
      <c r="BL176" s="261" t="e">
        <f>BL174-(BL180*BL178)</f>
        <v>#DIV/0!</v>
      </c>
      <c r="BM176" s="261" t="e">
        <f>BM174-(BM180*BL178)</f>
        <v>#DIV/0!</v>
      </c>
      <c r="BN176" s="28"/>
      <c r="BO176" s="261" t="e">
        <f>BO174-(BO180*BO178)</f>
        <v>#DIV/0!</v>
      </c>
      <c r="BP176" s="261" t="e">
        <f>BP174-(BP180*BO178)</f>
        <v>#DIV/0!</v>
      </c>
      <c r="BQ176" s="28"/>
      <c r="BR176" s="261" t="e">
        <f>BR174-(BR180*BR178)</f>
        <v>#DIV/0!</v>
      </c>
      <c r="BS176" s="261" t="e">
        <f>BS174-(BS180*BR178)</f>
        <v>#DIV/0!</v>
      </c>
      <c r="BT176" s="28"/>
      <c r="BU176" s="261" t="e">
        <f>BU174-(BU180*BU178)</f>
        <v>#DIV/0!</v>
      </c>
      <c r="BV176" s="261" t="e">
        <f>BV174-(BV180*BU178)</f>
        <v>#DIV/0!</v>
      </c>
      <c r="BW176" s="28"/>
      <c r="BX176" s="139"/>
    </row>
    <row r="177" spans="1:76" s="122" customFormat="1" ht="14.25" x14ac:dyDescent="0.2">
      <c r="A177" s="195"/>
      <c r="B177" s="196"/>
      <c r="C177" s="195"/>
      <c r="D177" s="263"/>
      <c r="E177" s="264"/>
      <c r="F177" s="264"/>
      <c r="G177" s="264"/>
      <c r="H177" s="264"/>
      <c r="I177" s="264"/>
      <c r="J177" s="265"/>
      <c r="Q177" s="306" t="s">
        <v>151</v>
      </c>
      <c r="R177" s="257" t="e">
        <f>IF((0.67*R178)&gt;R174,"no","yes")</f>
        <v>#DIV/0!</v>
      </c>
      <c r="S177" s="257" t="e">
        <f>IF((0.67*S178)&gt;S174,"no","yes")</f>
        <v>#DIV/0!</v>
      </c>
      <c r="T177" s="257" t="e">
        <f>IF((0.67*T178)&gt;T174,"no","yes")</f>
        <v>#DIV/0!</v>
      </c>
      <c r="Y177" s="139"/>
      <c r="AO177" s="139"/>
      <c r="AR177" s="267" t="s">
        <v>152</v>
      </c>
      <c r="AS177" s="268"/>
      <c r="AT177" s="258">
        <v>1</v>
      </c>
      <c r="AV177" s="308"/>
      <c r="AW177" s="258">
        <v>1</v>
      </c>
      <c r="AZ177" s="258">
        <v>1</v>
      </c>
      <c r="BC177" s="258">
        <v>1</v>
      </c>
      <c r="BF177" s="258">
        <v>1</v>
      </c>
      <c r="BI177" s="258">
        <v>1</v>
      </c>
      <c r="BK177" s="256"/>
      <c r="BL177" s="258">
        <v>1</v>
      </c>
      <c r="BO177" s="258">
        <v>1</v>
      </c>
      <c r="BR177" s="258">
        <v>1</v>
      </c>
      <c r="BU177" s="258">
        <v>1</v>
      </c>
      <c r="BX177" s="139"/>
    </row>
    <row r="178" spans="1:76" s="122" customFormat="1" ht="28.5" x14ac:dyDescent="0.2">
      <c r="A178" s="270" t="e">
        <f ca="1">HYPERLINK("#"&amp;"'"&amp;A$1&amp;"'!a1","Back to top")</f>
        <v>#VALUE!</v>
      </c>
      <c r="B178" s="271"/>
      <c r="C178" s="195"/>
      <c r="D178" s="263"/>
      <c r="E178" s="264"/>
      <c r="F178" s="264"/>
      <c r="G178" s="264"/>
      <c r="H178" s="264"/>
      <c r="I178" s="264"/>
      <c r="J178" s="265"/>
      <c r="Q178" s="306" t="s">
        <v>157</v>
      </c>
      <c r="R178" s="257">
        <f>IF(COUNT(R154:R173)&gt;1,_xlfn.STDEV.S(R154:R173),0)</f>
        <v>0</v>
      </c>
      <c r="S178" s="257" t="e">
        <f t="array" ref="S178">IF(R182="Y",SQRT(SUM(IFERROR(N154:N173*(R154:R173-(S174))^2,0))/((COUNT(S154:S173)-1)/COUNT(S154:S173)*SUMPRODUCT(N154:N173,--ISNUMBER(S154:S173)))),_xlfn.STDEV.S(S154:S173))</f>
        <v>#DIV/0!</v>
      </c>
      <c r="T178" s="257" t="e">
        <f t="array" ref="T178">SQRT(SUM(IFERROR(N154:N173*(R154:R173-(T174))^2,0))/((COUNT(T154:T173)-1)/COUNT(T154:T173)*SUMPRODUCT(N154:N173,--ISNUMBER(T154:T173))))</f>
        <v>#DIV/0!</v>
      </c>
      <c r="Y178" s="139"/>
      <c r="AO178" s="139"/>
      <c r="AR178" s="267"/>
      <c r="AS178" s="268"/>
      <c r="AT178" s="258">
        <v>1</v>
      </c>
      <c r="AV178" s="308"/>
      <c r="AW178" s="258">
        <v>1</v>
      </c>
      <c r="AZ178" s="258">
        <v>1</v>
      </c>
      <c r="BC178" s="258">
        <v>1</v>
      </c>
      <c r="BF178" s="258">
        <v>1</v>
      </c>
      <c r="BI178" s="258">
        <v>1</v>
      </c>
      <c r="BK178" s="256"/>
      <c r="BL178" s="258">
        <v>1</v>
      </c>
      <c r="BO178" s="258">
        <v>1</v>
      </c>
      <c r="BR178" s="258">
        <v>1</v>
      </c>
      <c r="BU178" s="258">
        <v>1</v>
      </c>
      <c r="BX178" s="139"/>
    </row>
    <row r="179" spans="1:76" s="122" customFormat="1" ht="15" customHeight="1" x14ac:dyDescent="0.25">
      <c r="A179" s="195"/>
      <c r="B179" s="196"/>
      <c r="C179" s="195"/>
      <c r="D179" s="263"/>
      <c r="E179" s="264"/>
      <c r="F179" s="264"/>
      <c r="G179" s="264"/>
      <c r="H179" s="264"/>
      <c r="I179" s="264"/>
      <c r="J179" s="265"/>
      <c r="Q179" s="309" t="s">
        <v>159</v>
      </c>
      <c r="R179" s="310">
        <f>COUNT(R154:R173)</f>
        <v>0</v>
      </c>
      <c r="S179" s="310">
        <f>COUNT(S154:S173)</f>
        <v>0</v>
      </c>
      <c r="T179" s="118"/>
      <c r="U179" s="273" t="s">
        <v>155</v>
      </c>
      <c r="Y179" s="139"/>
      <c r="AO179" s="139"/>
      <c r="AS179" s="256" t="s">
        <v>151</v>
      </c>
      <c r="AT179" s="261" t="e">
        <f>IF((0.67*AT180)&gt;AT174,"no","yes")</f>
        <v>#DIV/0!</v>
      </c>
      <c r="AU179" s="261" t="e">
        <f>IF((0.67*AU180)&gt;AU174,"no","yes")</f>
        <v>#DIV/0!</v>
      </c>
      <c r="AV179" s="256"/>
      <c r="AW179" s="261" t="e">
        <f>IF((0.67*AW180)&gt;AW174,"no","yes")</f>
        <v>#DIV/0!</v>
      </c>
      <c r="AX179" s="261" t="e">
        <f>IF((0.67*AX180)&gt;AX174,"no","yes")</f>
        <v>#DIV/0!</v>
      </c>
      <c r="AZ179" s="261" t="e">
        <f>IF((0.67*AZ180)&gt;AZ174,"no","yes")</f>
        <v>#DIV/0!</v>
      </c>
      <c r="BA179" s="261" t="e">
        <f>IF((0.67*BA180)&gt;BA174,"no","yes")</f>
        <v>#DIV/0!</v>
      </c>
      <c r="BC179" s="261" t="e">
        <f>IF((0.67*BC180)&gt;BC174,"no","yes")</f>
        <v>#DIV/0!</v>
      </c>
      <c r="BD179" s="261" t="e">
        <f>IF((0.67*BD180)&gt;BD174,"no","yes")</f>
        <v>#DIV/0!</v>
      </c>
      <c r="BF179" s="261" t="e">
        <f>IF((0.67*BF180)&gt;BF174,"no","yes")</f>
        <v>#DIV/0!</v>
      </c>
      <c r="BG179" s="261" t="e">
        <f>IF((0.67*BG180)&gt;BG174,"no","yes")</f>
        <v>#DIV/0!</v>
      </c>
      <c r="BI179" s="261" t="e">
        <f>IF((0.67*BI180)&gt;BI174,"no","yes")</f>
        <v>#DIV/0!</v>
      </c>
      <c r="BJ179" s="261" t="e">
        <f>IF((0.67*BJ180)&gt;BJ174,"no","yes")</f>
        <v>#DIV/0!</v>
      </c>
      <c r="BK179" s="133"/>
      <c r="BL179" s="261" t="e">
        <f>IF((0.67*BL180)&gt;BL174,"no","yes")</f>
        <v>#DIV/0!</v>
      </c>
      <c r="BM179" s="261" t="e">
        <f>IF((0.67*BM180)&gt;BM174,"no","yes")</f>
        <v>#DIV/0!</v>
      </c>
      <c r="BO179" s="261" t="e">
        <f>IF((0.67*BO180)&gt;BO174,"no","yes")</f>
        <v>#DIV/0!</v>
      </c>
      <c r="BP179" s="261" t="e">
        <f>IF((0.67*BP180)&gt;BP174,"no","yes")</f>
        <v>#DIV/0!</v>
      </c>
      <c r="BR179" s="261" t="e">
        <f>IF((0.67*BR180)&gt;BR174,"no","yes")</f>
        <v>#DIV/0!</v>
      </c>
      <c r="BS179" s="261" t="e">
        <f>IF((0.67*BS180)&gt;BS174,"no","yes")</f>
        <v>#DIV/0!</v>
      </c>
      <c r="BU179" s="261" t="e">
        <f>IF((0.67*BU180)&gt;BU174,"no","yes")</f>
        <v>#DIV/0!</v>
      </c>
      <c r="BV179" s="261" t="e">
        <f>IF((0.67*BV180)&gt;BV174,"no","yes")</f>
        <v>#DIV/0!</v>
      </c>
      <c r="BX179" s="139"/>
    </row>
    <row r="180" spans="1:76" s="122" customFormat="1" ht="14.25" x14ac:dyDescent="0.2">
      <c r="A180" s="195"/>
      <c r="B180" s="196"/>
      <c r="C180" s="195"/>
      <c r="D180" s="263"/>
      <c r="E180" s="264"/>
      <c r="F180" s="264"/>
      <c r="G180" s="264"/>
      <c r="H180" s="264"/>
      <c r="I180" s="264"/>
      <c r="J180" s="265"/>
      <c r="Q180" s="311"/>
      <c r="U180" s="274"/>
      <c r="V180" s="275"/>
      <c r="W180" s="276"/>
      <c r="Y180" s="139"/>
      <c r="AO180" s="139"/>
      <c r="AS180" s="256" t="s">
        <v>157</v>
      </c>
      <c r="AT180" s="261">
        <f>IF(AT181&gt;1,_xlfn.STDEV.S(AT154:AT173),0)</f>
        <v>0</v>
      </c>
      <c r="AU180" s="261">
        <f>IF(AU181&gt;1,_xlfn.STDEV.S(AU154:AU173),0)</f>
        <v>0</v>
      </c>
      <c r="AW180" s="261">
        <f t="shared" ref="AW180:AX180" si="106">IF(AW181&gt;1,_xlfn.STDEV.S(AW154:AW173),0)</f>
        <v>0</v>
      </c>
      <c r="AX180" s="261">
        <f t="shared" si="106"/>
        <v>0</v>
      </c>
      <c r="AZ180" s="261">
        <f t="shared" ref="AZ180:BA180" si="107">IF(AZ181&gt;1,_xlfn.STDEV.S(AZ154:AZ173),0)</f>
        <v>0</v>
      </c>
      <c r="BA180" s="261">
        <f t="shared" si="107"/>
        <v>0</v>
      </c>
      <c r="BC180" s="261">
        <f t="shared" ref="BC180:BD180" si="108">IF(BC181&gt;1,_xlfn.STDEV.S(BC154:BC173),0)</f>
        <v>0</v>
      </c>
      <c r="BD180" s="261">
        <f t="shared" si="108"/>
        <v>0</v>
      </c>
      <c r="BF180" s="261">
        <f t="shared" ref="BF180:BG180" si="109">IF(BF181&gt;1,_xlfn.STDEV.S(BF154:BF173),0)</f>
        <v>0</v>
      </c>
      <c r="BG180" s="261">
        <f t="shared" si="109"/>
        <v>0</v>
      </c>
      <c r="BI180" s="261">
        <f t="shared" ref="BI180:BJ180" si="110">IF(BI181&gt;1,_xlfn.STDEV.S(BI154:BI173),0)</f>
        <v>0</v>
      </c>
      <c r="BJ180" s="261">
        <f t="shared" si="110"/>
        <v>0</v>
      </c>
      <c r="BL180" s="261">
        <f t="shared" ref="BL180:BM180" si="111">IF(BL181&gt;1,_xlfn.STDEV.S(BL154:BL173),0)</f>
        <v>0</v>
      </c>
      <c r="BM180" s="261">
        <f t="shared" si="111"/>
        <v>0</v>
      </c>
      <c r="BO180" s="261">
        <f t="shared" ref="BO180:BP180" si="112">IF(BO181&gt;1,_xlfn.STDEV.S(BO154:BO173),0)</f>
        <v>0</v>
      </c>
      <c r="BP180" s="261">
        <f t="shared" si="112"/>
        <v>0</v>
      </c>
      <c r="BR180" s="261">
        <f t="shared" ref="BR180:BS180" si="113">IF(BR181&gt;1,_xlfn.STDEV.S(BR154:BR173),0)</f>
        <v>0</v>
      </c>
      <c r="BS180" s="261">
        <f t="shared" si="113"/>
        <v>0</v>
      </c>
      <c r="BU180" s="261">
        <f t="shared" ref="BU180:BV180" si="114">IF(BU181&gt;1,_xlfn.STDEV.S(BU154:BU173),0)</f>
        <v>0</v>
      </c>
      <c r="BV180" s="261">
        <f t="shared" si="114"/>
        <v>0</v>
      </c>
      <c r="BX180" s="139"/>
    </row>
    <row r="181" spans="1:76" s="122" customFormat="1" x14ac:dyDescent="0.2">
      <c r="A181" s="195"/>
      <c r="B181" s="196"/>
      <c r="C181" s="195"/>
      <c r="D181" s="263"/>
      <c r="E181" s="264"/>
      <c r="F181" s="264"/>
      <c r="G181" s="264"/>
      <c r="H181" s="264"/>
      <c r="I181" s="264"/>
      <c r="J181" s="265"/>
      <c r="Q181" s="311"/>
      <c r="R181" s="280" t="s">
        <v>158</v>
      </c>
      <c r="U181" s="281"/>
      <c r="V181" s="282"/>
      <c r="W181" s="283"/>
      <c r="Y181" s="139"/>
      <c r="AO181" s="139"/>
      <c r="AS181" s="133" t="s">
        <v>159</v>
      </c>
      <c r="AT181" s="284">
        <f>COUNT(AT154:AT173)</f>
        <v>0</v>
      </c>
      <c r="AU181" s="284">
        <f>COUNT(AU154:AU173)</f>
        <v>0</v>
      </c>
      <c r="AW181" s="284">
        <f t="shared" ref="AW181:AX181" si="115">COUNT(AW154:AW173)</f>
        <v>0</v>
      </c>
      <c r="AX181" s="284">
        <f t="shared" si="115"/>
        <v>0</v>
      </c>
      <c r="AZ181" s="284">
        <f t="shared" ref="AZ181:BA181" si="116">COUNT(AZ154:AZ173)</f>
        <v>0</v>
      </c>
      <c r="BA181" s="284">
        <f t="shared" si="116"/>
        <v>0</v>
      </c>
      <c r="BC181" s="284">
        <f t="shared" ref="BC181:BD181" si="117">COUNT(BC154:BC173)</f>
        <v>0</v>
      </c>
      <c r="BD181" s="284">
        <f t="shared" si="117"/>
        <v>0</v>
      </c>
      <c r="BF181" s="284">
        <f t="shared" ref="BF181:BG181" si="118">COUNT(BF154:BF173)</f>
        <v>0</v>
      </c>
      <c r="BG181" s="284">
        <f t="shared" si="118"/>
        <v>0</v>
      </c>
      <c r="BI181" s="284">
        <f t="shared" ref="BI181:BJ181" si="119">COUNT(BI154:BI173)</f>
        <v>0</v>
      </c>
      <c r="BJ181" s="284">
        <f t="shared" si="119"/>
        <v>0</v>
      </c>
      <c r="BL181" s="284">
        <f t="shared" ref="BL181:BM181" si="120">COUNT(BL154:BL173)</f>
        <v>0</v>
      </c>
      <c r="BM181" s="284">
        <f t="shared" si="120"/>
        <v>0</v>
      </c>
      <c r="BO181" s="284">
        <f t="shared" ref="BO181:BP181" si="121">COUNT(BO154:BO173)</f>
        <v>0</v>
      </c>
      <c r="BP181" s="284">
        <f t="shared" si="121"/>
        <v>0</v>
      </c>
      <c r="BR181" s="284">
        <f t="shared" ref="BR181:BS181" si="122">COUNT(BR154:BR173)</f>
        <v>0</v>
      </c>
      <c r="BS181" s="284">
        <f t="shared" si="122"/>
        <v>0</v>
      </c>
      <c r="BU181" s="284">
        <f t="shared" ref="BU181:BV181" si="123">COUNT(BU154:BU173)</f>
        <v>0</v>
      </c>
      <c r="BV181" s="284">
        <f t="shared" si="123"/>
        <v>0</v>
      </c>
      <c r="BX181" s="139"/>
    </row>
    <row r="182" spans="1:76" s="122" customFormat="1" ht="14.25" x14ac:dyDescent="0.2">
      <c r="A182" s="195"/>
      <c r="B182" s="196"/>
      <c r="C182" s="195"/>
      <c r="D182" s="277"/>
      <c r="E182" s="278"/>
      <c r="F182" s="278"/>
      <c r="G182" s="278"/>
      <c r="H182" s="278"/>
      <c r="I182" s="278"/>
      <c r="J182" s="279"/>
      <c r="Q182" s="311"/>
      <c r="R182" s="287" t="s">
        <v>149</v>
      </c>
      <c r="U182" s="281"/>
      <c r="V182" s="282"/>
      <c r="W182" s="283"/>
      <c r="Y182" s="139"/>
      <c r="AO182" s="139"/>
      <c r="AS182" s="195"/>
      <c r="AT182" s="195"/>
      <c r="AU182" s="195"/>
      <c r="AV182" s="195"/>
      <c r="BX182" s="139"/>
    </row>
    <row r="183" spans="1:76" s="122" customFormat="1" ht="14.25" x14ac:dyDescent="0.2">
      <c r="A183" s="195"/>
      <c r="B183" s="196"/>
      <c r="Q183" s="311"/>
      <c r="U183" s="288"/>
      <c r="V183" s="289"/>
      <c r="W183" s="290"/>
      <c r="Y183" s="139"/>
      <c r="AO183" s="139"/>
      <c r="AS183" s="195"/>
      <c r="AT183" s="195"/>
      <c r="AU183" s="195"/>
      <c r="AV183" s="195"/>
      <c r="BX183" s="139"/>
    </row>
    <row r="184" spans="1:76" s="122" customFormat="1" ht="18" x14ac:dyDescent="0.25">
      <c r="B184" s="118"/>
      <c r="C184" s="195"/>
      <c r="Q184" s="311"/>
      <c r="Y184" s="139"/>
      <c r="AO184" s="296"/>
      <c r="BX184" s="296"/>
    </row>
    <row r="185" spans="1:76" s="122" customFormat="1" ht="14.25" x14ac:dyDescent="0.2">
      <c r="B185" s="118"/>
      <c r="D185" s="195"/>
      <c r="E185" s="195"/>
      <c r="F185" s="195"/>
      <c r="G185" s="195"/>
      <c r="H185" s="195"/>
      <c r="I185" s="195"/>
      <c r="J185" s="195"/>
      <c r="Q185" s="311"/>
      <c r="Y185" s="139"/>
      <c r="AO185" s="139"/>
      <c r="BX185" s="139"/>
    </row>
    <row r="186" spans="1:76" s="122" customFormat="1" ht="14.25" x14ac:dyDescent="0.2">
      <c r="B186" s="118"/>
      <c r="Q186" s="311"/>
      <c r="Y186" s="139"/>
      <c r="AO186" s="139"/>
      <c r="BX186" s="139"/>
    </row>
    <row r="187" spans="1:76" s="139" customFormat="1" ht="18" x14ac:dyDescent="0.25">
      <c r="A187" s="188">
        <f>A151+1</f>
        <v>5</v>
      </c>
      <c r="B187" s="189"/>
      <c r="C187" s="293" t="s">
        <v>168</v>
      </c>
      <c r="D187" s="191"/>
      <c r="E187" s="191"/>
      <c r="F187" s="191"/>
      <c r="G187" s="191"/>
      <c r="H187" s="192"/>
      <c r="I187" s="192"/>
      <c r="J187" s="191"/>
      <c r="K187" s="192"/>
      <c r="L187" s="192"/>
      <c r="M187" s="175"/>
      <c r="N187" s="175"/>
      <c r="O187" s="192"/>
      <c r="P187" s="192"/>
      <c r="Q187" s="294"/>
      <c r="R187" s="194" t="s">
        <v>93</v>
      </c>
      <c r="S187" s="194"/>
      <c r="T187" s="194"/>
      <c r="U187" s="194"/>
      <c r="V187" s="192"/>
      <c r="W187" s="192"/>
      <c r="AP187" s="295">
        <f>A187</f>
        <v>5</v>
      </c>
      <c r="AQ187" s="295" t="str">
        <f>C187</f>
        <v>Lifetime Capacity - SOLUTION</v>
      </c>
      <c r="AR187" s="296"/>
      <c r="AS187" s="296"/>
      <c r="AT187" s="296"/>
      <c r="AU187" s="296"/>
      <c r="AV187" s="296"/>
      <c r="AW187" s="296"/>
      <c r="AX187" s="296"/>
      <c r="AY187" s="296"/>
      <c r="AZ187" s="296"/>
      <c r="BA187" s="296"/>
      <c r="BB187" s="296"/>
      <c r="BC187" s="296"/>
      <c r="BD187" s="296"/>
      <c r="BE187" s="296"/>
      <c r="BF187" s="296"/>
      <c r="BG187" s="296"/>
      <c r="BH187" s="296"/>
      <c r="BI187" s="296"/>
      <c r="BJ187" s="296"/>
      <c r="BK187" s="296"/>
      <c r="BL187" s="296"/>
      <c r="BM187" s="296"/>
      <c r="BN187" s="296"/>
      <c r="BO187" s="296"/>
      <c r="BP187" s="296"/>
      <c r="BQ187" s="296"/>
      <c r="BR187" s="296"/>
      <c r="BS187" s="296"/>
      <c r="BT187" s="296"/>
      <c r="BU187" s="296"/>
      <c r="BV187" s="296"/>
      <c r="BW187" s="296"/>
    </row>
    <row r="188" spans="1:76" s="122" customFormat="1" x14ac:dyDescent="0.25">
      <c r="A188" s="195"/>
      <c r="B188" s="196"/>
      <c r="C188" s="195"/>
      <c r="D188" s="120"/>
      <c r="E188" s="120"/>
      <c r="F188" s="120"/>
      <c r="G188" s="120"/>
      <c r="J188" s="120"/>
      <c r="Q188" s="311"/>
      <c r="Y188" s="139"/>
      <c r="AO188" s="139"/>
      <c r="AP188" s="28"/>
      <c r="AQ188" s="28"/>
      <c r="AR188" s="28"/>
      <c r="AS188" s="28"/>
      <c r="AT188" s="198" t="s">
        <v>95</v>
      </c>
      <c r="AU188" s="198"/>
      <c r="AV188" s="28"/>
      <c r="AW188" s="198" t="s">
        <v>96</v>
      </c>
      <c r="AX188" s="198"/>
      <c r="AY188" s="28"/>
      <c r="AZ188" s="198" t="s">
        <v>97</v>
      </c>
      <c r="BA188" s="198"/>
      <c r="BB188" s="28"/>
      <c r="BC188" s="198" t="s">
        <v>98</v>
      </c>
      <c r="BD188" s="198"/>
      <c r="BE188" s="28"/>
      <c r="BF188" s="198" t="s">
        <v>99</v>
      </c>
      <c r="BG188" s="198"/>
      <c r="BH188" s="28"/>
      <c r="BI188" s="198" t="s">
        <v>100</v>
      </c>
      <c r="BJ188" s="198"/>
      <c r="BK188" s="28"/>
      <c r="BL188" s="198" t="s">
        <v>101</v>
      </c>
      <c r="BM188" s="198"/>
      <c r="BN188" s="28"/>
      <c r="BO188" s="198" t="s">
        <v>102</v>
      </c>
      <c r="BP188" s="198"/>
      <c r="BQ188" s="28"/>
      <c r="BR188" s="198" t="s">
        <v>103</v>
      </c>
      <c r="BS188" s="198"/>
      <c r="BT188" s="28"/>
      <c r="BU188" s="198" t="s">
        <v>104</v>
      </c>
      <c r="BV188" s="28"/>
      <c r="BW188" s="28"/>
      <c r="BX188" s="139"/>
    </row>
    <row r="189" spans="1:76" s="122" customFormat="1" ht="30.75" thickBot="1" x14ac:dyDescent="0.3">
      <c r="A189" s="199" t="s">
        <v>105</v>
      </c>
      <c r="B189" s="200" t="s">
        <v>106</v>
      </c>
      <c r="C189" s="298" t="s">
        <v>107</v>
      </c>
      <c r="D189" s="299" t="s">
        <v>108</v>
      </c>
      <c r="E189" s="299" t="s">
        <v>109</v>
      </c>
      <c r="F189" s="300" t="s">
        <v>110</v>
      </c>
      <c r="G189" s="201" t="s">
        <v>111</v>
      </c>
      <c r="H189" s="202" t="s">
        <v>112</v>
      </c>
      <c r="I189" s="203" t="s">
        <v>113</v>
      </c>
      <c r="J189" s="301" t="s">
        <v>114</v>
      </c>
      <c r="K189" s="205" t="s">
        <v>115</v>
      </c>
      <c r="L189" s="302" t="s">
        <v>116</v>
      </c>
      <c r="M189" s="207" t="s">
        <v>117</v>
      </c>
      <c r="N189" s="208" t="s">
        <v>118</v>
      </c>
      <c r="O189" s="208" t="s">
        <v>119</v>
      </c>
      <c r="P189" s="210"/>
      <c r="Q189" s="211" t="s">
        <v>120</v>
      </c>
      <c r="R189" s="212" t="s">
        <v>121</v>
      </c>
      <c r="S189" s="212" t="s">
        <v>122</v>
      </c>
      <c r="T189" s="212" t="s">
        <v>123</v>
      </c>
      <c r="U189" s="213" t="s">
        <v>124</v>
      </c>
      <c r="V189" s="210"/>
      <c r="W189" s="210"/>
      <c r="Y189" s="139"/>
      <c r="AO189" s="139"/>
      <c r="AP189" s="210"/>
      <c r="AQ189" s="210"/>
      <c r="AR189" s="213" t="s">
        <v>125</v>
      </c>
      <c r="AS189" s="210"/>
      <c r="AT189" s="215" t="s">
        <v>121</v>
      </c>
      <c r="AU189" s="215" t="s">
        <v>122</v>
      </c>
      <c r="AV189" s="210"/>
      <c r="AW189" s="215" t="s">
        <v>121</v>
      </c>
      <c r="AX189" s="215" t="s">
        <v>122</v>
      </c>
      <c r="AY189" s="210"/>
      <c r="AZ189" s="215" t="s">
        <v>121</v>
      </c>
      <c r="BA189" s="215" t="s">
        <v>122</v>
      </c>
      <c r="BB189" s="210"/>
      <c r="BC189" s="215" t="s">
        <v>121</v>
      </c>
      <c r="BD189" s="215" t="s">
        <v>122</v>
      </c>
      <c r="BE189" s="210"/>
      <c r="BF189" s="215" t="s">
        <v>121</v>
      </c>
      <c r="BG189" s="215" t="s">
        <v>122</v>
      </c>
      <c r="BH189" s="210"/>
      <c r="BI189" s="215" t="s">
        <v>121</v>
      </c>
      <c r="BJ189" s="215" t="s">
        <v>122</v>
      </c>
      <c r="BK189" s="210"/>
      <c r="BL189" s="215" t="s">
        <v>121</v>
      </c>
      <c r="BM189" s="215" t="s">
        <v>122</v>
      </c>
      <c r="BN189" s="210"/>
      <c r="BO189" s="215" t="s">
        <v>121</v>
      </c>
      <c r="BP189" s="215" t="s">
        <v>122</v>
      </c>
      <c r="BQ189" s="210"/>
      <c r="BR189" s="215" t="s">
        <v>121</v>
      </c>
      <c r="BS189" s="215" t="s">
        <v>122</v>
      </c>
      <c r="BT189" s="210"/>
      <c r="BU189" s="215" t="s">
        <v>121</v>
      </c>
      <c r="BV189" s="215" t="s">
        <v>122</v>
      </c>
      <c r="BW189" s="210"/>
      <c r="BX189" s="139"/>
    </row>
    <row r="190" spans="1:76" s="122" customFormat="1" x14ac:dyDescent="0.25">
      <c r="A190" s="195">
        <v>1</v>
      </c>
      <c r="B190" s="216" t="str">
        <f t="shared" ref="B190:B209" si="124">CONCATENATE(E190,": ",C190)</f>
        <v xml:space="preserve">: </v>
      </c>
      <c r="C190" s="219"/>
      <c r="D190" s="219"/>
      <c r="E190" s="219"/>
      <c r="F190" s="219"/>
      <c r="G190" s="220"/>
      <c r="H190" s="221"/>
      <c r="I190" s="220"/>
      <c r="J190" s="312"/>
      <c r="K190" s="226"/>
      <c r="L190" s="241"/>
      <c r="M190" s="225" t="str">
        <f t="shared" ref="M190:M209" si="125">CONCATENATE(FunctionalUnitOfMeasure,"/",AdoptionUnitOfMeasure)</f>
        <v>kg of protein/kg of protein</v>
      </c>
      <c r="N190" s="227"/>
      <c r="O190" s="241"/>
      <c r="Q190" s="228"/>
      <c r="R190" s="231" t="str">
        <f>IF(Q190="Y","",IF(AND(L190="",J190=""),"",IF(L190="",J190,L190)))</f>
        <v/>
      </c>
      <c r="S190" s="230" t="str">
        <f t="shared" ref="S190:S209" si="126">IF(R190="","",IF($R$218="Y",T190,IF(R190&gt;=$R$210-$AA$35*$R$214,IF(R190&lt;=$R$210+$AA$35*$R$214,R190,""),"")))</f>
        <v/>
      </c>
      <c r="T190" s="231" t="str">
        <f t="shared" ref="T190:T209" si="127">IF(OR(Q190="Y",IFERROR(R190&gt;$R$210+$R$214*$AA$35,0),IFERROR(R190&lt;$R$210-$R$214*$AA$35,0)),"",IFERROR(R190*N190,""))</f>
        <v/>
      </c>
      <c r="U190" s="232" t="str">
        <f t="shared" ref="U190:U209" si="128">IF(AND(M190="",K190=""),"",IF(M190="",K190,M190))</f>
        <v>kg of protein/kg of protein</v>
      </c>
      <c r="V190" s="28"/>
      <c r="W190" s="28"/>
      <c r="Y190" s="139"/>
      <c r="AO190" s="139"/>
      <c r="AP190" s="28"/>
      <c r="AQ190" s="28"/>
      <c r="AR190" s="233" t="str">
        <f>$U190</f>
        <v>kg of protein/kg of protein</v>
      </c>
      <c r="AS190" s="28"/>
      <c r="AT190" s="304" t="str">
        <f>IF($E190=$AT$47,R190,"")</f>
        <v/>
      </c>
      <c r="AU190" s="304" t="str">
        <f>IF($E190=$AT$47,S190,"")</f>
        <v/>
      </c>
      <c r="AV190" s="28"/>
      <c r="AW190" s="304" t="str">
        <f t="shared" ref="AW190:AX209" si="129">IF($E190=$AW$83,R190,"")</f>
        <v/>
      </c>
      <c r="AX190" s="304" t="str">
        <f t="shared" si="129"/>
        <v/>
      </c>
      <c r="AY190" s="28"/>
      <c r="AZ190" s="304" t="str">
        <f t="shared" ref="AZ190:BA209" si="130">IF($E190=$AZ$83,R190,"")</f>
        <v/>
      </c>
      <c r="BA190" s="304" t="str">
        <f t="shared" si="130"/>
        <v/>
      </c>
      <c r="BB190" s="28"/>
      <c r="BC190" s="304" t="str">
        <f t="shared" ref="BC190:BD209" si="131">IF($E190=$BC$83,R190,"")</f>
        <v/>
      </c>
      <c r="BD190" s="304" t="str">
        <f t="shared" si="131"/>
        <v/>
      </c>
      <c r="BE190" s="28"/>
      <c r="BF190" s="304" t="str">
        <f t="shared" ref="BF190:BG209" si="132">IF($E190=$BF$83,R190,"")</f>
        <v/>
      </c>
      <c r="BG190" s="304" t="str">
        <f t="shared" si="132"/>
        <v/>
      </c>
      <c r="BH190" s="28"/>
      <c r="BI190" s="304" t="str">
        <f t="shared" ref="BI190:BJ209" si="133">IF($E190=$BI$83,R190,"")</f>
        <v/>
      </c>
      <c r="BJ190" s="304" t="str">
        <f t="shared" si="133"/>
        <v/>
      </c>
      <c r="BK190" s="28"/>
      <c r="BL190" s="304" t="str">
        <f t="shared" ref="BL190:BM209" si="134">IF($E190=$BL$83,R190,"")</f>
        <v/>
      </c>
      <c r="BM190" s="304" t="str">
        <f t="shared" si="134"/>
        <v/>
      </c>
      <c r="BN190" s="28"/>
      <c r="BO190" s="304" t="str">
        <f t="shared" ref="BO190:BP209" si="135">IF($E190=$BO$83,R190,"")</f>
        <v/>
      </c>
      <c r="BP190" s="304" t="str">
        <f t="shared" si="135"/>
        <v/>
      </c>
      <c r="BQ190" s="28"/>
      <c r="BR190" s="304" t="str">
        <f t="shared" ref="BR190:BS209" si="136">IF($E190=$BR$83,R190,"")</f>
        <v/>
      </c>
      <c r="BS190" s="304" t="str">
        <f t="shared" si="136"/>
        <v/>
      </c>
      <c r="BT190" s="28"/>
      <c r="BU190" s="304" t="str">
        <f t="shared" ref="BU190:BV209" si="137">IF($E190=$BU$83,R190,"")</f>
        <v/>
      </c>
      <c r="BV190" s="304" t="str">
        <f t="shared" si="137"/>
        <v/>
      </c>
      <c r="BW190" s="28"/>
      <c r="BX190" s="139"/>
    </row>
    <row r="191" spans="1:76" s="122" customFormat="1" x14ac:dyDescent="0.25">
      <c r="A191" s="195">
        <v>2</v>
      </c>
      <c r="B191" s="216" t="str">
        <f t="shared" si="124"/>
        <v xml:space="preserve">: </v>
      </c>
      <c r="C191" s="219"/>
      <c r="D191" s="219"/>
      <c r="E191" s="219"/>
      <c r="F191" s="219"/>
      <c r="G191" s="220"/>
      <c r="H191" s="221"/>
      <c r="I191" s="220"/>
      <c r="J191" s="312"/>
      <c r="K191" s="227"/>
      <c r="L191" s="241"/>
      <c r="M191" s="225" t="str">
        <f t="shared" si="125"/>
        <v>kg of protein/kg of protein</v>
      </c>
      <c r="N191" s="227"/>
      <c r="O191" s="241"/>
      <c r="Q191" s="228"/>
      <c r="R191" s="231" t="str">
        <f t="shared" ref="R191:R209" si="138">IF(Q191="Y","",IF(AND(L191="",J191=""),"",IF(L191="",J191,L191)))</f>
        <v/>
      </c>
      <c r="S191" s="230" t="str">
        <f t="shared" si="126"/>
        <v/>
      </c>
      <c r="T191" s="231" t="str">
        <f t="shared" si="127"/>
        <v/>
      </c>
      <c r="U191" s="232" t="str">
        <f t="shared" si="128"/>
        <v>kg of protein/kg of protein</v>
      </c>
      <c r="V191" s="28"/>
      <c r="W191" s="28"/>
      <c r="Y191" s="139"/>
      <c r="AO191" s="139"/>
      <c r="AP191" s="28"/>
      <c r="AQ191" s="28"/>
      <c r="AR191" s="237"/>
      <c r="AS191" s="28"/>
      <c r="AT191" s="304" t="str">
        <f t="shared" ref="AT191:AU209" si="139">IF($E191=$AT$47,R191,"")</f>
        <v/>
      </c>
      <c r="AU191" s="304" t="str">
        <f t="shared" si="139"/>
        <v/>
      </c>
      <c r="AV191" s="28"/>
      <c r="AW191" s="304" t="str">
        <f t="shared" si="129"/>
        <v/>
      </c>
      <c r="AX191" s="304" t="str">
        <f t="shared" si="129"/>
        <v/>
      </c>
      <c r="AY191" s="28"/>
      <c r="AZ191" s="304" t="str">
        <f t="shared" si="130"/>
        <v/>
      </c>
      <c r="BA191" s="304" t="str">
        <f t="shared" si="130"/>
        <v/>
      </c>
      <c r="BB191" s="28"/>
      <c r="BC191" s="304" t="str">
        <f t="shared" si="131"/>
        <v/>
      </c>
      <c r="BD191" s="304" t="str">
        <f t="shared" si="131"/>
        <v/>
      </c>
      <c r="BE191" s="28"/>
      <c r="BF191" s="304" t="str">
        <f t="shared" si="132"/>
        <v/>
      </c>
      <c r="BG191" s="304" t="str">
        <f t="shared" si="132"/>
        <v/>
      </c>
      <c r="BH191" s="28"/>
      <c r="BI191" s="304" t="str">
        <f t="shared" si="133"/>
        <v/>
      </c>
      <c r="BJ191" s="304" t="str">
        <f t="shared" si="133"/>
        <v/>
      </c>
      <c r="BK191" s="28"/>
      <c r="BL191" s="304" t="str">
        <f t="shared" si="134"/>
        <v/>
      </c>
      <c r="BM191" s="304" t="str">
        <f t="shared" si="134"/>
        <v/>
      </c>
      <c r="BN191" s="28"/>
      <c r="BO191" s="304" t="str">
        <f t="shared" si="135"/>
        <v/>
      </c>
      <c r="BP191" s="304" t="str">
        <f t="shared" si="135"/>
        <v/>
      </c>
      <c r="BQ191" s="28"/>
      <c r="BR191" s="304" t="str">
        <f t="shared" si="136"/>
        <v/>
      </c>
      <c r="BS191" s="304" t="str">
        <f t="shared" si="136"/>
        <v/>
      </c>
      <c r="BT191" s="28"/>
      <c r="BU191" s="304" t="str">
        <f t="shared" si="137"/>
        <v/>
      </c>
      <c r="BV191" s="304" t="str">
        <f t="shared" si="137"/>
        <v/>
      </c>
      <c r="BW191" s="28"/>
      <c r="BX191" s="139"/>
    </row>
    <row r="192" spans="1:76" s="122" customFormat="1" x14ac:dyDescent="0.25">
      <c r="A192" s="195">
        <v>3</v>
      </c>
      <c r="B192" s="216" t="str">
        <f>CONCATENATE(E192,": ",C192)</f>
        <v xml:space="preserve">: </v>
      </c>
      <c r="C192" s="221"/>
      <c r="D192" s="221"/>
      <c r="E192" s="221"/>
      <c r="F192" s="221"/>
      <c r="G192" s="240"/>
      <c r="H192" s="221"/>
      <c r="I192" s="240"/>
      <c r="J192" s="312"/>
      <c r="K192" s="227"/>
      <c r="L192" s="241"/>
      <c r="M192" s="225" t="str">
        <f t="shared" si="125"/>
        <v>kg of protein/kg of protein</v>
      </c>
      <c r="N192" s="227"/>
      <c r="O192" s="241"/>
      <c r="Q192" s="228"/>
      <c r="R192" s="231" t="str">
        <f t="shared" si="138"/>
        <v/>
      </c>
      <c r="S192" s="230" t="str">
        <f t="shared" si="126"/>
        <v/>
      </c>
      <c r="T192" s="231" t="str">
        <f t="shared" si="127"/>
        <v/>
      </c>
      <c r="U192" s="232" t="str">
        <f t="shared" si="128"/>
        <v>kg of protein/kg of protein</v>
      </c>
      <c r="V192" s="28"/>
      <c r="W192" s="28"/>
      <c r="Y192" s="139"/>
      <c r="AO192" s="139"/>
      <c r="AP192" s="28"/>
      <c r="AQ192" s="28"/>
      <c r="AR192" s="237"/>
      <c r="AS192" s="28"/>
      <c r="AT192" s="304" t="str">
        <f t="shared" si="139"/>
        <v/>
      </c>
      <c r="AU192" s="304" t="str">
        <f t="shared" si="139"/>
        <v/>
      </c>
      <c r="AV192" s="28"/>
      <c r="AW192" s="304" t="str">
        <f t="shared" si="129"/>
        <v/>
      </c>
      <c r="AX192" s="304" t="str">
        <f t="shared" si="129"/>
        <v/>
      </c>
      <c r="AY192" s="28"/>
      <c r="AZ192" s="304" t="str">
        <f t="shared" si="130"/>
        <v/>
      </c>
      <c r="BA192" s="304" t="str">
        <f t="shared" si="130"/>
        <v/>
      </c>
      <c r="BB192" s="28"/>
      <c r="BC192" s="304" t="str">
        <f t="shared" si="131"/>
        <v/>
      </c>
      <c r="BD192" s="304" t="str">
        <f t="shared" si="131"/>
        <v/>
      </c>
      <c r="BE192" s="28"/>
      <c r="BF192" s="304" t="str">
        <f t="shared" si="132"/>
        <v/>
      </c>
      <c r="BG192" s="304" t="str">
        <f t="shared" si="132"/>
        <v/>
      </c>
      <c r="BH192" s="28"/>
      <c r="BI192" s="304" t="str">
        <f t="shared" si="133"/>
        <v/>
      </c>
      <c r="BJ192" s="304" t="str">
        <f t="shared" si="133"/>
        <v/>
      </c>
      <c r="BK192" s="28"/>
      <c r="BL192" s="304" t="str">
        <f t="shared" si="134"/>
        <v/>
      </c>
      <c r="BM192" s="304" t="str">
        <f t="shared" si="134"/>
        <v/>
      </c>
      <c r="BN192" s="28"/>
      <c r="BO192" s="304" t="str">
        <f t="shared" si="135"/>
        <v/>
      </c>
      <c r="BP192" s="304" t="str">
        <f t="shared" si="135"/>
        <v/>
      </c>
      <c r="BQ192" s="28"/>
      <c r="BR192" s="304" t="str">
        <f t="shared" si="136"/>
        <v/>
      </c>
      <c r="BS192" s="304" t="str">
        <f t="shared" si="136"/>
        <v/>
      </c>
      <c r="BT192" s="28"/>
      <c r="BU192" s="304" t="str">
        <f t="shared" si="137"/>
        <v/>
      </c>
      <c r="BV192" s="304" t="str">
        <f t="shared" si="137"/>
        <v/>
      </c>
      <c r="BW192" s="28"/>
      <c r="BX192" s="139"/>
    </row>
    <row r="193" spans="1:76" s="122" customFormat="1" x14ac:dyDescent="0.25">
      <c r="A193" s="195">
        <v>4</v>
      </c>
      <c r="B193" s="216" t="str">
        <f t="shared" si="124"/>
        <v xml:space="preserve">: </v>
      </c>
      <c r="C193" s="221"/>
      <c r="D193" s="221"/>
      <c r="E193" s="221"/>
      <c r="F193" s="221"/>
      <c r="G193" s="240"/>
      <c r="H193" s="221"/>
      <c r="I193" s="240"/>
      <c r="J193" s="241"/>
      <c r="K193" s="241"/>
      <c r="L193" s="241"/>
      <c r="M193" s="225" t="str">
        <f t="shared" si="125"/>
        <v>kg of protein/kg of protein</v>
      </c>
      <c r="N193" s="227"/>
      <c r="O193" s="241"/>
      <c r="Q193" s="228"/>
      <c r="R193" s="231" t="str">
        <f t="shared" si="138"/>
        <v/>
      </c>
      <c r="S193" s="230" t="str">
        <f t="shared" si="126"/>
        <v/>
      </c>
      <c r="T193" s="231" t="str">
        <f t="shared" si="127"/>
        <v/>
      </c>
      <c r="U193" s="232" t="str">
        <f t="shared" si="128"/>
        <v>kg of protein/kg of protein</v>
      </c>
      <c r="V193" s="28"/>
      <c r="W193" s="28"/>
      <c r="Y193" s="139"/>
      <c r="AO193" s="139"/>
      <c r="AP193" s="28"/>
      <c r="AQ193" s="28"/>
      <c r="AR193" s="237"/>
      <c r="AS193" s="28"/>
      <c r="AT193" s="304" t="str">
        <f t="shared" si="139"/>
        <v/>
      </c>
      <c r="AU193" s="304" t="str">
        <f t="shared" si="139"/>
        <v/>
      </c>
      <c r="AV193" s="28"/>
      <c r="AW193" s="304" t="str">
        <f t="shared" si="129"/>
        <v/>
      </c>
      <c r="AX193" s="304" t="str">
        <f t="shared" si="129"/>
        <v/>
      </c>
      <c r="AY193" s="28"/>
      <c r="AZ193" s="304" t="str">
        <f t="shared" si="130"/>
        <v/>
      </c>
      <c r="BA193" s="304" t="str">
        <f t="shared" si="130"/>
        <v/>
      </c>
      <c r="BB193" s="28"/>
      <c r="BC193" s="304" t="str">
        <f t="shared" si="131"/>
        <v/>
      </c>
      <c r="BD193" s="304" t="str">
        <f t="shared" si="131"/>
        <v/>
      </c>
      <c r="BE193" s="28"/>
      <c r="BF193" s="304" t="str">
        <f t="shared" si="132"/>
        <v/>
      </c>
      <c r="BG193" s="304" t="str">
        <f t="shared" si="132"/>
        <v/>
      </c>
      <c r="BH193" s="28"/>
      <c r="BI193" s="304" t="str">
        <f t="shared" si="133"/>
        <v/>
      </c>
      <c r="BJ193" s="304" t="str">
        <f t="shared" si="133"/>
        <v/>
      </c>
      <c r="BK193" s="28"/>
      <c r="BL193" s="304" t="str">
        <f t="shared" si="134"/>
        <v/>
      </c>
      <c r="BM193" s="304" t="str">
        <f t="shared" si="134"/>
        <v/>
      </c>
      <c r="BN193" s="28"/>
      <c r="BO193" s="304" t="str">
        <f t="shared" si="135"/>
        <v/>
      </c>
      <c r="BP193" s="304" t="str">
        <f t="shared" si="135"/>
        <v/>
      </c>
      <c r="BQ193" s="28"/>
      <c r="BR193" s="304" t="str">
        <f t="shared" si="136"/>
        <v/>
      </c>
      <c r="BS193" s="304" t="str">
        <f t="shared" si="136"/>
        <v/>
      </c>
      <c r="BT193" s="28"/>
      <c r="BU193" s="304" t="str">
        <f t="shared" si="137"/>
        <v/>
      </c>
      <c r="BV193" s="304" t="str">
        <f t="shared" si="137"/>
        <v/>
      </c>
      <c r="BW193" s="28"/>
      <c r="BX193" s="139"/>
    </row>
    <row r="194" spans="1:76" s="122" customFormat="1" x14ac:dyDescent="0.25">
      <c r="A194" s="195">
        <v>5</v>
      </c>
      <c r="B194" s="216" t="str">
        <f t="shared" si="124"/>
        <v xml:space="preserve">: </v>
      </c>
      <c r="C194" s="221"/>
      <c r="D194" s="221"/>
      <c r="E194" s="221"/>
      <c r="F194" s="221"/>
      <c r="G194" s="240"/>
      <c r="H194" s="221"/>
      <c r="I194" s="240"/>
      <c r="J194" s="241"/>
      <c r="K194" s="241"/>
      <c r="L194" s="241"/>
      <c r="M194" s="225" t="str">
        <f t="shared" si="125"/>
        <v>kg of protein/kg of protein</v>
      </c>
      <c r="N194" s="227"/>
      <c r="O194" s="241"/>
      <c r="Q194" s="228"/>
      <c r="R194" s="231" t="str">
        <f t="shared" si="138"/>
        <v/>
      </c>
      <c r="S194" s="230" t="str">
        <f t="shared" si="126"/>
        <v/>
      </c>
      <c r="T194" s="231" t="str">
        <f t="shared" si="127"/>
        <v/>
      </c>
      <c r="U194" s="232" t="str">
        <f t="shared" si="128"/>
        <v>kg of protein/kg of protein</v>
      </c>
      <c r="V194" s="28"/>
      <c r="W194" s="28"/>
      <c r="Y194" s="139"/>
      <c r="AO194" s="139"/>
      <c r="AP194" s="28"/>
      <c r="AQ194" s="28"/>
      <c r="AR194" s="237"/>
      <c r="AS194" s="28"/>
      <c r="AT194" s="304" t="str">
        <f t="shared" si="139"/>
        <v/>
      </c>
      <c r="AU194" s="304" t="str">
        <f t="shared" si="139"/>
        <v/>
      </c>
      <c r="AV194" s="28"/>
      <c r="AW194" s="304" t="str">
        <f t="shared" si="129"/>
        <v/>
      </c>
      <c r="AX194" s="304" t="str">
        <f t="shared" si="129"/>
        <v/>
      </c>
      <c r="AY194" s="28"/>
      <c r="AZ194" s="304" t="str">
        <f t="shared" si="130"/>
        <v/>
      </c>
      <c r="BA194" s="304" t="str">
        <f t="shared" si="130"/>
        <v/>
      </c>
      <c r="BB194" s="28"/>
      <c r="BC194" s="304" t="str">
        <f t="shared" si="131"/>
        <v/>
      </c>
      <c r="BD194" s="304" t="str">
        <f t="shared" si="131"/>
        <v/>
      </c>
      <c r="BE194" s="28"/>
      <c r="BF194" s="304" t="str">
        <f t="shared" si="132"/>
        <v/>
      </c>
      <c r="BG194" s="304" t="str">
        <f t="shared" si="132"/>
        <v/>
      </c>
      <c r="BH194" s="28"/>
      <c r="BI194" s="304" t="str">
        <f t="shared" si="133"/>
        <v/>
      </c>
      <c r="BJ194" s="304" t="str">
        <f t="shared" si="133"/>
        <v/>
      </c>
      <c r="BK194" s="28"/>
      <c r="BL194" s="304" t="str">
        <f t="shared" si="134"/>
        <v/>
      </c>
      <c r="BM194" s="304" t="str">
        <f t="shared" si="134"/>
        <v/>
      </c>
      <c r="BN194" s="28"/>
      <c r="BO194" s="304" t="str">
        <f t="shared" si="135"/>
        <v/>
      </c>
      <c r="BP194" s="304" t="str">
        <f t="shared" si="135"/>
        <v/>
      </c>
      <c r="BQ194" s="28"/>
      <c r="BR194" s="304" t="str">
        <f t="shared" si="136"/>
        <v/>
      </c>
      <c r="BS194" s="304" t="str">
        <f t="shared" si="136"/>
        <v/>
      </c>
      <c r="BT194" s="28"/>
      <c r="BU194" s="304" t="str">
        <f t="shared" si="137"/>
        <v/>
      </c>
      <c r="BV194" s="304" t="str">
        <f t="shared" si="137"/>
        <v/>
      </c>
      <c r="BW194" s="28"/>
      <c r="BX194" s="139"/>
    </row>
    <row r="195" spans="1:76" s="122" customFormat="1" x14ac:dyDescent="0.25">
      <c r="A195" s="195">
        <v>6</v>
      </c>
      <c r="B195" s="216" t="str">
        <f t="shared" si="124"/>
        <v xml:space="preserve">: </v>
      </c>
      <c r="C195" s="221"/>
      <c r="D195" s="221"/>
      <c r="E195" s="221"/>
      <c r="F195" s="221"/>
      <c r="G195" s="240"/>
      <c r="H195" s="221"/>
      <c r="I195" s="240"/>
      <c r="J195" s="241"/>
      <c r="K195" s="241"/>
      <c r="L195" s="241"/>
      <c r="M195" s="225" t="str">
        <f t="shared" si="125"/>
        <v>kg of protein/kg of protein</v>
      </c>
      <c r="N195" s="227"/>
      <c r="O195" s="241"/>
      <c r="Q195" s="228"/>
      <c r="R195" s="231" t="str">
        <f t="shared" si="138"/>
        <v/>
      </c>
      <c r="S195" s="230" t="str">
        <f t="shared" si="126"/>
        <v/>
      </c>
      <c r="T195" s="231" t="str">
        <f t="shared" si="127"/>
        <v/>
      </c>
      <c r="U195" s="232" t="str">
        <f t="shared" si="128"/>
        <v>kg of protein/kg of protein</v>
      </c>
      <c r="V195" s="28"/>
      <c r="W195" s="28"/>
      <c r="Y195" s="139"/>
      <c r="AO195" s="139"/>
      <c r="AP195" s="28"/>
      <c r="AQ195" s="28"/>
      <c r="AR195" s="237"/>
      <c r="AS195" s="28"/>
      <c r="AT195" s="304" t="str">
        <f t="shared" si="139"/>
        <v/>
      </c>
      <c r="AU195" s="304" t="str">
        <f t="shared" si="139"/>
        <v/>
      </c>
      <c r="AV195" s="28"/>
      <c r="AW195" s="304" t="str">
        <f t="shared" si="129"/>
        <v/>
      </c>
      <c r="AX195" s="304" t="str">
        <f t="shared" si="129"/>
        <v/>
      </c>
      <c r="AY195" s="28"/>
      <c r="AZ195" s="304" t="str">
        <f t="shared" si="130"/>
        <v/>
      </c>
      <c r="BA195" s="304" t="str">
        <f t="shared" si="130"/>
        <v/>
      </c>
      <c r="BB195" s="28"/>
      <c r="BC195" s="304" t="str">
        <f t="shared" si="131"/>
        <v/>
      </c>
      <c r="BD195" s="304" t="str">
        <f t="shared" si="131"/>
        <v/>
      </c>
      <c r="BE195" s="28"/>
      <c r="BF195" s="304" t="str">
        <f t="shared" si="132"/>
        <v/>
      </c>
      <c r="BG195" s="304" t="str">
        <f t="shared" si="132"/>
        <v/>
      </c>
      <c r="BH195" s="28"/>
      <c r="BI195" s="304" t="str">
        <f t="shared" si="133"/>
        <v/>
      </c>
      <c r="BJ195" s="304" t="str">
        <f t="shared" si="133"/>
        <v/>
      </c>
      <c r="BK195" s="28"/>
      <c r="BL195" s="304" t="str">
        <f t="shared" si="134"/>
        <v/>
      </c>
      <c r="BM195" s="304" t="str">
        <f t="shared" si="134"/>
        <v/>
      </c>
      <c r="BN195" s="28"/>
      <c r="BO195" s="304" t="str">
        <f t="shared" si="135"/>
        <v/>
      </c>
      <c r="BP195" s="304" t="str">
        <f t="shared" si="135"/>
        <v/>
      </c>
      <c r="BQ195" s="28"/>
      <c r="BR195" s="304" t="str">
        <f t="shared" si="136"/>
        <v/>
      </c>
      <c r="BS195" s="304" t="str">
        <f t="shared" si="136"/>
        <v/>
      </c>
      <c r="BT195" s="28"/>
      <c r="BU195" s="304" t="str">
        <f t="shared" si="137"/>
        <v/>
      </c>
      <c r="BV195" s="304" t="str">
        <f t="shared" si="137"/>
        <v/>
      </c>
      <c r="BW195" s="28"/>
      <c r="BX195" s="139"/>
    </row>
    <row r="196" spans="1:76" s="122" customFormat="1" x14ac:dyDescent="0.25">
      <c r="A196" s="195">
        <v>7</v>
      </c>
      <c r="B196" s="216" t="str">
        <f t="shared" si="124"/>
        <v xml:space="preserve">: </v>
      </c>
      <c r="C196" s="221"/>
      <c r="D196" s="221"/>
      <c r="E196" s="221"/>
      <c r="F196" s="221"/>
      <c r="G196" s="240"/>
      <c r="H196" s="221"/>
      <c r="I196" s="240"/>
      <c r="J196" s="241"/>
      <c r="K196" s="241"/>
      <c r="L196" s="241"/>
      <c r="M196" s="225" t="str">
        <f t="shared" si="125"/>
        <v>kg of protein/kg of protein</v>
      </c>
      <c r="N196" s="227"/>
      <c r="O196" s="241"/>
      <c r="Q196" s="228"/>
      <c r="R196" s="231" t="str">
        <f t="shared" si="138"/>
        <v/>
      </c>
      <c r="S196" s="230" t="str">
        <f t="shared" si="126"/>
        <v/>
      </c>
      <c r="T196" s="231" t="str">
        <f t="shared" si="127"/>
        <v/>
      </c>
      <c r="U196" s="232" t="str">
        <f t="shared" si="128"/>
        <v>kg of protein/kg of protein</v>
      </c>
      <c r="V196" s="28"/>
      <c r="W196" s="28"/>
      <c r="Y196" s="139"/>
      <c r="AO196" s="139"/>
      <c r="AP196" s="28"/>
      <c r="AQ196" s="28"/>
      <c r="AR196" s="237"/>
      <c r="AS196" s="28"/>
      <c r="AT196" s="304" t="str">
        <f t="shared" si="139"/>
        <v/>
      </c>
      <c r="AU196" s="304" t="str">
        <f t="shared" si="139"/>
        <v/>
      </c>
      <c r="AV196" s="28"/>
      <c r="AW196" s="304" t="str">
        <f t="shared" si="129"/>
        <v/>
      </c>
      <c r="AX196" s="304" t="str">
        <f t="shared" si="129"/>
        <v/>
      </c>
      <c r="AY196" s="28"/>
      <c r="AZ196" s="304" t="str">
        <f t="shared" si="130"/>
        <v/>
      </c>
      <c r="BA196" s="304" t="str">
        <f t="shared" si="130"/>
        <v/>
      </c>
      <c r="BB196" s="28"/>
      <c r="BC196" s="304" t="str">
        <f t="shared" si="131"/>
        <v/>
      </c>
      <c r="BD196" s="304" t="str">
        <f t="shared" si="131"/>
        <v/>
      </c>
      <c r="BE196" s="28"/>
      <c r="BF196" s="304" t="str">
        <f t="shared" si="132"/>
        <v/>
      </c>
      <c r="BG196" s="304" t="str">
        <f t="shared" si="132"/>
        <v/>
      </c>
      <c r="BH196" s="28"/>
      <c r="BI196" s="304" t="str">
        <f t="shared" si="133"/>
        <v/>
      </c>
      <c r="BJ196" s="304" t="str">
        <f t="shared" si="133"/>
        <v/>
      </c>
      <c r="BK196" s="28"/>
      <c r="BL196" s="304" t="str">
        <f t="shared" si="134"/>
        <v/>
      </c>
      <c r="BM196" s="304" t="str">
        <f t="shared" si="134"/>
        <v/>
      </c>
      <c r="BN196" s="28"/>
      <c r="BO196" s="304" t="str">
        <f t="shared" si="135"/>
        <v/>
      </c>
      <c r="BP196" s="304" t="str">
        <f t="shared" si="135"/>
        <v/>
      </c>
      <c r="BQ196" s="28"/>
      <c r="BR196" s="304" t="str">
        <f t="shared" si="136"/>
        <v/>
      </c>
      <c r="BS196" s="304" t="str">
        <f t="shared" si="136"/>
        <v/>
      </c>
      <c r="BT196" s="28"/>
      <c r="BU196" s="304" t="str">
        <f t="shared" si="137"/>
        <v/>
      </c>
      <c r="BV196" s="304" t="str">
        <f t="shared" si="137"/>
        <v/>
      </c>
      <c r="BW196" s="28"/>
      <c r="BX196" s="139"/>
    </row>
    <row r="197" spans="1:76" s="122" customFormat="1" x14ac:dyDescent="0.25">
      <c r="A197" s="195">
        <v>8</v>
      </c>
      <c r="B197" s="216" t="str">
        <f t="shared" si="124"/>
        <v xml:space="preserve">: </v>
      </c>
      <c r="C197" s="221"/>
      <c r="D197" s="221"/>
      <c r="E197" s="221"/>
      <c r="F197" s="221"/>
      <c r="G197" s="240"/>
      <c r="H197" s="221"/>
      <c r="I197" s="240"/>
      <c r="J197" s="241"/>
      <c r="K197" s="241"/>
      <c r="L197" s="241"/>
      <c r="M197" s="225" t="str">
        <f t="shared" si="125"/>
        <v>kg of protein/kg of protein</v>
      </c>
      <c r="N197" s="227"/>
      <c r="O197" s="241"/>
      <c r="Q197" s="228"/>
      <c r="R197" s="231" t="str">
        <f t="shared" si="138"/>
        <v/>
      </c>
      <c r="S197" s="230" t="str">
        <f t="shared" si="126"/>
        <v/>
      </c>
      <c r="T197" s="231" t="str">
        <f t="shared" si="127"/>
        <v/>
      </c>
      <c r="U197" s="232" t="str">
        <f t="shared" si="128"/>
        <v>kg of protein/kg of protein</v>
      </c>
      <c r="V197" s="28"/>
      <c r="W197" s="28"/>
      <c r="Y197" s="139"/>
      <c r="AO197" s="139"/>
      <c r="AP197" s="28"/>
      <c r="AQ197" s="28"/>
      <c r="AR197" s="237"/>
      <c r="AS197" s="28"/>
      <c r="AT197" s="304" t="str">
        <f t="shared" si="139"/>
        <v/>
      </c>
      <c r="AU197" s="304" t="str">
        <f t="shared" si="139"/>
        <v/>
      </c>
      <c r="AV197" s="28"/>
      <c r="AW197" s="304" t="str">
        <f t="shared" si="129"/>
        <v/>
      </c>
      <c r="AX197" s="304" t="str">
        <f t="shared" si="129"/>
        <v/>
      </c>
      <c r="AY197" s="28"/>
      <c r="AZ197" s="304" t="str">
        <f t="shared" si="130"/>
        <v/>
      </c>
      <c r="BA197" s="304" t="str">
        <f t="shared" si="130"/>
        <v/>
      </c>
      <c r="BB197" s="28"/>
      <c r="BC197" s="304" t="str">
        <f t="shared" si="131"/>
        <v/>
      </c>
      <c r="BD197" s="304" t="str">
        <f t="shared" si="131"/>
        <v/>
      </c>
      <c r="BE197" s="28"/>
      <c r="BF197" s="304" t="str">
        <f t="shared" si="132"/>
        <v/>
      </c>
      <c r="BG197" s="304" t="str">
        <f t="shared" si="132"/>
        <v/>
      </c>
      <c r="BH197" s="28"/>
      <c r="BI197" s="304" t="str">
        <f t="shared" si="133"/>
        <v/>
      </c>
      <c r="BJ197" s="304" t="str">
        <f t="shared" si="133"/>
        <v/>
      </c>
      <c r="BK197" s="28"/>
      <c r="BL197" s="304" t="str">
        <f t="shared" si="134"/>
        <v/>
      </c>
      <c r="BM197" s="304" t="str">
        <f t="shared" si="134"/>
        <v/>
      </c>
      <c r="BN197" s="28"/>
      <c r="BO197" s="304" t="str">
        <f t="shared" si="135"/>
        <v/>
      </c>
      <c r="BP197" s="304" t="str">
        <f t="shared" si="135"/>
        <v/>
      </c>
      <c r="BQ197" s="28"/>
      <c r="BR197" s="304" t="str">
        <f t="shared" si="136"/>
        <v/>
      </c>
      <c r="BS197" s="304" t="str">
        <f t="shared" si="136"/>
        <v/>
      </c>
      <c r="BT197" s="28"/>
      <c r="BU197" s="304" t="str">
        <f t="shared" si="137"/>
        <v/>
      </c>
      <c r="BV197" s="304" t="str">
        <f t="shared" si="137"/>
        <v/>
      </c>
      <c r="BW197" s="28"/>
      <c r="BX197" s="139"/>
    </row>
    <row r="198" spans="1:76" s="122" customFormat="1" x14ac:dyDescent="0.25">
      <c r="A198" s="195">
        <v>9</v>
      </c>
      <c r="B198" s="216" t="str">
        <f t="shared" si="124"/>
        <v xml:space="preserve">: </v>
      </c>
      <c r="C198" s="221"/>
      <c r="D198" s="221"/>
      <c r="E198" s="221"/>
      <c r="F198" s="221"/>
      <c r="G198" s="240"/>
      <c r="H198" s="221"/>
      <c r="I198" s="240"/>
      <c r="J198" s="241"/>
      <c r="K198" s="241"/>
      <c r="L198" s="241"/>
      <c r="M198" s="225" t="str">
        <f t="shared" si="125"/>
        <v>kg of protein/kg of protein</v>
      </c>
      <c r="N198" s="227"/>
      <c r="O198" s="241"/>
      <c r="Q198" s="228"/>
      <c r="R198" s="231" t="str">
        <f t="shared" si="138"/>
        <v/>
      </c>
      <c r="S198" s="230" t="str">
        <f t="shared" si="126"/>
        <v/>
      </c>
      <c r="T198" s="231" t="str">
        <f t="shared" si="127"/>
        <v/>
      </c>
      <c r="U198" s="232" t="str">
        <f t="shared" si="128"/>
        <v>kg of protein/kg of protein</v>
      </c>
      <c r="V198" s="28"/>
      <c r="W198" s="28"/>
      <c r="Y198" s="139"/>
      <c r="AO198" s="139"/>
      <c r="AP198" s="28"/>
      <c r="AQ198" s="28"/>
      <c r="AR198" s="237"/>
      <c r="AS198" s="28"/>
      <c r="AT198" s="304" t="str">
        <f t="shared" si="139"/>
        <v/>
      </c>
      <c r="AU198" s="304" t="str">
        <f t="shared" si="139"/>
        <v/>
      </c>
      <c r="AV198" s="28"/>
      <c r="AW198" s="304" t="str">
        <f t="shared" si="129"/>
        <v/>
      </c>
      <c r="AX198" s="304" t="str">
        <f t="shared" si="129"/>
        <v/>
      </c>
      <c r="AY198" s="28"/>
      <c r="AZ198" s="304" t="str">
        <f t="shared" si="130"/>
        <v/>
      </c>
      <c r="BA198" s="304" t="str">
        <f t="shared" si="130"/>
        <v/>
      </c>
      <c r="BB198" s="28"/>
      <c r="BC198" s="304" t="str">
        <f t="shared" si="131"/>
        <v/>
      </c>
      <c r="BD198" s="304" t="str">
        <f t="shared" si="131"/>
        <v/>
      </c>
      <c r="BE198" s="28"/>
      <c r="BF198" s="304" t="str">
        <f t="shared" si="132"/>
        <v/>
      </c>
      <c r="BG198" s="304" t="str">
        <f t="shared" si="132"/>
        <v/>
      </c>
      <c r="BH198" s="28"/>
      <c r="BI198" s="304" t="str">
        <f t="shared" si="133"/>
        <v/>
      </c>
      <c r="BJ198" s="304" t="str">
        <f t="shared" si="133"/>
        <v/>
      </c>
      <c r="BK198" s="28"/>
      <c r="BL198" s="304" t="str">
        <f t="shared" si="134"/>
        <v/>
      </c>
      <c r="BM198" s="304" t="str">
        <f t="shared" si="134"/>
        <v/>
      </c>
      <c r="BN198" s="28"/>
      <c r="BO198" s="304" t="str">
        <f t="shared" si="135"/>
        <v/>
      </c>
      <c r="BP198" s="304" t="str">
        <f t="shared" si="135"/>
        <v/>
      </c>
      <c r="BQ198" s="28"/>
      <c r="BR198" s="304" t="str">
        <f t="shared" si="136"/>
        <v/>
      </c>
      <c r="BS198" s="304" t="str">
        <f t="shared" si="136"/>
        <v/>
      </c>
      <c r="BT198" s="28"/>
      <c r="BU198" s="304" t="str">
        <f t="shared" si="137"/>
        <v/>
      </c>
      <c r="BV198" s="304" t="str">
        <f t="shared" si="137"/>
        <v/>
      </c>
      <c r="BW198" s="28"/>
      <c r="BX198" s="139"/>
    </row>
    <row r="199" spans="1:76" s="122" customFormat="1" x14ac:dyDescent="0.25">
      <c r="A199" s="195">
        <v>10</v>
      </c>
      <c r="B199" s="216" t="str">
        <f t="shared" si="124"/>
        <v xml:space="preserve">: </v>
      </c>
      <c r="C199" s="221"/>
      <c r="D199" s="221"/>
      <c r="E199" s="221"/>
      <c r="F199" s="221"/>
      <c r="G199" s="240"/>
      <c r="H199" s="221"/>
      <c r="I199" s="240"/>
      <c r="J199" s="241"/>
      <c r="K199" s="241"/>
      <c r="L199" s="241"/>
      <c r="M199" s="225" t="str">
        <f t="shared" si="125"/>
        <v>kg of protein/kg of protein</v>
      </c>
      <c r="N199" s="227"/>
      <c r="O199" s="241"/>
      <c r="Q199" s="228"/>
      <c r="R199" s="231" t="str">
        <f t="shared" si="138"/>
        <v/>
      </c>
      <c r="S199" s="230" t="str">
        <f t="shared" si="126"/>
        <v/>
      </c>
      <c r="T199" s="231" t="str">
        <f t="shared" si="127"/>
        <v/>
      </c>
      <c r="U199" s="232" t="str">
        <f t="shared" si="128"/>
        <v>kg of protein/kg of protein</v>
      </c>
      <c r="V199" s="28"/>
      <c r="W199" s="28"/>
      <c r="Y199" s="139"/>
      <c r="AO199" s="139"/>
      <c r="AP199" s="28"/>
      <c r="AQ199" s="28"/>
      <c r="AR199" s="237"/>
      <c r="AS199" s="28"/>
      <c r="AT199" s="304" t="str">
        <f t="shared" si="139"/>
        <v/>
      </c>
      <c r="AU199" s="304" t="str">
        <f t="shared" si="139"/>
        <v/>
      </c>
      <c r="AV199" s="28"/>
      <c r="AW199" s="304" t="str">
        <f t="shared" si="129"/>
        <v/>
      </c>
      <c r="AX199" s="304" t="str">
        <f t="shared" si="129"/>
        <v/>
      </c>
      <c r="AY199" s="28"/>
      <c r="AZ199" s="304" t="str">
        <f t="shared" si="130"/>
        <v/>
      </c>
      <c r="BA199" s="304" t="str">
        <f t="shared" si="130"/>
        <v/>
      </c>
      <c r="BB199" s="28"/>
      <c r="BC199" s="304" t="str">
        <f t="shared" si="131"/>
        <v/>
      </c>
      <c r="BD199" s="304" t="str">
        <f t="shared" si="131"/>
        <v/>
      </c>
      <c r="BE199" s="28"/>
      <c r="BF199" s="304" t="str">
        <f t="shared" si="132"/>
        <v/>
      </c>
      <c r="BG199" s="304" t="str">
        <f t="shared" si="132"/>
        <v/>
      </c>
      <c r="BH199" s="28"/>
      <c r="BI199" s="304" t="str">
        <f t="shared" si="133"/>
        <v/>
      </c>
      <c r="BJ199" s="304" t="str">
        <f t="shared" si="133"/>
        <v/>
      </c>
      <c r="BK199" s="28"/>
      <c r="BL199" s="304" t="str">
        <f t="shared" si="134"/>
        <v/>
      </c>
      <c r="BM199" s="304" t="str">
        <f t="shared" si="134"/>
        <v/>
      </c>
      <c r="BN199" s="28"/>
      <c r="BO199" s="304" t="str">
        <f t="shared" si="135"/>
        <v/>
      </c>
      <c r="BP199" s="304" t="str">
        <f t="shared" si="135"/>
        <v/>
      </c>
      <c r="BQ199" s="28"/>
      <c r="BR199" s="304" t="str">
        <f t="shared" si="136"/>
        <v/>
      </c>
      <c r="BS199" s="304" t="str">
        <f t="shared" si="136"/>
        <v/>
      </c>
      <c r="BT199" s="28"/>
      <c r="BU199" s="304" t="str">
        <f t="shared" si="137"/>
        <v/>
      </c>
      <c r="BV199" s="304" t="str">
        <f t="shared" si="137"/>
        <v/>
      </c>
      <c r="BW199" s="28"/>
      <c r="BX199" s="139"/>
    </row>
    <row r="200" spans="1:76" s="122" customFormat="1" x14ac:dyDescent="0.25">
      <c r="A200" s="195">
        <v>11</v>
      </c>
      <c r="B200" s="216" t="str">
        <f t="shared" si="124"/>
        <v xml:space="preserve">: </v>
      </c>
      <c r="C200" s="221"/>
      <c r="D200" s="221"/>
      <c r="E200" s="221"/>
      <c r="F200" s="221"/>
      <c r="G200" s="240"/>
      <c r="H200" s="221"/>
      <c r="I200" s="240"/>
      <c r="J200" s="241"/>
      <c r="K200" s="241"/>
      <c r="L200" s="241"/>
      <c r="M200" s="225" t="str">
        <f t="shared" si="125"/>
        <v>kg of protein/kg of protein</v>
      </c>
      <c r="N200" s="227"/>
      <c r="O200" s="241"/>
      <c r="Q200" s="228"/>
      <c r="R200" s="231" t="str">
        <f t="shared" si="138"/>
        <v/>
      </c>
      <c r="S200" s="230" t="str">
        <f t="shared" si="126"/>
        <v/>
      </c>
      <c r="T200" s="231" t="str">
        <f t="shared" si="127"/>
        <v/>
      </c>
      <c r="U200" s="232" t="str">
        <f t="shared" si="128"/>
        <v>kg of protein/kg of protein</v>
      </c>
      <c r="V200" s="28"/>
      <c r="W200" s="28"/>
      <c r="Y200" s="139"/>
      <c r="AO200" s="139"/>
      <c r="AP200" s="28"/>
      <c r="AQ200" s="28"/>
      <c r="AR200" s="237"/>
      <c r="AS200" s="28"/>
      <c r="AT200" s="304" t="str">
        <f t="shared" si="139"/>
        <v/>
      </c>
      <c r="AU200" s="304" t="str">
        <f t="shared" si="139"/>
        <v/>
      </c>
      <c r="AV200" s="28"/>
      <c r="AW200" s="304" t="str">
        <f t="shared" si="129"/>
        <v/>
      </c>
      <c r="AX200" s="304" t="str">
        <f t="shared" si="129"/>
        <v/>
      </c>
      <c r="AY200" s="28"/>
      <c r="AZ200" s="304" t="str">
        <f t="shared" si="130"/>
        <v/>
      </c>
      <c r="BA200" s="304" t="str">
        <f t="shared" si="130"/>
        <v/>
      </c>
      <c r="BB200" s="28"/>
      <c r="BC200" s="304" t="str">
        <f t="shared" si="131"/>
        <v/>
      </c>
      <c r="BD200" s="304" t="str">
        <f t="shared" si="131"/>
        <v/>
      </c>
      <c r="BE200" s="28"/>
      <c r="BF200" s="304" t="str">
        <f t="shared" si="132"/>
        <v/>
      </c>
      <c r="BG200" s="304" t="str">
        <f t="shared" si="132"/>
        <v/>
      </c>
      <c r="BH200" s="28"/>
      <c r="BI200" s="304" t="str">
        <f t="shared" si="133"/>
        <v/>
      </c>
      <c r="BJ200" s="304" t="str">
        <f t="shared" si="133"/>
        <v/>
      </c>
      <c r="BK200" s="28"/>
      <c r="BL200" s="304" t="str">
        <f t="shared" si="134"/>
        <v/>
      </c>
      <c r="BM200" s="304" t="str">
        <f t="shared" si="134"/>
        <v/>
      </c>
      <c r="BN200" s="28"/>
      <c r="BO200" s="304" t="str">
        <f t="shared" si="135"/>
        <v/>
      </c>
      <c r="BP200" s="304" t="str">
        <f t="shared" si="135"/>
        <v/>
      </c>
      <c r="BQ200" s="28"/>
      <c r="BR200" s="304" t="str">
        <f t="shared" si="136"/>
        <v/>
      </c>
      <c r="BS200" s="304" t="str">
        <f t="shared" si="136"/>
        <v/>
      </c>
      <c r="BT200" s="28"/>
      <c r="BU200" s="304" t="str">
        <f t="shared" si="137"/>
        <v/>
      </c>
      <c r="BV200" s="304" t="str">
        <f t="shared" si="137"/>
        <v/>
      </c>
      <c r="BW200" s="28"/>
      <c r="BX200" s="139"/>
    </row>
    <row r="201" spans="1:76" s="122" customFormat="1" x14ac:dyDescent="0.25">
      <c r="A201" s="195">
        <v>12</v>
      </c>
      <c r="B201" s="216" t="str">
        <f t="shared" si="124"/>
        <v xml:space="preserve">: </v>
      </c>
      <c r="C201" s="221"/>
      <c r="D201" s="221"/>
      <c r="E201" s="221"/>
      <c r="F201" s="221"/>
      <c r="G201" s="240"/>
      <c r="H201" s="221"/>
      <c r="I201" s="240"/>
      <c r="J201" s="241"/>
      <c r="K201" s="241"/>
      <c r="L201" s="241"/>
      <c r="M201" s="225" t="str">
        <f t="shared" si="125"/>
        <v>kg of protein/kg of protein</v>
      </c>
      <c r="N201" s="227"/>
      <c r="O201" s="241"/>
      <c r="Q201" s="228"/>
      <c r="R201" s="231" t="str">
        <f t="shared" si="138"/>
        <v/>
      </c>
      <c r="S201" s="230" t="str">
        <f t="shared" si="126"/>
        <v/>
      </c>
      <c r="T201" s="231" t="str">
        <f t="shared" si="127"/>
        <v/>
      </c>
      <c r="U201" s="232" t="str">
        <f t="shared" si="128"/>
        <v>kg of protein/kg of protein</v>
      </c>
      <c r="V201" s="28"/>
      <c r="W201" s="28"/>
      <c r="Y201" s="139"/>
      <c r="AO201" s="139"/>
      <c r="AP201" s="28"/>
      <c r="AQ201" s="28"/>
      <c r="AR201" s="237"/>
      <c r="AS201" s="28"/>
      <c r="AT201" s="304" t="str">
        <f t="shared" si="139"/>
        <v/>
      </c>
      <c r="AU201" s="304" t="str">
        <f t="shared" si="139"/>
        <v/>
      </c>
      <c r="AV201" s="28"/>
      <c r="AW201" s="304" t="str">
        <f t="shared" si="129"/>
        <v/>
      </c>
      <c r="AX201" s="304" t="str">
        <f t="shared" si="129"/>
        <v/>
      </c>
      <c r="AY201" s="28"/>
      <c r="AZ201" s="304" t="str">
        <f t="shared" si="130"/>
        <v/>
      </c>
      <c r="BA201" s="304" t="str">
        <f t="shared" si="130"/>
        <v/>
      </c>
      <c r="BB201" s="28"/>
      <c r="BC201" s="304" t="str">
        <f t="shared" si="131"/>
        <v/>
      </c>
      <c r="BD201" s="304" t="str">
        <f t="shared" si="131"/>
        <v/>
      </c>
      <c r="BE201" s="28"/>
      <c r="BF201" s="304" t="str">
        <f t="shared" si="132"/>
        <v/>
      </c>
      <c r="BG201" s="304" t="str">
        <f t="shared" si="132"/>
        <v/>
      </c>
      <c r="BH201" s="28"/>
      <c r="BI201" s="304" t="str">
        <f t="shared" si="133"/>
        <v/>
      </c>
      <c r="BJ201" s="304" t="str">
        <f t="shared" si="133"/>
        <v/>
      </c>
      <c r="BK201" s="28"/>
      <c r="BL201" s="304" t="str">
        <f t="shared" si="134"/>
        <v/>
      </c>
      <c r="BM201" s="304" t="str">
        <f t="shared" si="134"/>
        <v/>
      </c>
      <c r="BN201" s="28"/>
      <c r="BO201" s="304" t="str">
        <f t="shared" si="135"/>
        <v/>
      </c>
      <c r="BP201" s="304" t="str">
        <f t="shared" si="135"/>
        <v/>
      </c>
      <c r="BQ201" s="28"/>
      <c r="BR201" s="304" t="str">
        <f t="shared" si="136"/>
        <v/>
      </c>
      <c r="BS201" s="304" t="str">
        <f t="shared" si="136"/>
        <v/>
      </c>
      <c r="BT201" s="28"/>
      <c r="BU201" s="304" t="str">
        <f t="shared" si="137"/>
        <v/>
      </c>
      <c r="BV201" s="304" t="str">
        <f t="shared" si="137"/>
        <v/>
      </c>
      <c r="BW201" s="28"/>
      <c r="BX201" s="139"/>
    </row>
    <row r="202" spans="1:76" s="122" customFormat="1" ht="14.25" customHeight="1" x14ac:dyDescent="0.25">
      <c r="A202" s="195">
        <v>13</v>
      </c>
      <c r="B202" s="216" t="str">
        <f t="shared" si="124"/>
        <v xml:space="preserve">: </v>
      </c>
      <c r="C202" s="221"/>
      <c r="D202" s="221"/>
      <c r="E202" s="221"/>
      <c r="F202" s="221"/>
      <c r="G202" s="240"/>
      <c r="H202" s="221"/>
      <c r="I202" s="240"/>
      <c r="J202" s="241"/>
      <c r="K202" s="241"/>
      <c r="L202" s="241"/>
      <c r="M202" s="225" t="str">
        <f t="shared" si="125"/>
        <v>kg of protein/kg of protein</v>
      </c>
      <c r="N202" s="227"/>
      <c r="O202" s="241"/>
      <c r="Q202" s="228"/>
      <c r="R202" s="231" t="str">
        <f t="shared" si="138"/>
        <v/>
      </c>
      <c r="S202" s="230" t="str">
        <f t="shared" si="126"/>
        <v/>
      </c>
      <c r="T202" s="231" t="str">
        <f t="shared" si="127"/>
        <v/>
      </c>
      <c r="U202" s="232" t="str">
        <f t="shared" si="128"/>
        <v>kg of protein/kg of protein</v>
      </c>
      <c r="V202" s="28"/>
      <c r="W202" s="28"/>
      <c r="Y202" s="139"/>
      <c r="AO202" s="139"/>
      <c r="AP202" s="28"/>
      <c r="AQ202" s="28"/>
      <c r="AR202" s="237"/>
      <c r="AS202" s="28"/>
      <c r="AT202" s="304" t="str">
        <f t="shared" si="139"/>
        <v/>
      </c>
      <c r="AU202" s="304" t="str">
        <f t="shared" si="139"/>
        <v/>
      </c>
      <c r="AV202" s="28"/>
      <c r="AW202" s="304" t="str">
        <f t="shared" si="129"/>
        <v/>
      </c>
      <c r="AX202" s="304" t="str">
        <f t="shared" si="129"/>
        <v/>
      </c>
      <c r="AY202" s="28"/>
      <c r="AZ202" s="304" t="str">
        <f t="shared" si="130"/>
        <v/>
      </c>
      <c r="BA202" s="304" t="str">
        <f t="shared" si="130"/>
        <v/>
      </c>
      <c r="BB202" s="28"/>
      <c r="BC202" s="304" t="str">
        <f t="shared" si="131"/>
        <v/>
      </c>
      <c r="BD202" s="304" t="str">
        <f t="shared" si="131"/>
        <v/>
      </c>
      <c r="BE202" s="28"/>
      <c r="BF202" s="304" t="str">
        <f t="shared" si="132"/>
        <v/>
      </c>
      <c r="BG202" s="304" t="str">
        <f t="shared" si="132"/>
        <v/>
      </c>
      <c r="BH202" s="28"/>
      <c r="BI202" s="304" t="str">
        <f t="shared" si="133"/>
        <v/>
      </c>
      <c r="BJ202" s="304" t="str">
        <f t="shared" si="133"/>
        <v/>
      </c>
      <c r="BK202" s="28"/>
      <c r="BL202" s="304" t="str">
        <f t="shared" si="134"/>
        <v/>
      </c>
      <c r="BM202" s="304" t="str">
        <f t="shared" si="134"/>
        <v/>
      </c>
      <c r="BN202" s="28"/>
      <c r="BO202" s="304" t="str">
        <f t="shared" si="135"/>
        <v/>
      </c>
      <c r="BP202" s="304" t="str">
        <f t="shared" si="135"/>
        <v/>
      </c>
      <c r="BQ202" s="28"/>
      <c r="BR202" s="304" t="str">
        <f t="shared" si="136"/>
        <v/>
      </c>
      <c r="BS202" s="304" t="str">
        <f t="shared" si="136"/>
        <v/>
      </c>
      <c r="BT202" s="28"/>
      <c r="BU202" s="304" t="str">
        <f t="shared" si="137"/>
        <v/>
      </c>
      <c r="BV202" s="304" t="str">
        <f t="shared" si="137"/>
        <v/>
      </c>
      <c r="BW202" s="28"/>
      <c r="BX202" s="139"/>
    </row>
    <row r="203" spans="1:76" s="122" customFormat="1" x14ac:dyDescent="0.25">
      <c r="A203" s="195">
        <v>14</v>
      </c>
      <c r="B203" s="216" t="str">
        <f t="shared" si="124"/>
        <v xml:space="preserve">: </v>
      </c>
      <c r="C203" s="221"/>
      <c r="D203" s="221"/>
      <c r="E203" s="221"/>
      <c r="F203" s="221"/>
      <c r="G203" s="240"/>
      <c r="H203" s="221"/>
      <c r="I203" s="240"/>
      <c r="J203" s="241"/>
      <c r="K203" s="241"/>
      <c r="L203" s="241"/>
      <c r="M203" s="225" t="str">
        <f t="shared" si="125"/>
        <v>kg of protein/kg of protein</v>
      </c>
      <c r="N203" s="227"/>
      <c r="O203" s="241"/>
      <c r="Q203" s="228"/>
      <c r="R203" s="231" t="str">
        <f t="shared" si="138"/>
        <v/>
      </c>
      <c r="S203" s="230" t="str">
        <f t="shared" si="126"/>
        <v/>
      </c>
      <c r="T203" s="231" t="str">
        <f t="shared" si="127"/>
        <v/>
      </c>
      <c r="U203" s="232" t="str">
        <f t="shared" si="128"/>
        <v>kg of protein/kg of protein</v>
      </c>
      <c r="V203" s="28"/>
      <c r="W203" s="28"/>
      <c r="Y203" s="139"/>
      <c r="AO203" s="139"/>
      <c r="AP203" s="28"/>
      <c r="AQ203" s="28"/>
      <c r="AR203" s="237"/>
      <c r="AS203" s="28"/>
      <c r="AT203" s="304" t="str">
        <f t="shared" si="139"/>
        <v/>
      </c>
      <c r="AU203" s="304" t="str">
        <f t="shared" si="139"/>
        <v/>
      </c>
      <c r="AV203" s="28"/>
      <c r="AW203" s="304" t="str">
        <f t="shared" si="129"/>
        <v/>
      </c>
      <c r="AX203" s="304" t="str">
        <f t="shared" si="129"/>
        <v/>
      </c>
      <c r="AY203" s="28"/>
      <c r="AZ203" s="304" t="str">
        <f t="shared" si="130"/>
        <v/>
      </c>
      <c r="BA203" s="304" t="str">
        <f t="shared" si="130"/>
        <v/>
      </c>
      <c r="BB203" s="28"/>
      <c r="BC203" s="304" t="str">
        <f t="shared" si="131"/>
        <v/>
      </c>
      <c r="BD203" s="304" t="str">
        <f t="shared" si="131"/>
        <v/>
      </c>
      <c r="BE203" s="28"/>
      <c r="BF203" s="304" t="str">
        <f t="shared" si="132"/>
        <v/>
      </c>
      <c r="BG203" s="304" t="str">
        <f t="shared" si="132"/>
        <v/>
      </c>
      <c r="BH203" s="28"/>
      <c r="BI203" s="304" t="str">
        <f t="shared" si="133"/>
        <v/>
      </c>
      <c r="BJ203" s="304" t="str">
        <f t="shared" si="133"/>
        <v/>
      </c>
      <c r="BK203" s="28"/>
      <c r="BL203" s="304" t="str">
        <f t="shared" si="134"/>
        <v/>
      </c>
      <c r="BM203" s="304" t="str">
        <f t="shared" si="134"/>
        <v/>
      </c>
      <c r="BN203" s="28"/>
      <c r="BO203" s="304" t="str">
        <f t="shared" si="135"/>
        <v/>
      </c>
      <c r="BP203" s="304" t="str">
        <f t="shared" si="135"/>
        <v/>
      </c>
      <c r="BQ203" s="28"/>
      <c r="BR203" s="304" t="str">
        <f t="shared" si="136"/>
        <v/>
      </c>
      <c r="BS203" s="304" t="str">
        <f t="shared" si="136"/>
        <v/>
      </c>
      <c r="BT203" s="28"/>
      <c r="BU203" s="304" t="str">
        <f t="shared" si="137"/>
        <v/>
      </c>
      <c r="BV203" s="304" t="str">
        <f t="shared" si="137"/>
        <v/>
      </c>
      <c r="BW203" s="28"/>
      <c r="BX203" s="139"/>
    </row>
    <row r="204" spans="1:76" s="122" customFormat="1" x14ac:dyDescent="0.25">
      <c r="A204" s="195">
        <v>15</v>
      </c>
      <c r="B204" s="216" t="str">
        <f t="shared" si="124"/>
        <v xml:space="preserve">: </v>
      </c>
      <c r="C204" s="221"/>
      <c r="D204" s="221"/>
      <c r="E204" s="221"/>
      <c r="F204" s="221"/>
      <c r="G204" s="240"/>
      <c r="H204" s="221"/>
      <c r="I204" s="240"/>
      <c r="J204" s="241"/>
      <c r="K204" s="241"/>
      <c r="L204" s="241"/>
      <c r="M204" s="225" t="str">
        <f t="shared" si="125"/>
        <v>kg of protein/kg of protein</v>
      </c>
      <c r="N204" s="227"/>
      <c r="O204" s="241"/>
      <c r="Q204" s="228"/>
      <c r="R204" s="231" t="str">
        <f t="shared" si="138"/>
        <v/>
      </c>
      <c r="S204" s="230" t="str">
        <f t="shared" si="126"/>
        <v/>
      </c>
      <c r="T204" s="231" t="str">
        <f t="shared" si="127"/>
        <v/>
      </c>
      <c r="U204" s="232" t="str">
        <f t="shared" si="128"/>
        <v>kg of protein/kg of protein</v>
      </c>
      <c r="V204" s="28"/>
      <c r="W204" s="28"/>
      <c r="Y204" s="139"/>
      <c r="AO204" s="139"/>
      <c r="AP204" s="28"/>
      <c r="AQ204" s="28"/>
      <c r="AR204" s="237"/>
      <c r="AS204" s="28"/>
      <c r="AT204" s="304" t="str">
        <f t="shared" si="139"/>
        <v/>
      </c>
      <c r="AU204" s="304" t="str">
        <f t="shared" si="139"/>
        <v/>
      </c>
      <c r="AV204" s="28"/>
      <c r="AW204" s="304" t="str">
        <f t="shared" si="129"/>
        <v/>
      </c>
      <c r="AX204" s="304" t="str">
        <f t="shared" si="129"/>
        <v/>
      </c>
      <c r="AY204" s="28"/>
      <c r="AZ204" s="304" t="str">
        <f t="shared" si="130"/>
        <v/>
      </c>
      <c r="BA204" s="304" t="str">
        <f t="shared" si="130"/>
        <v/>
      </c>
      <c r="BB204" s="28"/>
      <c r="BC204" s="304" t="str">
        <f t="shared" si="131"/>
        <v/>
      </c>
      <c r="BD204" s="304" t="str">
        <f t="shared" si="131"/>
        <v/>
      </c>
      <c r="BE204" s="28"/>
      <c r="BF204" s="304" t="str">
        <f t="shared" si="132"/>
        <v/>
      </c>
      <c r="BG204" s="304" t="str">
        <f t="shared" si="132"/>
        <v/>
      </c>
      <c r="BH204" s="28"/>
      <c r="BI204" s="304" t="str">
        <f t="shared" si="133"/>
        <v/>
      </c>
      <c r="BJ204" s="304" t="str">
        <f t="shared" si="133"/>
        <v/>
      </c>
      <c r="BK204" s="28"/>
      <c r="BL204" s="304" t="str">
        <f t="shared" si="134"/>
        <v/>
      </c>
      <c r="BM204" s="304" t="str">
        <f t="shared" si="134"/>
        <v/>
      </c>
      <c r="BN204" s="28"/>
      <c r="BO204" s="304" t="str">
        <f t="shared" si="135"/>
        <v/>
      </c>
      <c r="BP204" s="304" t="str">
        <f t="shared" si="135"/>
        <v/>
      </c>
      <c r="BQ204" s="28"/>
      <c r="BR204" s="304" t="str">
        <f t="shared" si="136"/>
        <v/>
      </c>
      <c r="BS204" s="304" t="str">
        <f t="shared" si="136"/>
        <v/>
      </c>
      <c r="BT204" s="28"/>
      <c r="BU204" s="304" t="str">
        <f t="shared" si="137"/>
        <v/>
      </c>
      <c r="BV204" s="304" t="str">
        <f t="shared" si="137"/>
        <v/>
      </c>
      <c r="BW204" s="28"/>
      <c r="BX204" s="139"/>
    </row>
    <row r="205" spans="1:76" s="122" customFormat="1" x14ac:dyDescent="0.25">
      <c r="A205" s="195">
        <v>16</v>
      </c>
      <c r="B205" s="216" t="str">
        <f t="shared" si="124"/>
        <v xml:space="preserve">: </v>
      </c>
      <c r="C205" s="221"/>
      <c r="D205" s="221"/>
      <c r="E205" s="221"/>
      <c r="F205" s="221"/>
      <c r="G205" s="240"/>
      <c r="H205" s="221"/>
      <c r="I205" s="240"/>
      <c r="J205" s="241"/>
      <c r="K205" s="241"/>
      <c r="L205" s="241"/>
      <c r="M205" s="225" t="str">
        <f t="shared" si="125"/>
        <v>kg of protein/kg of protein</v>
      </c>
      <c r="N205" s="227"/>
      <c r="O205" s="241"/>
      <c r="Q205" s="228"/>
      <c r="R205" s="231" t="str">
        <f t="shared" si="138"/>
        <v/>
      </c>
      <c r="S205" s="230" t="str">
        <f t="shared" si="126"/>
        <v/>
      </c>
      <c r="T205" s="231" t="str">
        <f t="shared" si="127"/>
        <v/>
      </c>
      <c r="U205" s="232" t="str">
        <f t="shared" si="128"/>
        <v>kg of protein/kg of protein</v>
      </c>
      <c r="V205" s="28"/>
      <c r="W205" s="28"/>
      <c r="Y205" s="139"/>
      <c r="AO205" s="139"/>
      <c r="AP205" s="28"/>
      <c r="AQ205" s="28"/>
      <c r="AR205" s="237"/>
      <c r="AS205" s="28"/>
      <c r="AT205" s="304" t="str">
        <f t="shared" si="139"/>
        <v/>
      </c>
      <c r="AU205" s="304" t="str">
        <f t="shared" si="139"/>
        <v/>
      </c>
      <c r="AV205" s="28"/>
      <c r="AW205" s="304" t="str">
        <f t="shared" si="129"/>
        <v/>
      </c>
      <c r="AX205" s="304" t="str">
        <f t="shared" si="129"/>
        <v/>
      </c>
      <c r="AY205" s="28"/>
      <c r="AZ205" s="304" t="str">
        <f t="shared" si="130"/>
        <v/>
      </c>
      <c r="BA205" s="304" t="str">
        <f t="shared" si="130"/>
        <v/>
      </c>
      <c r="BB205" s="28"/>
      <c r="BC205" s="304" t="str">
        <f t="shared" si="131"/>
        <v/>
      </c>
      <c r="BD205" s="304" t="str">
        <f t="shared" si="131"/>
        <v/>
      </c>
      <c r="BE205" s="28"/>
      <c r="BF205" s="304" t="str">
        <f t="shared" si="132"/>
        <v/>
      </c>
      <c r="BG205" s="304" t="str">
        <f t="shared" si="132"/>
        <v/>
      </c>
      <c r="BH205" s="28"/>
      <c r="BI205" s="304" t="str">
        <f t="shared" si="133"/>
        <v/>
      </c>
      <c r="BJ205" s="304" t="str">
        <f t="shared" si="133"/>
        <v/>
      </c>
      <c r="BK205" s="28"/>
      <c r="BL205" s="304" t="str">
        <f t="shared" si="134"/>
        <v/>
      </c>
      <c r="BM205" s="304" t="str">
        <f t="shared" si="134"/>
        <v/>
      </c>
      <c r="BN205" s="28"/>
      <c r="BO205" s="304" t="str">
        <f t="shared" si="135"/>
        <v/>
      </c>
      <c r="BP205" s="304" t="str">
        <f t="shared" si="135"/>
        <v/>
      </c>
      <c r="BQ205" s="28"/>
      <c r="BR205" s="304" t="str">
        <f t="shared" si="136"/>
        <v/>
      </c>
      <c r="BS205" s="304" t="str">
        <f t="shared" si="136"/>
        <v/>
      </c>
      <c r="BT205" s="28"/>
      <c r="BU205" s="304" t="str">
        <f t="shared" si="137"/>
        <v/>
      </c>
      <c r="BV205" s="304" t="str">
        <f t="shared" si="137"/>
        <v/>
      </c>
      <c r="BW205" s="28"/>
      <c r="BX205" s="139"/>
    </row>
    <row r="206" spans="1:76" s="122" customFormat="1" x14ac:dyDescent="0.25">
      <c r="A206" s="195">
        <v>17</v>
      </c>
      <c r="B206" s="216" t="str">
        <f t="shared" si="124"/>
        <v xml:space="preserve">: </v>
      </c>
      <c r="C206" s="221"/>
      <c r="D206" s="221"/>
      <c r="E206" s="221"/>
      <c r="F206" s="221"/>
      <c r="G206" s="240"/>
      <c r="H206" s="221"/>
      <c r="I206" s="240"/>
      <c r="J206" s="241"/>
      <c r="K206" s="241"/>
      <c r="L206" s="241"/>
      <c r="M206" s="225" t="str">
        <f t="shared" si="125"/>
        <v>kg of protein/kg of protein</v>
      </c>
      <c r="N206" s="227"/>
      <c r="O206" s="241"/>
      <c r="Q206" s="228"/>
      <c r="R206" s="231" t="str">
        <f t="shared" si="138"/>
        <v/>
      </c>
      <c r="S206" s="230" t="str">
        <f t="shared" si="126"/>
        <v/>
      </c>
      <c r="T206" s="231" t="str">
        <f t="shared" si="127"/>
        <v/>
      </c>
      <c r="U206" s="232" t="str">
        <f t="shared" si="128"/>
        <v>kg of protein/kg of protein</v>
      </c>
      <c r="V206" s="28"/>
      <c r="W206" s="28"/>
      <c r="Y206" s="139"/>
      <c r="AO206" s="139"/>
      <c r="AP206" s="28"/>
      <c r="AQ206" s="28"/>
      <c r="AR206" s="237"/>
      <c r="AS206" s="28"/>
      <c r="AT206" s="304" t="str">
        <f t="shared" si="139"/>
        <v/>
      </c>
      <c r="AU206" s="304" t="str">
        <f t="shared" si="139"/>
        <v/>
      </c>
      <c r="AV206" s="28"/>
      <c r="AW206" s="304" t="str">
        <f t="shared" si="129"/>
        <v/>
      </c>
      <c r="AX206" s="304" t="str">
        <f t="shared" si="129"/>
        <v/>
      </c>
      <c r="AY206" s="28"/>
      <c r="AZ206" s="304" t="str">
        <f t="shared" si="130"/>
        <v/>
      </c>
      <c r="BA206" s="304" t="str">
        <f t="shared" si="130"/>
        <v/>
      </c>
      <c r="BB206" s="28"/>
      <c r="BC206" s="304" t="str">
        <f t="shared" si="131"/>
        <v/>
      </c>
      <c r="BD206" s="304" t="str">
        <f t="shared" si="131"/>
        <v/>
      </c>
      <c r="BE206" s="28"/>
      <c r="BF206" s="304" t="str">
        <f t="shared" si="132"/>
        <v/>
      </c>
      <c r="BG206" s="304" t="str">
        <f t="shared" si="132"/>
        <v/>
      </c>
      <c r="BH206" s="28"/>
      <c r="BI206" s="304" t="str">
        <f t="shared" si="133"/>
        <v/>
      </c>
      <c r="BJ206" s="304" t="str">
        <f t="shared" si="133"/>
        <v/>
      </c>
      <c r="BK206" s="28"/>
      <c r="BL206" s="304" t="str">
        <f t="shared" si="134"/>
        <v/>
      </c>
      <c r="BM206" s="304" t="str">
        <f t="shared" si="134"/>
        <v/>
      </c>
      <c r="BN206" s="28"/>
      <c r="BO206" s="304" t="str">
        <f t="shared" si="135"/>
        <v/>
      </c>
      <c r="BP206" s="304" t="str">
        <f t="shared" si="135"/>
        <v/>
      </c>
      <c r="BQ206" s="28"/>
      <c r="BR206" s="304" t="str">
        <f t="shared" si="136"/>
        <v/>
      </c>
      <c r="BS206" s="304" t="str">
        <f t="shared" si="136"/>
        <v/>
      </c>
      <c r="BT206" s="28"/>
      <c r="BU206" s="304" t="str">
        <f t="shared" si="137"/>
        <v/>
      </c>
      <c r="BV206" s="304" t="str">
        <f t="shared" si="137"/>
        <v/>
      </c>
      <c r="BW206" s="28"/>
      <c r="BX206" s="139"/>
    </row>
    <row r="207" spans="1:76" s="122" customFormat="1" x14ac:dyDescent="0.25">
      <c r="A207" s="195">
        <v>18</v>
      </c>
      <c r="B207" s="216" t="str">
        <f t="shared" si="124"/>
        <v xml:space="preserve">: </v>
      </c>
      <c r="C207" s="221"/>
      <c r="D207" s="221"/>
      <c r="E207" s="221"/>
      <c r="F207" s="221"/>
      <c r="G207" s="240"/>
      <c r="H207" s="221"/>
      <c r="I207" s="240"/>
      <c r="J207" s="241"/>
      <c r="K207" s="241"/>
      <c r="L207" s="241"/>
      <c r="M207" s="225" t="str">
        <f t="shared" si="125"/>
        <v>kg of protein/kg of protein</v>
      </c>
      <c r="N207" s="227"/>
      <c r="O207" s="241"/>
      <c r="Q207" s="228"/>
      <c r="R207" s="231" t="str">
        <f t="shared" si="138"/>
        <v/>
      </c>
      <c r="S207" s="230" t="str">
        <f t="shared" si="126"/>
        <v/>
      </c>
      <c r="T207" s="231" t="str">
        <f t="shared" si="127"/>
        <v/>
      </c>
      <c r="U207" s="232" t="str">
        <f t="shared" si="128"/>
        <v>kg of protein/kg of protein</v>
      </c>
      <c r="V207" s="28"/>
      <c r="W207" s="28"/>
      <c r="Y207" s="139"/>
      <c r="AO207" s="139"/>
      <c r="AP207" s="28"/>
      <c r="AQ207" s="28"/>
      <c r="AR207" s="237"/>
      <c r="AS207" s="28"/>
      <c r="AT207" s="304" t="str">
        <f t="shared" si="139"/>
        <v/>
      </c>
      <c r="AU207" s="304" t="str">
        <f t="shared" si="139"/>
        <v/>
      </c>
      <c r="AV207" s="28"/>
      <c r="AW207" s="304" t="str">
        <f t="shared" si="129"/>
        <v/>
      </c>
      <c r="AX207" s="304" t="str">
        <f t="shared" si="129"/>
        <v/>
      </c>
      <c r="AY207" s="28"/>
      <c r="AZ207" s="304" t="str">
        <f t="shared" si="130"/>
        <v/>
      </c>
      <c r="BA207" s="304" t="str">
        <f t="shared" si="130"/>
        <v/>
      </c>
      <c r="BB207" s="28"/>
      <c r="BC207" s="304" t="str">
        <f t="shared" si="131"/>
        <v/>
      </c>
      <c r="BD207" s="304" t="str">
        <f t="shared" si="131"/>
        <v/>
      </c>
      <c r="BE207" s="28"/>
      <c r="BF207" s="304" t="str">
        <f t="shared" si="132"/>
        <v/>
      </c>
      <c r="BG207" s="304" t="str">
        <f t="shared" si="132"/>
        <v/>
      </c>
      <c r="BH207" s="28"/>
      <c r="BI207" s="304" t="str">
        <f t="shared" si="133"/>
        <v/>
      </c>
      <c r="BJ207" s="304" t="str">
        <f t="shared" si="133"/>
        <v/>
      </c>
      <c r="BK207" s="28"/>
      <c r="BL207" s="304" t="str">
        <f t="shared" si="134"/>
        <v/>
      </c>
      <c r="BM207" s="304" t="str">
        <f t="shared" si="134"/>
        <v/>
      </c>
      <c r="BN207" s="28"/>
      <c r="BO207" s="304" t="str">
        <f t="shared" si="135"/>
        <v/>
      </c>
      <c r="BP207" s="304" t="str">
        <f t="shared" si="135"/>
        <v/>
      </c>
      <c r="BQ207" s="28"/>
      <c r="BR207" s="304" t="str">
        <f t="shared" si="136"/>
        <v/>
      </c>
      <c r="BS207" s="304" t="str">
        <f t="shared" si="136"/>
        <v/>
      </c>
      <c r="BT207" s="28"/>
      <c r="BU207" s="304" t="str">
        <f t="shared" si="137"/>
        <v/>
      </c>
      <c r="BV207" s="304" t="str">
        <f t="shared" si="137"/>
        <v/>
      </c>
      <c r="BW207" s="28"/>
      <c r="BX207" s="139"/>
    </row>
    <row r="208" spans="1:76" s="122" customFormat="1" x14ac:dyDescent="0.25">
      <c r="A208" s="195">
        <v>19</v>
      </c>
      <c r="B208" s="216" t="str">
        <f t="shared" si="124"/>
        <v xml:space="preserve">: </v>
      </c>
      <c r="C208" s="221"/>
      <c r="D208" s="221"/>
      <c r="E208" s="221"/>
      <c r="F208" s="221"/>
      <c r="G208" s="240"/>
      <c r="H208" s="221"/>
      <c r="I208" s="240"/>
      <c r="J208" s="241"/>
      <c r="K208" s="241"/>
      <c r="L208" s="241"/>
      <c r="M208" s="225" t="str">
        <f t="shared" si="125"/>
        <v>kg of protein/kg of protein</v>
      </c>
      <c r="N208" s="227"/>
      <c r="O208" s="241"/>
      <c r="Q208" s="228"/>
      <c r="R208" s="231" t="str">
        <f t="shared" si="138"/>
        <v/>
      </c>
      <c r="S208" s="230" t="str">
        <f t="shared" si="126"/>
        <v/>
      </c>
      <c r="T208" s="231" t="str">
        <f t="shared" si="127"/>
        <v/>
      </c>
      <c r="U208" s="232" t="str">
        <f t="shared" si="128"/>
        <v>kg of protein/kg of protein</v>
      </c>
      <c r="V208" s="28"/>
      <c r="W208" s="28"/>
      <c r="Y208" s="139"/>
      <c r="AO208" s="139"/>
      <c r="AP208" s="28"/>
      <c r="AQ208" s="28"/>
      <c r="AR208" s="237"/>
      <c r="AS208" s="28"/>
      <c r="AT208" s="304" t="str">
        <f t="shared" si="139"/>
        <v/>
      </c>
      <c r="AU208" s="304" t="str">
        <f t="shared" si="139"/>
        <v/>
      </c>
      <c r="AV208" s="28"/>
      <c r="AW208" s="304" t="str">
        <f t="shared" si="129"/>
        <v/>
      </c>
      <c r="AX208" s="304" t="str">
        <f t="shared" si="129"/>
        <v/>
      </c>
      <c r="AY208" s="28"/>
      <c r="AZ208" s="304" t="str">
        <f t="shared" si="130"/>
        <v/>
      </c>
      <c r="BA208" s="304" t="str">
        <f t="shared" si="130"/>
        <v/>
      </c>
      <c r="BB208" s="28"/>
      <c r="BC208" s="304" t="str">
        <f t="shared" si="131"/>
        <v/>
      </c>
      <c r="BD208" s="304" t="str">
        <f t="shared" si="131"/>
        <v/>
      </c>
      <c r="BE208" s="28"/>
      <c r="BF208" s="304" t="str">
        <f t="shared" si="132"/>
        <v/>
      </c>
      <c r="BG208" s="304" t="str">
        <f t="shared" si="132"/>
        <v/>
      </c>
      <c r="BH208" s="28"/>
      <c r="BI208" s="304" t="str">
        <f t="shared" si="133"/>
        <v/>
      </c>
      <c r="BJ208" s="304" t="str">
        <f t="shared" si="133"/>
        <v/>
      </c>
      <c r="BK208" s="28"/>
      <c r="BL208" s="304" t="str">
        <f t="shared" si="134"/>
        <v/>
      </c>
      <c r="BM208" s="304" t="str">
        <f t="shared" si="134"/>
        <v/>
      </c>
      <c r="BN208" s="28"/>
      <c r="BO208" s="304" t="str">
        <f t="shared" si="135"/>
        <v/>
      </c>
      <c r="BP208" s="304" t="str">
        <f t="shared" si="135"/>
        <v/>
      </c>
      <c r="BQ208" s="28"/>
      <c r="BR208" s="304" t="str">
        <f t="shared" si="136"/>
        <v/>
      </c>
      <c r="BS208" s="304" t="str">
        <f t="shared" si="136"/>
        <v/>
      </c>
      <c r="BT208" s="28"/>
      <c r="BU208" s="304" t="str">
        <f t="shared" si="137"/>
        <v/>
      </c>
      <c r="BV208" s="304" t="str">
        <f t="shared" si="137"/>
        <v/>
      </c>
      <c r="BW208" s="28"/>
      <c r="BX208" s="139"/>
    </row>
    <row r="209" spans="1:76" s="122" customFormat="1" x14ac:dyDescent="0.25">
      <c r="A209" s="195">
        <v>20</v>
      </c>
      <c r="B209" s="216" t="str">
        <f t="shared" si="124"/>
        <v xml:space="preserve">: </v>
      </c>
      <c r="C209" s="221"/>
      <c r="D209" s="221"/>
      <c r="E209" s="221"/>
      <c r="F209" s="221"/>
      <c r="G209" s="240"/>
      <c r="H209" s="221"/>
      <c r="I209" s="240"/>
      <c r="J209" s="241"/>
      <c r="K209" s="241"/>
      <c r="L209" s="241"/>
      <c r="M209" s="225" t="str">
        <f t="shared" si="125"/>
        <v>kg of protein/kg of protein</v>
      </c>
      <c r="N209" s="227"/>
      <c r="O209" s="241"/>
      <c r="Q209" s="228"/>
      <c r="R209" s="231" t="str">
        <f t="shared" si="138"/>
        <v/>
      </c>
      <c r="S209" s="230" t="str">
        <f t="shared" si="126"/>
        <v/>
      </c>
      <c r="T209" s="231" t="str">
        <f t="shared" si="127"/>
        <v/>
      </c>
      <c r="U209" s="232" t="str">
        <f t="shared" si="128"/>
        <v>kg of protein/kg of protein</v>
      </c>
      <c r="V209" s="28"/>
      <c r="W209" s="28"/>
      <c r="Y209" s="139"/>
      <c r="AO209" s="139"/>
      <c r="AP209" s="28"/>
      <c r="AQ209" s="28"/>
      <c r="AR209" s="237"/>
      <c r="AS209" s="28"/>
      <c r="AT209" s="304" t="str">
        <f t="shared" si="139"/>
        <v/>
      </c>
      <c r="AU209" s="304" t="str">
        <f t="shared" si="139"/>
        <v/>
      </c>
      <c r="AV209" s="28"/>
      <c r="AW209" s="304" t="str">
        <f t="shared" si="129"/>
        <v/>
      </c>
      <c r="AX209" s="304" t="str">
        <f t="shared" si="129"/>
        <v/>
      </c>
      <c r="AY209" s="28"/>
      <c r="AZ209" s="304" t="str">
        <f t="shared" si="130"/>
        <v/>
      </c>
      <c r="BA209" s="304" t="str">
        <f t="shared" si="130"/>
        <v/>
      </c>
      <c r="BB209" s="28"/>
      <c r="BC209" s="304" t="str">
        <f t="shared" si="131"/>
        <v/>
      </c>
      <c r="BD209" s="304" t="str">
        <f t="shared" si="131"/>
        <v/>
      </c>
      <c r="BE209" s="28"/>
      <c r="BF209" s="304" t="str">
        <f t="shared" si="132"/>
        <v/>
      </c>
      <c r="BG209" s="304" t="str">
        <f t="shared" si="132"/>
        <v/>
      </c>
      <c r="BH209" s="28"/>
      <c r="BI209" s="304" t="str">
        <f t="shared" si="133"/>
        <v/>
      </c>
      <c r="BJ209" s="304" t="str">
        <f t="shared" si="133"/>
        <v/>
      </c>
      <c r="BK209" s="28"/>
      <c r="BL209" s="304" t="str">
        <f t="shared" si="134"/>
        <v/>
      </c>
      <c r="BM209" s="304" t="str">
        <f t="shared" si="134"/>
        <v/>
      </c>
      <c r="BN209" s="28"/>
      <c r="BO209" s="304" t="str">
        <f t="shared" si="135"/>
        <v/>
      </c>
      <c r="BP209" s="304" t="str">
        <f t="shared" si="135"/>
        <v/>
      </c>
      <c r="BQ209" s="28"/>
      <c r="BR209" s="304" t="str">
        <f t="shared" si="136"/>
        <v/>
      </c>
      <c r="BS209" s="304" t="str">
        <f t="shared" si="136"/>
        <v/>
      </c>
      <c r="BT209" s="28"/>
      <c r="BU209" s="304" t="str">
        <f t="shared" si="137"/>
        <v/>
      </c>
      <c r="BV209" s="304" t="str">
        <f t="shared" si="137"/>
        <v/>
      </c>
      <c r="BW209" s="28"/>
      <c r="BX209" s="139"/>
    </row>
    <row r="210" spans="1:76" s="122" customFormat="1" x14ac:dyDescent="0.25">
      <c r="A210" s="195"/>
      <c r="B210" s="244" t="s">
        <v>163</v>
      </c>
      <c r="C210" s="199"/>
      <c r="D210" s="199"/>
      <c r="E210" s="199"/>
      <c r="F210" s="199"/>
      <c r="H210" s="28"/>
      <c r="I210" s="245"/>
      <c r="L210" s="122" t="s">
        <v>134</v>
      </c>
      <c r="Q210" s="305" t="s">
        <v>136</v>
      </c>
      <c r="R210" s="246" t="e">
        <f>AVERAGE(R190:R209)</f>
        <v>#DIV/0!</v>
      </c>
      <c r="S210" s="247" t="e">
        <f>IF(R218="Y",SUM(S190:S209)/SUMPRODUCT(N190:N209,--ISNUMBER(S190:S209)),AVERAGE(S190:S209))</f>
        <v>#DIV/0!</v>
      </c>
      <c r="T210" s="248" t="e">
        <f>SUM(T190:T209)/SUMPRODUCT(N190:N209,--ISNUMBER(T190:T209))</f>
        <v>#DIV/0!</v>
      </c>
      <c r="U210" s="28"/>
      <c r="V210" s="28"/>
      <c r="W210" s="28"/>
      <c r="Y210" s="249"/>
      <c r="AO210" s="139"/>
      <c r="AP210" s="28"/>
      <c r="AQ210" s="28"/>
      <c r="AR210" s="28"/>
      <c r="AS210" s="245" t="s">
        <v>136</v>
      </c>
      <c r="AT210" s="307" t="e">
        <f>AVERAGE(AT190:AT209)</f>
        <v>#DIV/0!</v>
      </c>
      <c r="AU210" s="307" t="e">
        <f>SUM(AU190:AU209)/COUNTIF(AU190:AU209,"&gt;0")</f>
        <v>#DIV/0!</v>
      </c>
      <c r="AV210" s="245"/>
      <c r="AW210" s="307" t="e">
        <f>AVERAGE(AW190:AW209)</f>
        <v>#DIV/0!</v>
      </c>
      <c r="AX210" s="307" t="e">
        <f>SUM(AX190:AX209)/COUNTIF(AX190:AX209,"&gt;0")</f>
        <v>#DIV/0!</v>
      </c>
      <c r="AY210" s="28"/>
      <c r="AZ210" s="307" t="e">
        <f>AVERAGE(AZ190:AZ209)</f>
        <v>#DIV/0!</v>
      </c>
      <c r="BA210" s="307" t="e">
        <f>SUM(BA190:BA209)/COUNTIF(BA190:BA209,"&gt;0")</f>
        <v>#DIV/0!</v>
      </c>
      <c r="BB210" s="28"/>
      <c r="BC210" s="307" t="e">
        <f>AVERAGE(BC190:BC209)</f>
        <v>#DIV/0!</v>
      </c>
      <c r="BD210" s="307" t="e">
        <f>SUM(BD190:BD209)/COUNTIF(BD190:BD209,"&gt;0")</f>
        <v>#DIV/0!</v>
      </c>
      <c r="BE210" s="28"/>
      <c r="BF210" s="307" t="e">
        <f>AVERAGE(BF190:BF209)</f>
        <v>#DIV/0!</v>
      </c>
      <c r="BG210" s="307" t="e">
        <f>SUM(BG190:BG209)/COUNTIF(BG190:BG209,"&gt;0")</f>
        <v>#DIV/0!</v>
      </c>
      <c r="BH210" s="28"/>
      <c r="BI210" s="307" t="e">
        <f>AVERAGE(BI190:BI209)</f>
        <v>#DIV/0!</v>
      </c>
      <c r="BJ210" s="307" t="e">
        <f>SUM(BJ190:BJ209)/COUNTIF(BJ190:BJ209,"&gt;0")</f>
        <v>#DIV/0!</v>
      </c>
      <c r="BK210" s="245"/>
      <c r="BL210" s="307" t="e">
        <f>AVERAGE(BL190:BL209)</f>
        <v>#DIV/0!</v>
      </c>
      <c r="BM210" s="307" t="e">
        <f>SUM(BM190:BM209)/COUNTIF(BM190:BM209,"&gt;0")</f>
        <v>#DIV/0!</v>
      </c>
      <c r="BN210" s="28"/>
      <c r="BO210" s="307" t="e">
        <f>AVERAGE(BO190:BO209)</f>
        <v>#DIV/0!</v>
      </c>
      <c r="BP210" s="307" t="e">
        <f>SUM(BP190:BP209)/COUNTIF(BP190:BP209,"&gt;0")</f>
        <v>#DIV/0!</v>
      </c>
      <c r="BQ210" s="28"/>
      <c r="BR210" s="307" t="e">
        <f>AVERAGE(BR190:BR209)</f>
        <v>#DIV/0!</v>
      </c>
      <c r="BS210" s="307" t="e">
        <f>SUM(BS190:BS209)/COUNTIF(BS190:BS209,"&gt;0")</f>
        <v>#DIV/0!</v>
      </c>
      <c r="BT210" s="28"/>
      <c r="BU210" s="307" t="e">
        <f>AVERAGE(BU190:BU209)</f>
        <v>#DIV/0!</v>
      </c>
      <c r="BV210" s="307" t="e">
        <f>SUM(BV190:BV209)/COUNTIF(BV190:BV209,"&gt;0")</f>
        <v>#DIV/0!</v>
      </c>
      <c r="BW210" s="28"/>
      <c r="BX210" s="139"/>
    </row>
    <row r="211" spans="1:76" s="122" customFormat="1" x14ac:dyDescent="0.25">
      <c r="A211" s="195"/>
      <c r="B211" s="244" t="s">
        <v>164</v>
      </c>
      <c r="C211" s="199" t="s">
        <v>139</v>
      </c>
      <c r="D211" s="252"/>
      <c r="E211" s="253"/>
      <c r="F211" s="253"/>
      <c r="G211" s="253"/>
      <c r="H211" s="253"/>
      <c r="I211" s="253"/>
      <c r="J211" s="254"/>
      <c r="Q211" s="306" t="s">
        <v>144</v>
      </c>
      <c r="R211" s="257" t="e">
        <f>R210+U211*R214</f>
        <v>#DIV/0!</v>
      </c>
      <c r="S211" s="257" t="e">
        <f>S210+U211*S214</f>
        <v>#DIV/0!</v>
      </c>
      <c r="T211" s="257" t="e">
        <f>T210+U211*T214</f>
        <v>#DIV/0!</v>
      </c>
      <c r="U211" s="258">
        <v>1</v>
      </c>
      <c r="V211" s="122" t="s">
        <v>142</v>
      </c>
      <c r="W211" s="28"/>
      <c r="X211" s="259" t="s">
        <v>143</v>
      </c>
      <c r="Y211" s="260"/>
      <c r="AO211" s="139"/>
      <c r="AP211" s="28"/>
      <c r="AQ211" s="28"/>
      <c r="AR211" s="28"/>
      <c r="AS211" s="256" t="s">
        <v>144</v>
      </c>
      <c r="AT211" s="261" t="e">
        <f>AT210+(AT216*AT213)</f>
        <v>#DIV/0!</v>
      </c>
      <c r="AU211" s="261" t="e">
        <f>AU210+(AU216*AT213)</f>
        <v>#DIV/0!</v>
      </c>
      <c r="AV211" s="256"/>
      <c r="AW211" s="261" t="e">
        <f>AW210+(AW216*AW213)</f>
        <v>#DIV/0!</v>
      </c>
      <c r="AX211" s="261" t="e">
        <f>AX210+(AX216*AW213)</f>
        <v>#DIV/0!</v>
      </c>
      <c r="AY211" s="28"/>
      <c r="AZ211" s="261" t="e">
        <f>AZ210+(AZ216*AZ213)</f>
        <v>#DIV/0!</v>
      </c>
      <c r="BA211" s="261" t="e">
        <f>BA210+(BA216*AZ213)</f>
        <v>#DIV/0!</v>
      </c>
      <c r="BB211" s="28"/>
      <c r="BC211" s="261" t="e">
        <f>BC210+(BC216*BC213)</f>
        <v>#DIV/0!</v>
      </c>
      <c r="BD211" s="261" t="e">
        <f>BD210+(BD216*BC213)</f>
        <v>#DIV/0!</v>
      </c>
      <c r="BE211" s="28"/>
      <c r="BF211" s="261" t="e">
        <f>BF210+(BF216*BF213)</f>
        <v>#DIV/0!</v>
      </c>
      <c r="BG211" s="261" t="e">
        <f>BG210+(BG216*BF213)</f>
        <v>#DIV/0!</v>
      </c>
      <c r="BH211" s="28"/>
      <c r="BI211" s="261" t="e">
        <f>BI210+(BI216*BI213)</f>
        <v>#DIV/0!</v>
      </c>
      <c r="BJ211" s="261" t="e">
        <f>BJ210+(BJ216*BI213)</f>
        <v>#DIV/0!</v>
      </c>
      <c r="BK211" s="256"/>
      <c r="BL211" s="261" t="e">
        <f>BL210+(BL216*BL213)</f>
        <v>#DIV/0!</v>
      </c>
      <c r="BM211" s="261" t="e">
        <f>BM210+(BM216*BL213)</f>
        <v>#DIV/0!</v>
      </c>
      <c r="BN211" s="28"/>
      <c r="BO211" s="261" t="e">
        <f>BO210+(BO216*BO213)</f>
        <v>#DIV/0!</v>
      </c>
      <c r="BP211" s="261" t="e">
        <f>BP210+(BP216*BO213)</f>
        <v>#DIV/0!</v>
      </c>
      <c r="BQ211" s="28"/>
      <c r="BR211" s="261" t="e">
        <f>BR210+(BR216*BR213)</f>
        <v>#DIV/0!</v>
      </c>
      <c r="BS211" s="261" t="e">
        <f>BS210+(BS216*BR213)</f>
        <v>#DIV/0!</v>
      </c>
      <c r="BT211" s="28"/>
      <c r="BU211" s="261" t="e">
        <f>BU210+(BU216*BU213)</f>
        <v>#DIV/0!</v>
      </c>
      <c r="BV211" s="261" t="e">
        <f>BV210+(BV216*BU213)</f>
        <v>#DIV/0!</v>
      </c>
      <c r="BW211" s="28"/>
      <c r="BX211" s="139"/>
    </row>
    <row r="212" spans="1:76" s="122" customFormat="1" x14ac:dyDescent="0.25">
      <c r="A212" s="195"/>
      <c r="B212" s="244" t="s">
        <v>165</v>
      </c>
      <c r="C212" s="195"/>
      <c r="D212" s="263"/>
      <c r="E212" s="264"/>
      <c r="F212" s="264"/>
      <c r="G212" s="264"/>
      <c r="H212" s="264"/>
      <c r="I212" s="264"/>
      <c r="J212" s="265"/>
      <c r="K212" s="28"/>
      <c r="L212" s="28"/>
      <c r="Q212" s="306" t="s">
        <v>150</v>
      </c>
      <c r="R212" s="257" t="e">
        <f>IF($X212="Y",MIN(R190:R209),R210-$U212*R214)</f>
        <v>#DIV/0!</v>
      </c>
      <c r="S212" s="257" t="e">
        <f t="shared" ref="S212:T212" si="140">IF($X212="Y",MIN(S190:S209),S210-$U212*S214)</f>
        <v>#DIV/0!</v>
      </c>
      <c r="T212" s="257" t="e">
        <f t="shared" si="140"/>
        <v>#DIV/0!</v>
      </c>
      <c r="U212" s="258">
        <v>1</v>
      </c>
      <c r="V212" s="122" t="s">
        <v>148</v>
      </c>
      <c r="W212" s="28"/>
      <c r="X212" s="266" t="s">
        <v>149</v>
      </c>
      <c r="Y212" s="260"/>
      <c r="AO212" s="139"/>
      <c r="AP212" s="28"/>
      <c r="AQ212" s="28"/>
      <c r="AR212" s="28"/>
      <c r="AS212" s="256" t="s">
        <v>150</v>
      </c>
      <c r="AT212" s="261" t="e">
        <f>AT210-(AT216*AT214)</f>
        <v>#DIV/0!</v>
      </c>
      <c r="AU212" s="261" t="e">
        <f>AU210-(AU216*AT214)</f>
        <v>#DIV/0!</v>
      </c>
      <c r="AV212" s="256"/>
      <c r="AW212" s="261" t="e">
        <f>AW210-(AW216*AW214)</f>
        <v>#DIV/0!</v>
      </c>
      <c r="AX212" s="261" t="e">
        <f>AX210-(AX216*AW214)</f>
        <v>#DIV/0!</v>
      </c>
      <c r="AY212" s="28"/>
      <c r="AZ212" s="261" t="e">
        <f>AZ210-(AZ216*AZ214)</f>
        <v>#DIV/0!</v>
      </c>
      <c r="BA212" s="261" t="e">
        <f>BA210-(BA216*AZ214)</f>
        <v>#DIV/0!</v>
      </c>
      <c r="BB212" s="28"/>
      <c r="BC212" s="261" t="e">
        <f>BC210-(BC216*BC214)</f>
        <v>#DIV/0!</v>
      </c>
      <c r="BD212" s="261" t="e">
        <f>BD210-(BD216*BC214)</f>
        <v>#DIV/0!</v>
      </c>
      <c r="BE212" s="28"/>
      <c r="BF212" s="261" t="e">
        <f>BF210-(BF216*BF214)</f>
        <v>#DIV/0!</v>
      </c>
      <c r="BG212" s="261" t="e">
        <f>BG210-(BG216*BF214)</f>
        <v>#DIV/0!</v>
      </c>
      <c r="BH212" s="28"/>
      <c r="BI212" s="261" t="e">
        <f>BI210-(BI216*BI214)</f>
        <v>#DIV/0!</v>
      </c>
      <c r="BJ212" s="261" t="e">
        <f>BJ210-(BJ216*BI214)</f>
        <v>#DIV/0!</v>
      </c>
      <c r="BK212" s="256"/>
      <c r="BL212" s="261" t="e">
        <f>BL210-(BL216*BL214)</f>
        <v>#DIV/0!</v>
      </c>
      <c r="BM212" s="261" t="e">
        <f>BM210-(BM216*BL214)</f>
        <v>#DIV/0!</v>
      </c>
      <c r="BN212" s="28"/>
      <c r="BO212" s="261" t="e">
        <f>BO210-(BO216*BO214)</f>
        <v>#DIV/0!</v>
      </c>
      <c r="BP212" s="261" t="e">
        <f>BP210-(BP216*BO214)</f>
        <v>#DIV/0!</v>
      </c>
      <c r="BQ212" s="28"/>
      <c r="BR212" s="261" t="e">
        <f>BR210-(BR216*BR214)</f>
        <v>#DIV/0!</v>
      </c>
      <c r="BS212" s="261" t="e">
        <f>BS210-(BS216*BR214)</f>
        <v>#DIV/0!</v>
      </c>
      <c r="BT212" s="28"/>
      <c r="BU212" s="261" t="e">
        <f>BU210-(BU216*BU214)</f>
        <v>#DIV/0!</v>
      </c>
      <c r="BV212" s="261" t="e">
        <f>BV210-(BV216*BU214)</f>
        <v>#DIV/0!</v>
      </c>
      <c r="BW212" s="28"/>
      <c r="BX212" s="139"/>
    </row>
    <row r="213" spans="1:76" s="122" customFormat="1" ht="14.25" x14ac:dyDescent="0.2">
      <c r="A213" s="195"/>
      <c r="B213" s="196"/>
      <c r="C213" s="195"/>
      <c r="D213" s="263"/>
      <c r="E213" s="264"/>
      <c r="F213" s="264"/>
      <c r="G213" s="264"/>
      <c r="H213" s="264"/>
      <c r="I213" s="264"/>
      <c r="J213" s="265"/>
      <c r="Q213" s="306" t="s">
        <v>151</v>
      </c>
      <c r="R213" s="257" t="e">
        <f>IF((0.67*R214)&gt;R210,"no","yes")</f>
        <v>#DIV/0!</v>
      </c>
      <c r="S213" s="257" t="e">
        <f>IF((0.67*S214)&gt;S210,"no","yes")</f>
        <v>#DIV/0!</v>
      </c>
      <c r="T213" s="257" t="e">
        <f>IF((0.67*T214)&gt;T210,"no","yes")</f>
        <v>#DIV/0!</v>
      </c>
      <c r="Y213" s="260"/>
      <c r="AO213" s="139"/>
      <c r="AR213" s="267" t="s">
        <v>152</v>
      </c>
      <c r="AS213" s="268"/>
      <c r="AT213" s="258">
        <v>1</v>
      </c>
      <c r="AV213" s="308"/>
      <c r="AW213" s="258">
        <v>1</v>
      </c>
      <c r="AZ213" s="258">
        <v>1</v>
      </c>
      <c r="BC213" s="258">
        <v>1</v>
      </c>
      <c r="BF213" s="258">
        <v>1</v>
      </c>
      <c r="BI213" s="258">
        <v>1</v>
      </c>
      <c r="BK213" s="256"/>
      <c r="BL213" s="258">
        <v>1</v>
      </c>
      <c r="BO213" s="258">
        <v>1</v>
      </c>
      <c r="BR213" s="258">
        <v>1</v>
      </c>
      <c r="BU213" s="258">
        <v>1</v>
      </c>
      <c r="BX213" s="139"/>
    </row>
    <row r="214" spans="1:76" s="122" customFormat="1" ht="28.5" x14ac:dyDescent="0.2">
      <c r="A214" s="270" t="e">
        <f ca="1">HYPERLINK("#"&amp;"'"&amp;A$1&amp;"'!a1","Back to top")</f>
        <v>#VALUE!</v>
      </c>
      <c r="B214" s="271"/>
      <c r="C214" s="195"/>
      <c r="D214" s="263"/>
      <c r="E214" s="264"/>
      <c r="F214" s="264"/>
      <c r="G214" s="264"/>
      <c r="H214" s="264"/>
      <c r="I214" s="264"/>
      <c r="J214" s="265"/>
      <c r="Q214" s="306" t="s">
        <v>157</v>
      </c>
      <c r="R214" s="257">
        <f>IF(COUNT(R190:R209)&gt;1,_xlfn.STDEV.S(R190:R209),0)</f>
        <v>0</v>
      </c>
      <c r="S214" s="257" t="e">
        <f t="array" ref="S214">IF(R218="Y",SQRT(SUM(IFERROR(N190:N209*(R190:R209-(S210))^2,0))/((COUNT(S190:S209)-1)/COUNT(S190:S209)*SUMPRODUCT(N190:N209,--ISNUMBER(S190:S209)))),_xlfn.STDEV.S(S190:S209))</f>
        <v>#DIV/0!</v>
      </c>
      <c r="T214" s="257" t="e">
        <f t="array" ref="T214">SQRT(SUM(IFERROR(N190:N209*(R190:R209-(T210))^2,0))/((COUNT(T190:T209)-1)/COUNT(T190:T209)*SUMPRODUCT(N190:N209,--ISNUMBER(T190:T209))))</f>
        <v>#DIV/0!</v>
      </c>
      <c r="Y214" s="260"/>
      <c r="AO214" s="139"/>
      <c r="AR214" s="267"/>
      <c r="AS214" s="268"/>
      <c r="AT214" s="258">
        <v>1</v>
      </c>
      <c r="AV214" s="308"/>
      <c r="AW214" s="258">
        <v>1</v>
      </c>
      <c r="AZ214" s="258">
        <v>1</v>
      </c>
      <c r="BC214" s="258">
        <v>1</v>
      </c>
      <c r="BF214" s="258">
        <v>1</v>
      </c>
      <c r="BI214" s="258">
        <v>1</v>
      </c>
      <c r="BK214" s="256"/>
      <c r="BL214" s="258">
        <v>1</v>
      </c>
      <c r="BO214" s="258">
        <v>1</v>
      </c>
      <c r="BR214" s="258">
        <v>1</v>
      </c>
      <c r="BU214" s="258">
        <v>1</v>
      </c>
      <c r="BX214" s="139"/>
    </row>
    <row r="215" spans="1:76" s="122" customFormat="1" ht="15" customHeight="1" x14ac:dyDescent="0.25">
      <c r="A215" s="195"/>
      <c r="B215" s="196"/>
      <c r="C215" s="195"/>
      <c r="D215" s="263"/>
      <c r="E215" s="264"/>
      <c r="F215" s="264"/>
      <c r="G215" s="264"/>
      <c r="H215" s="264"/>
      <c r="I215" s="264"/>
      <c r="J215" s="265"/>
      <c r="Q215" s="309" t="s">
        <v>159</v>
      </c>
      <c r="R215" s="310">
        <f>COUNT(R190:R209)</f>
        <v>0</v>
      </c>
      <c r="S215" s="310">
        <f>COUNT(S190:S209)</f>
        <v>0</v>
      </c>
      <c r="T215" s="118"/>
      <c r="U215" s="273" t="s">
        <v>155</v>
      </c>
      <c r="Y215" s="139"/>
      <c r="AO215" s="139"/>
      <c r="AS215" s="256" t="s">
        <v>151</v>
      </c>
      <c r="AT215" s="261" t="e">
        <f>IF((0.67*AT216)&gt;AT210,"no","yes")</f>
        <v>#DIV/0!</v>
      </c>
      <c r="AU215" s="261" t="e">
        <f>IF((0.67*AU216)&gt;AU210,"no","yes")</f>
        <v>#DIV/0!</v>
      </c>
      <c r="AV215" s="256"/>
      <c r="AW215" s="261" t="e">
        <f>IF((0.67*AW216)&gt;AW210,"no","yes")</f>
        <v>#DIV/0!</v>
      </c>
      <c r="AX215" s="261" t="e">
        <f>IF((0.67*AX216)&gt;AX210,"no","yes")</f>
        <v>#DIV/0!</v>
      </c>
      <c r="AZ215" s="261" t="e">
        <f>IF((0.67*AZ216)&gt;AZ210,"no","yes")</f>
        <v>#DIV/0!</v>
      </c>
      <c r="BA215" s="261" t="e">
        <f>IF((0.67*BA216)&gt;BA210,"no","yes")</f>
        <v>#DIV/0!</v>
      </c>
      <c r="BC215" s="261" t="e">
        <f>IF((0.67*BC216)&gt;BC210,"no","yes")</f>
        <v>#DIV/0!</v>
      </c>
      <c r="BD215" s="261" t="e">
        <f>IF((0.67*BD216)&gt;BD210,"no","yes")</f>
        <v>#DIV/0!</v>
      </c>
      <c r="BF215" s="261" t="e">
        <f>IF((0.67*BF216)&gt;BF210,"no","yes")</f>
        <v>#DIV/0!</v>
      </c>
      <c r="BG215" s="261" t="e">
        <f>IF((0.67*BG216)&gt;BG210,"no","yes")</f>
        <v>#DIV/0!</v>
      </c>
      <c r="BI215" s="261" t="e">
        <f>IF((0.67*BI216)&gt;BI210,"no","yes")</f>
        <v>#DIV/0!</v>
      </c>
      <c r="BJ215" s="261" t="e">
        <f>IF((0.67*BJ216)&gt;BJ210,"no","yes")</f>
        <v>#DIV/0!</v>
      </c>
      <c r="BK215" s="133"/>
      <c r="BL215" s="261" t="e">
        <f>IF((0.67*BL216)&gt;BL210,"no","yes")</f>
        <v>#DIV/0!</v>
      </c>
      <c r="BM215" s="261" t="e">
        <f>IF((0.67*BM216)&gt;BM210,"no","yes")</f>
        <v>#DIV/0!</v>
      </c>
      <c r="BO215" s="261" t="e">
        <f>IF((0.67*BO216)&gt;BO210,"no","yes")</f>
        <v>#DIV/0!</v>
      </c>
      <c r="BP215" s="261" t="e">
        <f>IF((0.67*BP216)&gt;BP210,"no","yes")</f>
        <v>#DIV/0!</v>
      </c>
      <c r="BR215" s="261" t="e">
        <f>IF((0.67*BR216)&gt;BR210,"no","yes")</f>
        <v>#DIV/0!</v>
      </c>
      <c r="BS215" s="261" t="e">
        <f>IF((0.67*BS216)&gt;BS210,"no","yes")</f>
        <v>#DIV/0!</v>
      </c>
      <c r="BU215" s="261" t="e">
        <f>IF((0.67*BU216)&gt;BU210,"no","yes")</f>
        <v>#DIV/0!</v>
      </c>
      <c r="BV215" s="261" t="e">
        <f>IF((0.67*BV216)&gt;BV210,"no","yes")</f>
        <v>#DIV/0!</v>
      </c>
      <c r="BX215" s="139"/>
    </row>
    <row r="216" spans="1:76" s="122" customFormat="1" ht="14.25" x14ac:dyDescent="0.2">
      <c r="A216" s="195"/>
      <c r="B216" s="196"/>
      <c r="C216" s="195"/>
      <c r="D216" s="263"/>
      <c r="E216" s="264"/>
      <c r="F216" s="264"/>
      <c r="G216" s="264"/>
      <c r="H216" s="264"/>
      <c r="I216" s="264"/>
      <c r="J216" s="265"/>
      <c r="Q216" s="311"/>
      <c r="U216" s="274"/>
      <c r="V216" s="275"/>
      <c r="W216" s="276"/>
      <c r="Y216" s="139"/>
      <c r="AO216" s="139"/>
      <c r="AS216" s="256" t="s">
        <v>157</v>
      </c>
      <c r="AT216" s="261">
        <f>IF(AT217&gt;1,_xlfn.STDEV.S(AT190:AT209),0)</f>
        <v>0</v>
      </c>
      <c r="AU216" s="261">
        <f>IF(AU217&gt;1,_xlfn.STDEV.S(AU190:AU209),0)</f>
        <v>0</v>
      </c>
      <c r="AW216" s="261">
        <f t="shared" ref="AW216:AX216" si="141">IF(AW217&gt;1,_xlfn.STDEV.S(AW190:AW209),0)</f>
        <v>0</v>
      </c>
      <c r="AX216" s="261">
        <f t="shared" si="141"/>
        <v>0</v>
      </c>
      <c r="AZ216" s="261">
        <f t="shared" ref="AZ216:BA216" si="142">IF(AZ217&gt;1,_xlfn.STDEV.S(AZ190:AZ209),0)</f>
        <v>0</v>
      </c>
      <c r="BA216" s="261">
        <f t="shared" si="142"/>
        <v>0</v>
      </c>
      <c r="BC216" s="261">
        <f t="shared" ref="BC216:BD216" si="143">IF(BC217&gt;1,_xlfn.STDEV.S(BC190:BC209),0)</f>
        <v>0</v>
      </c>
      <c r="BD216" s="261">
        <f t="shared" si="143"/>
        <v>0</v>
      </c>
      <c r="BF216" s="261">
        <f t="shared" ref="BF216:BG216" si="144">IF(BF217&gt;1,_xlfn.STDEV.S(BF190:BF209),0)</f>
        <v>0</v>
      </c>
      <c r="BG216" s="261">
        <f t="shared" si="144"/>
        <v>0</v>
      </c>
      <c r="BI216" s="261">
        <f t="shared" ref="BI216:BJ216" si="145">IF(BI217&gt;1,_xlfn.STDEV.S(BI190:BI209),0)</f>
        <v>0</v>
      </c>
      <c r="BJ216" s="261">
        <f t="shared" si="145"/>
        <v>0</v>
      </c>
      <c r="BL216" s="261">
        <f t="shared" ref="BL216:BM216" si="146">IF(BL217&gt;1,_xlfn.STDEV.S(BL190:BL209),0)</f>
        <v>0</v>
      </c>
      <c r="BM216" s="261">
        <f t="shared" si="146"/>
        <v>0</v>
      </c>
      <c r="BO216" s="261">
        <f t="shared" ref="BO216:BP216" si="147">IF(BO217&gt;1,_xlfn.STDEV.S(BO190:BO209),0)</f>
        <v>0</v>
      </c>
      <c r="BP216" s="261">
        <f t="shared" si="147"/>
        <v>0</v>
      </c>
      <c r="BR216" s="261">
        <f t="shared" ref="BR216:BS216" si="148">IF(BR217&gt;1,_xlfn.STDEV.S(BR190:BR209),0)</f>
        <v>0</v>
      </c>
      <c r="BS216" s="261">
        <f t="shared" si="148"/>
        <v>0</v>
      </c>
      <c r="BU216" s="261">
        <f t="shared" ref="BU216:BV216" si="149">IF(BU217&gt;1,_xlfn.STDEV.S(BU190:BU209),0)</f>
        <v>0</v>
      </c>
      <c r="BV216" s="261">
        <f t="shared" si="149"/>
        <v>0</v>
      </c>
      <c r="BX216" s="139"/>
    </row>
    <row r="217" spans="1:76" s="122" customFormat="1" x14ac:dyDescent="0.2">
      <c r="B217" s="118"/>
      <c r="D217" s="277"/>
      <c r="E217" s="278"/>
      <c r="F217" s="278"/>
      <c r="G217" s="278"/>
      <c r="H217" s="278"/>
      <c r="I217" s="278"/>
      <c r="J217" s="279"/>
      <c r="Q217" s="311"/>
      <c r="R217" s="280" t="s">
        <v>158</v>
      </c>
      <c r="U217" s="281"/>
      <c r="V217" s="282"/>
      <c r="W217" s="283"/>
      <c r="Y217" s="139"/>
      <c r="AO217" s="139"/>
      <c r="AS217" s="133" t="s">
        <v>159</v>
      </c>
      <c r="AT217" s="284">
        <f>COUNT(AT190:AT209)</f>
        <v>0</v>
      </c>
      <c r="AU217" s="284">
        <f>COUNT(AU190:AU209)</f>
        <v>0</v>
      </c>
      <c r="AW217" s="284">
        <f t="shared" ref="AW217:AX217" si="150">COUNT(AW190:AW209)</f>
        <v>0</v>
      </c>
      <c r="AX217" s="284">
        <f t="shared" si="150"/>
        <v>0</v>
      </c>
      <c r="AZ217" s="284">
        <f t="shared" ref="AZ217:BA217" si="151">COUNT(AZ190:AZ209)</f>
        <v>0</v>
      </c>
      <c r="BA217" s="284">
        <f t="shared" si="151"/>
        <v>0</v>
      </c>
      <c r="BC217" s="284">
        <f t="shared" ref="BC217:BD217" si="152">COUNT(BC190:BC209)</f>
        <v>0</v>
      </c>
      <c r="BD217" s="284">
        <f t="shared" si="152"/>
        <v>0</v>
      </c>
      <c r="BF217" s="284">
        <f t="shared" ref="BF217:BG217" si="153">COUNT(BF190:BF209)</f>
        <v>0</v>
      </c>
      <c r="BG217" s="284">
        <f t="shared" si="153"/>
        <v>0</v>
      </c>
      <c r="BI217" s="284">
        <f t="shared" ref="BI217:BJ217" si="154">COUNT(BI190:BI209)</f>
        <v>0</v>
      </c>
      <c r="BJ217" s="284">
        <f t="shared" si="154"/>
        <v>0</v>
      </c>
      <c r="BL217" s="284">
        <f t="shared" ref="BL217:BM217" si="155">COUNT(BL190:BL209)</f>
        <v>0</v>
      </c>
      <c r="BM217" s="284">
        <f t="shared" si="155"/>
        <v>0</v>
      </c>
      <c r="BO217" s="284">
        <f t="shared" ref="BO217:BP217" si="156">COUNT(BO190:BO209)</f>
        <v>0</v>
      </c>
      <c r="BP217" s="284">
        <f t="shared" si="156"/>
        <v>0</v>
      </c>
      <c r="BR217" s="284">
        <f t="shared" ref="BR217:BS217" si="157">COUNT(BR190:BR209)</f>
        <v>0</v>
      </c>
      <c r="BS217" s="284">
        <f t="shared" si="157"/>
        <v>0</v>
      </c>
      <c r="BU217" s="284">
        <f t="shared" ref="BU217:BV217" si="158">COUNT(BU190:BU209)</f>
        <v>0</v>
      </c>
      <c r="BV217" s="284">
        <f t="shared" si="158"/>
        <v>0</v>
      </c>
      <c r="BX217" s="139"/>
    </row>
    <row r="218" spans="1:76" s="55" customFormat="1" ht="14.25" x14ac:dyDescent="0.2">
      <c r="B218" s="23"/>
      <c r="Q218" s="81"/>
      <c r="R218" s="287" t="s">
        <v>149</v>
      </c>
      <c r="T218" s="122"/>
      <c r="U218" s="281"/>
      <c r="V218" s="282"/>
      <c r="W218" s="283"/>
      <c r="Y218" s="91"/>
      <c r="AO218" s="91"/>
      <c r="BX218" s="91"/>
    </row>
    <row r="219" spans="1:76" s="55" customFormat="1" ht="18" x14ac:dyDescent="0.25">
      <c r="B219" s="23"/>
      <c r="Q219" s="81"/>
      <c r="T219" s="122"/>
      <c r="U219" s="288"/>
      <c r="V219" s="289"/>
      <c r="W219" s="290"/>
      <c r="Y219" s="91"/>
      <c r="AO219" s="296"/>
      <c r="BX219" s="296"/>
    </row>
    <row r="220" spans="1:76" s="55" customFormat="1" ht="14.25" x14ac:dyDescent="0.2">
      <c r="B220" s="23"/>
      <c r="Q220" s="81"/>
      <c r="T220" s="122"/>
      <c r="U220" s="122"/>
      <c r="V220" s="122"/>
      <c r="W220" s="122"/>
      <c r="Y220" s="91"/>
      <c r="AO220" s="91"/>
      <c r="BX220" s="91"/>
    </row>
    <row r="221" spans="1:76" s="55" customFormat="1" ht="14.25" x14ac:dyDescent="0.2">
      <c r="B221" s="23"/>
      <c r="Q221" s="81"/>
      <c r="Y221" s="91"/>
      <c r="AO221" s="91"/>
      <c r="BX221" s="91"/>
    </row>
    <row r="222" spans="1:76" s="139" customFormat="1" ht="18" x14ac:dyDescent="0.25">
      <c r="A222" s="188">
        <f>A187+1</f>
        <v>6</v>
      </c>
      <c r="B222" s="189"/>
      <c r="C222" s="293" t="s">
        <v>169</v>
      </c>
      <c r="D222" s="191"/>
      <c r="E222" s="315"/>
      <c r="F222" s="315" t="s">
        <v>170</v>
      </c>
      <c r="G222" s="192"/>
      <c r="H222" s="192"/>
      <c r="I222" s="192"/>
      <c r="J222" s="191"/>
      <c r="K222" s="191"/>
      <c r="L222" s="192"/>
      <c r="M222" s="315"/>
      <c r="N222" s="315"/>
      <c r="Q222" s="316"/>
      <c r="R222" s="194" t="s">
        <v>93</v>
      </c>
      <c r="S222" s="194"/>
      <c r="T222" s="194"/>
      <c r="U222" s="194"/>
      <c r="AP222" s="295">
        <f>A222</f>
        <v>6</v>
      </c>
      <c r="AQ222" s="295" t="str">
        <f>C222</f>
        <v>Average Annual Use - CONVENTIONAL</v>
      </c>
      <c r="AR222" s="296"/>
      <c r="AS222" s="296"/>
      <c r="AT222" s="296"/>
      <c r="AU222" s="296"/>
      <c r="AV222" s="296"/>
      <c r="AW222" s="296"/>
      <c r="AX222" s="296"/>
      <c r="AY222" s="296"/>
      <c r="AZ222" s="296"/>
      <c r="BA222" s="296"/>
      <c r="BB222" s="296"/>
      <c r="BC222" s="296"/>
      <c r="BD222" s="296"/>
      <c r="BE222" s="296"/>
      <c r="BF222" s="296"/>
      <c r="BG222" s="296"/>
      <c r="BH222" s="296"/>
      <c r="BI222" s="296"/>
      <c r="BJ222" s="296"/>
      <c r="BK222" s="296"/>
      <c r="BL222" s="296"/>
      <c r="BM222" s="296"/>
      <c r="BN222" s="296"/>
      <c r="BO222" s="296"/>
      <c r="BP222" s="296"/>
      <c r="BQ222" s="296"/>
      <c r="BR222" s="296"/>
      <c r="BS222" s="296"/>
      <c r="BT222" s="296"/>
      <c r="BU222" s="296"/>
      <c r="BV222" s="296"/>
      <c r="BW222" s="296"/>
    </row>
    <row r="223" spans="1:76" s="122" customFormat="1" x14ac:dyDescent="0.25">
      <c r="A223" s="195"/>
      <c r="B223" s="196"/>
      <c r="C223" s="195"/>
      <c r="D223" s="120"/>
      <c r="E223" s="120"/>
      <c r="F223" s="120"/>
      <c r="G223" s="120"/>
      <c r="J223" s="120"/>
      <c r="K223" s="120"/>
      <c r="Q223" s="311"/>
      <c r="Y223" s="139"/>
      <c r="AO223" s="139"/>
      <c r="AP223" s="28"/>
      <c r="AQ223" s="28"/>
      <c r="AR223" s="28"/>
      <c r="AS223" s="28"/>
      <c r="AT223" s="198" t="s">
        <v>171</v>
      </c>
      <c r="AU223" s="198"/>
      <c r="AV223" s="28"/>
      <c r="AW223" s="198" t="s">
        <v>96</v>
      </c>
      <c r="AX223" s="198"/>
      <c r="AY223" s="28"/>
      <c r="AZ223" s="198" t="s">
        <v>97</v>
      </c>
      <c r="BA223" s="198"/>
      <c r="BB223" s="28"/>
      <c r="BC223" s="198" t="s">
        <v>98</v>
      </c>
      <c r="BD223" s="198"/>
      <c r="BE223" s="28"/>
      <c r="BF223" s="198" t="s">
        <v>99</v>
      </c>
      <c r="BG223" s="198"/>
      <c r="BH223" s="28"/>
      <c r="BI223" s="198" t="s">
        <v>100</v>
      </c>
      <c r="BJ223" s="198"/>
      <c r="BK223" s="28"/>
      <c r="BL223" s="198" t="s">
        <v>101</v>
      </c>
      <c r="BM223" s="198"/>
      <c r="BN223" s="28"/>
      <c r="BO223" s="198" t="s">
        <v>102</v>
      </c>
      <c r="BP223" s="198"/>
      <c r="BQ223" s="28"/>
      <c r="BR223" s="198" t="s">
        <v>103</v>
      </c>
      <c r="BS223" s="198"/>
      <c r="BT223" s="28"/>
      <c r="BU223" s="198" t="s">
        <v>104</v>
      </c>
      <c r="BV223" s="198"/>
      <c r="BW223" s="28"/>
      <c r="BX223" s="139"/>
    </row>
    <row r="224" spans="1:76" s="122" customFormat="1" ht="30.75" thickBot="1" x14ac:dyDescent="0.3">
      <c r="A224" s="199" t="s">
        <v>105</v>
      </c>
      <c r="B224" s="200" t="s">
        <v>106</v>
      </c>
      <c r="C224" s="201" t="s">
        <v>107</v>
      </c>
      <c r="D224" s="202" t="s">
        <v>108</v>
      </c>
      <c r="E224" s="202" t="s">
        <v>109</v>
      </c>
      <c r="F224" s="201" t="s">
        <v>110</v>
      </c>
      <c r="G224" s="201" t="s">
        <v>111</v>
      </c>
      <c r="H224" s="202" t="s">
        <v>112</v>
      </c>
      <c r="I224" s="203" t="s">
        <v>113</v>
      </c>
      <c r="J224" s="204" t="s">
        <v>114</v>
      </c>
      <c r="K224" s="205" t="s">
        <v>115</v>
      </c>
      <c r="L224" s="302" t="s">
        <v>116</v>
      </c>
      <c r="M224" s="207" t="s">
        <v>117</v>
      </c>
      <c r="N224" s="208" t="s">
        <v>118</v>
      </c>
      <c r="O224" s="208" t="s">
        <v>119</v>
      </c>
      <c r="P224" s="210"/>
      <c r="Q224" s="211" t="s">
        <v>120</v>
      </c>
      <c r="R224" s="212" t="s">
        <v>121</v>
      </c>
      <c r="S224" s="212" t="s">
        <v>122</v>
      </c>
      <c r="T224" s="212" t="s">
        <v>123</v>
      </c>
      <c r="U224" s="213" t="s">
        <v>124</v>
      </c>
      <c r="V224" s="210"/>
      <c r="W224" s="210"/>
      <c r="Y224" s="139"/>
      <c r="AO224" s="139"/>
      <c r="AP224" s="210"/>
      <c r="AQ224" s="210"/>
      <c r="AR224" s="213" t="s">
        <v>125</v>
      </c>
      <c r="AS224" s="210"/>
      <c r="AT224" s="215" t="s">
        <v>121</v>
      </c>
      <c r="AU224" s="215" t="s">
        <v>122</v>
      </c>
      <c r="AV224" s="210"/>
      <c r="AW224" s="215" t="s">
        <v>121</v>
      </c>
      <c r="AX224" s="215" t="s">
        <v>122</v>
      </c>
      <c r="AY224" s="210"/>
      <c r="AZ224" s="215" t="s">
        <v>121</v>
      </c>
      <c r="BA224" s="215" t="s">
        <v>122</v>
      </c>
      <c r="BB224" s="210"/>
      <c r="BC224" s="215" t="s">
        <v>121</v>
      </c>
      <c r="BD224" s="215" t="s">
        <v>122</v>
      </c>
      <c r="BE224" s="210"/>
      <c r="BF224" s="215" t="s">
        <v>121</v>
      </c>
      <c r="BG224" s="215" t="s">
        <v>122</v>
      </c>
      <c r="BH224" s="210"/>
      <c r="BI224" s="215" t="s">
        <v>121</v>
      </c>
      <c r="BJ224" s="215" t="s">
        <v>122</v>
      </c>
      <c r="BK224" s="210"/>
      <c r="BL224" s="215" t="s">
        <v>121</v>
      </c>
      <c r="BM224" s="215" t="s">
        <v>122</v>
      </c>
      <c r="BN224" s="210"/>
      <c r="BO224" s="215" t="s">
        <v>121</v>
      </c>
      <c r="BP224" s="215" t="s">
        <v>122</v>
      </c>
      <c r="BQ224" s="210"/>
      <c r="BR224" s="215" t="s">
        <v>121</v>
      </c>
      <c r="BS224" s="215" t="s">
        <v>122</v>
      </c>
      <c r="BT224" s="210"/>
      <c r="BU224" s="215" t="s">
        <v>121</v>
      </c>
      <c r="BV224" s="215" t="s">
        <v>122</v>
      </c>
      <c r="BW224" s="210"/>
      <c r="BX224" s="139"/>
    </row>
    <row r="225" spans="1:76" s="122" customFormat="1" x14ac:dyDescent="0.25">
      <c r="A225" s="195">
        <v>1</v>
      </c>
      <c r="B225" s="216" t="str">
        <f t="shared" ref="B225:B244" si="159">CONCATENATE(E225,": ",C225)</f>
        <v xml:space="preserve">: </v>
      </c>
      <c r="C225" s="219"/>
      <c r="D225" s="219"/>
      <c r="E225" s="219"/>
      <c r="F225" s="219"/>
      <c r="G225" s="220"/>
      <c r="H225" s="221"/>
      <c r="I225" s="220"/>
      <c r="J225" s="312"/>
      <c r="K225" s="226"/>
      <c r="L225" s="241"/>
      <c r="M225" s="225" t="str">
        <f t="shared" ref="M225:M244" si="160">CONCATENATE(FunctionalUnitOfMeasure,"/",AdoptionUnitOfMeasure,"/year")</f>
        <v>kg of protein/kg of protein/year</v>
      </c>
      <c r="N225" s="227"/>
      <c r="O225" s="241"/>
      <c r="Q225" s="228"/>
      <c r="R225" s="231" t="str">
        <f>IF(Q225="Y","",IF(AND(L225="",J225=""),"",IF(L225="",J225,L225)))</f>
        <v/>
      </c>
      <c r="S225" s="230" t="str">
        <f t="shared" ref="S225:S244" si="161">IF(R225="","",IF($R$253="Y",T225,IF(R225&gt;=$R$245-$AA$35*$R$249,IF(R225&lt;=$R$245+$AA$35*$R$249,R225,""),"")))</f>
        <v/>
      </c>
      <c r="T225" s="231" t="str">
        <f t="shared" ref="T225:T244" si="162">IF(OR(Q225="Y",IFERROR(R225&gt;$R$245+$R$249*$AA$35,0),IFERROR(R225&lt;$R$245-$R$249*$AA$35,0)),"",IFERROR(R225*N225,""))</f>
        <v/>
      </c>
      <c r="U225" s="232" t="str">
        <f t="shared" ref="U225:U244" si="163">IF(AND(M225="",K225=""),"",IF(M225="",K225,M225))</f>
        <v>kg of protein/kg of protein/year</v>
      </c>
      <c r="V225" s="28"/>
      <c r="W225" s="28"/>
      <c r="Y225" s="139"/>
      <c r="AO225" s="139"/>
      <c r="AP225" s="28"/>
      <c r="AQ225" s="28"/>
      <c r="AR225" s="233" t="str">
        <f>$U225</f>
        <v>kg of protein/kg of protein/year</v>
      </c>
      <c r="AS225" s="28"/>
      <c r="AT225" s="304" t="str">
        <f>IF($E225=$AT$47,R225,"")</f>
        <v/>
      </c>
      <c r="AU225" s="304" t="str">
        <f>IF($E225=$AT$47,S225,"")</f>
        <v/>
      </c>
      <c r="AV225" s="28"/>
      <c r="AW225" s="304" t="str">
        <f t="shared" ref="AW225:AX244" si="164">IF($E225=$AW$83,R225,"")</f>
        <v/>
      </c>
      <c r="AX225" s="304" t="str">
        <f t="shared" si="164"/>
        <v/>
      </c>
      <c r="AY225" s="28"/>
      <c r="AZ225" s="304" t="str">
        <f t="shared" ref="AZ225:BA244" si="165">IF($E225=$AZ$83,R225,"")</f>
        <v/>
      </c>
      <c r="BA225" s="304" t="str">
        <f t="shared" si="165"/>
        <v/>
      </c>
      <c r="BB225" s="28"/>
      <c r="BC225" s="304" t="str">
        <f t="shared" ref="BC225:BD244" si="166">IF($E225=$BC$83,R225,"")</f>
        <v/>
      </c>
      <c r="BD225" s="304" t="str">
        <f t="shared" si="166"/>
        <v/>
      </c>
      <c r="BE225" s="28"/>
      <c r="BF225" s="304" t="str">
        <f t="shared" ref="BF225:BG244" si="167">IF($E225=$BF$83,R225,"")</f>
        <v/>
      </c>
      <c r="BG225" s="304" t="str">
        <f t="shared" si="167"/>
        <v/>
      </c>
      <c r="BH225" s="28"/>
      <c r="BI225" s="304" t="str">
        <f t="shared" ref="BI225:BJ244" si="168">IF($E225=$BI$83,R225,"")</f>
        <v/>
      </c>
      <c r="BJ225" s="304" t="str">
        <f t="shared" si="168"/>
        <v/>
      </c>
      <c r="BK225" s="28"/>
      <c r="BL225" s="304" t="str">
        <f t="shared" ref="BL225:BM244" si="169">IF($E225=$BL$83,R225,"")</f>
        <v/>
      </c>
      <c r="BM225" s="304" t="str">
        <f t="shared" si="169"/>
        <v/>
      </c>
      <c r="BN225" s="28"/>
      <c r="BO225" s="304" t="str">
        <f t="shared" ref="BO225:BP244" si="170">IF($E225=$BO$83,R225,"")</f>
        <v/>
      </c>
      <c r="BP225" s="304" t="str">
        <f t="shared" si="170"/>
        <v/>
      </c>
      <c r="BQ225" s="28"/>
      <c r="BR225" s="304" t="str">
        <f t="shared" ref="BR225:BS244" si="171">IF($E225=$BR$83,R225,"")</f>
        <v/>
      </c>
      <c r="BS225" s="304" t="str">
        <f t="shared" si="171"/>
        <v/>
      </c>
      <c r="BT225" s="28"/>
      <c r="BU225" s="304" t="str">
        <f t="shared" ref="BU225:BV244" si="172">IF($E225=$BU$83,R225,"")</f>
        <v/>
      </c>
      <c r="BV225" s="304" t="str">
        <f t="shared" si="172"/>
        <v/>
      </c>
      <c r="BW225" s="28"/>
      <c r="BX225" s="139"/>
    </row>
    <row r="226" spans="1:76" s="122" customFormat="1" x14ac:dyDescent="0.25">
      <c r="A226" s="195">
        <v>2</v>
      </c>
      <c r="B226" s="216" t="str">
        <f t="shared" si="159"/>
        <v xml:space="preserve">: </v>
      </c>
      <c r="C226" s="219"/>
      <c r="D226" s="219"/>
      <c r="E226" s="219"/>
      <c r="F226" s="219"/>
      <c r="G226" s="220"/>
      <c r="H226" s="221"/>
      <c r="I226" s="220"/>
      <c r="J226" s="312"/>
      <c r="K226" s="226"/>
      <c r="L226" s="241"/>
      <c r="M226" s="225" t="str">
        <f t="shared" si="160"/>
        <v>kg of protein/kg of protein/year</v>
      </c>
      <c r="N226" s="227"/>
      <c r="O226" s="241"/>
      <c r="Q226" s="228"/>
      <c r="R226" s="231" t="str">
        <f t="shared" ref="R226:R244" si="173">IF(Q226="Y","",IF(AND(L226="",J226=""),"",IF(L226="",J226,L226)))</f>
        <v/>
      </c>
      <c r="S226" s="230" t="str">
        <f t="shared" si="161"/>
        <v/>
      </c>
      <c r="T226" s="231" t="str">
        <f t="shared" si="162"/>
        <v/>
      </c>
      <c r="U226" s="232" t="str">
        <f t="shared" si="163"/>
        <v>kg of protein/kg of protein/year</v>
      </c>
      <c r="V226" s="28"/>
      <c r="W226" s="28"/>
      <c r="Y226" s="139"/>
      <c r="AO226" s="139"/>
      <c r="AP226" s="28"/>
      <c r="AQ226" s="28"/>
      <c r="AR226" s="237"/>
      <c r="AS226" s="28"/>
      <c r="AT226" s="304" t="str">
        <f t="shared" ref="AT226:AU244" si="174">IF($E226=$AT$47,R226,"")</f>
        <v/>
      </c>
      <c r="AU226" s="304" t="str">
        <f t="shared" si="174"/>
        <v/>
      </c>
      <c r="AV226" s="28"/>
      <c r="AW226" s="304" t="str">
        <f t="shared" si="164"/>
        <v/>
      </c>
      <c r="AX226" s="304" t="str">
        <f t="shared" si="164"/>
        <v/>
      </c>
      <c r="AY226" s="28"/>
      <c r="AZ226" s="304" t="str">
        <f t="shared" si="165"/>
        <v/>
      </c>
      <c r="BA226" s="304" t="str">
        <f t="shared" si="165"/>
        <v/>
      </c>
      <c r="BB226" s="28"/>
      <c r="BC226" s="304" t="str">
        <f t="shared" si="166"/>
        <v/>
      </c>
      <c r="BD226" s="304" t="str">
        <f t="shared" si="166"/>
        <v/>
      </c>
      <c r="BE226" s="28"/>
      <c r="BF226" s="304" t="str">
        <f t="shared" si="167"/>
        <v/>
      </c>
      <c r="BG226" s="304" t="str">
        <f t="shared" si="167"/>
        <v/>
      </c>
      <c r="BH226" s="28"/>
      <c r="BI226" s="304" t="str">
        <f t="shared" si="168"/>
        <v/>
      </c>
      <c r="BJ226" s="304" t="str">
        <f t="shared" si="168"/>
        <v/>
      </c>
      <c r="BK226" s="28"/>
      <c r="BL226" s="304" t="str">
        <f t="shared" si="169"/>
        <v/>
      </c>
      <c r="BM226" s="304" t="str">
        <f t="shared" si="169"/>
        <v/>
      </c>
      <c r="BN226" s="28"/>
      <c r="BO226" s="304" t="str">
        <f t="shared" si="170"/>
        <v/>
      </c>
      <c r="BP226" s="304" t="str">
        <f t="shared" si="170"/>
        <v/>
      </c>
      <c r="BQ226" s="28"/>
      <c r="BR226" s="304" t="str">
        <f t="shared" si="171"/>
        <v/>
      </c>
      <c r="BS226" s="304" t="str">
        <f t="shared" si="171"/>
        <v/>
      </c>
      <c r="BT226" s="28"/>
      <c r="BU226" s="304" t="str">
        <f t="shared" si="172"/>
        <v/>
      </c>
      <c r="BV226" s="304" t="str">
        <f t="shared" si="172"/>
        <v/>
      </c>
      <c r="BW226" s="28"/>
      <c r="BX226" s="139"/>
    </row>
    <row r="227" spans="1:76" s="122" customFormat="1" x14ac:dyDescent="0.25">
      <c r="A227" s="195">
        <v>3</v>
      </c>
      <c r="B227" s="216" t="str">
        <f>CONCATENATE(E227,": ",C227)</f>
        <v xml:space="preserve">: </v>
      </c>
      <c r="C227" s="221"/>
      <c r="D227" s="221"/>
      <c r="E227" s="221"/>
      <c r="F227" s="221"/>
      <c r="G227" s="240"/>
      <c r="H227" s="221"/>
      <c r="I227" s="240"/>
      <c r="J227" s="317"/>
      <c r="K227" s="226"/>
      <c r="L227" s="241"/>
      <c r="M227" s="225" t="str">
        <f t="shared" si="160"/>
        <v>kg of protein/kg of protein/year</v>
      </c>
      <c r="N227" s="227"/>
      <c r="O227" s="241"/>
      <c r="Q227" s="228"/>
      <c r="R227" s="231" t="str">
        <f t="shared" si="173"/>
        <v/>
      </c>
      <c r="S227" s="230" t="str">
        <f t="shared" si="161"/>
        <v/>
      </c>
      <c r="T227" s="231" t="str">
        <f t="shared" si="162"/>
        <v/>
      </c>
      <c r="U227" s="232" t="str">
        <f t="shared" si="163"/>
        <v>kg of protein/kg of protein/year</v>
      </c>
      <c r="V227" s="28"/>
      <c r="W227" s="28"/>
      <c r="Y227" s="139"/>
      <c r="AO227" s="139"/>
      <c r="AP227" s="28"/>
      <c r="AQ227" s="28"/>
      <c r="AR227" s="237"/>
      <c r="AS227" s="28"/>
      <c r="AT227" s="304" t="str">
        <f t="shared" si="174"/>
        <v/>
      </c>
      <c r="AU227" s="304" t="str">
        <f t="shared" si="174"/>
        <v/>
      </c>
      <c r="AV227" s="28"/>
      <c r="AW227" s="304" t="str">
        <f t="shared" si="164"/>
        <v/>
      </c>
      <c r="AX227" s="304" t="str">
        <f t="shared" si="164"/>
        <v/>
      </c>
      <c r="AY227" s="28"/>
      <c r="AZ227" s="304" t="str">
        <f t="shared" si="165"/>
        <v/>
      </c>
      <c r="BA227" s="304" t="str">
        <f t="shared" si="165"/>
        <v/>
      </c>
      <c r="BB227" s="28"/>
      <c r="BC227" s="304" t="str">
        <f t="shared" si="166"/>
        <v/>
      </c>
      <c r="BD227" s="304" t="str">
        <f t="shared" si="166"/>
        <v/>
      </c>
      <c r="BE227" s="28"/>
      <c r="BF227" s="304" t="str">
        <f t="shared" si="167"/>
        <v/>
      </c>
      <c r="BG227" s="304" t="str">
        <f t="shared" si="167"/>
        <v/>
      </c>
      <c r="BH227" s="28"/>
      <c r="BI227" s="304" t="str">
        <f t="shared" si="168"/>
        <v/>
      </c>
      <c r="BJ227" s="304" t="str">
        <f t="shared" si="168"/>
        <v/>
      </c>
      <c r="BK227" s="28"/>
      <c r="BL227" s="304" t="str">
        <f t="shared" si="169"/>
        <v/>
      </c>
      <c r="BM227" s="304" t="str">
        <f t="shared" si="169"/>
        <v/>
      </c>
      <c r="BN227" s="28"/>
      <c r="BO227" s="304" t="str">
        <f t="shared" si="170"/>
        <v/>
      </c>
      <c r="BP227" s="304" t="str">
        <f t="shared" si="170"/>
        <v/>
      </c>
      <c r="BQ227" s="28"/>
      <c r="BR227" s="304" t="str">
        <f t="shared" si="171"/>
        <v/>
      </c>
      <c r="BS227" s="304" t="str">
        <f t="shared" si="171"/>
        <v/>
      </c>
      <c r="BT227" s="28"/>
      <c r="BU227" s="304" t="str">
        <f t="shared" si="172"/>
        <v/>
      </c>
      <c r="BV227" s="304" t="str">
        <f t="shared" si="172"/>
        <v/>
      </c>
      <c r="BW227" s="28"/>
      <c r="BX227" s="139"/>
    </row>
    <row r="228" spans="1:76" s="122" customFormat="1" x14ac:dyDescent="0.25">
      <c r="A228" s="195">
        <v>4</v>
      </c>
      <c r="B228" s="216" t="str">
        <f t="shared" si="159"/>
        <v xml:space="preserve">: </v>
      </c>
      <c r="C228" s="221"/>
      <c r="D228" s="221"/>
      <c r="E228" s="221"/>
      <c r="F228" s="221"/>
      <c r="G228" s="240"/>
      <c r="H228" s="221"/>
      <c r="I228" s="240"/>
      <c r="J228" s="313"/>
      <c r="K228" s="226"/>
      <c r="L228" s="241"/>
      <c r="M228" s="225" t="str">
        <f t="shared" si="160"/>
        <v>kg of protein/kg of protein/year</v>
      </c>
      <c r="N228" s="227"/>
      <c r="O228" s="241"/>
      <c r="Q228" s="228"/>
      <c r="R228" s="231" t="str">
        <f t="shared" si="173"/>
        <v/>
      </c>
      <c r="S228" s="230" t="str">
        <f t="shared" si="161"/>
        <v/>
      </c>
      <c r="T228" s="231" t="str">
        <f t="shared" si="162"/>
        <v/>
      </c>
      <c r="U228" s="232" t="str">
        <f t="shared" si="163"/>
        <v>kg of protein/kg of protein/year</v>
      </c>
      <c r="V228" s="28"/>
      <c r="W228" s="28"/>
      <c r="Y228" s="139"/>
      <c r="AO228" s="139"/>
      <c r="AP228" s="28"/>
      <c r="AQ228" s="28"/>
      <c r="AR228" s="237"/>
      <c r="AS228" s="28"/>
      <c r="AT228" s="304" t="str">
        <f t="shared" si="174"/>
        <v/>
      </c>
      <c r="AU228" s="304" t="str">
        <f t="shared" si="174"/>
        <v/>
      </c>
      <c r="AV228" s="28"/>
      <c r="AW228" s="304" t="str">
        <f t="shared" si="164"/>
        <v/>
      </c>
      <c r="AX228" s="304" t="str">
        <f t="shared" si="164"/>
        <v/>
      </c>
      <c r="AY228" s="28"/>
      <c r="AZ228" s="304" t="str">
        <f t="shared" si="165"/>
        <v/>
      </c>
      <c r="BA228" s="304" t="str">
        <f t="shared" si="165"/>
        <v/>
      </c>
      <c r="BB228" s="28"/>
      <c r="BC228" s="304" t="str">
        <f t="shared" si="166"/>
        <v/>
      </c>
      <c r="BD228" s="304" t="str">
        <f t="shared" si="166"/>
        <v/>
      </c>
      <c r="BE228" s="28"/>
      <c r="BF228" s="304" t="str">
        <f t="shared" si="167"/>
        <v/>
      </c>
      <c r="BG228" s="304" t="str">
        <f t="shared" si="167"/>
        <v/>
      </c>
      <c r="BH228" s="28"/>
      <c r="BI228" s="304" t="str">
        <f t="shared" si="168"/>
        <v/>
      </c>
      <c r="BJ228" s="304" t="str">
        <f t="shared" si="168"/>
        <v/>
      </c>
      <c r="BK228" s="28"/>
      <c r="BL228" s="304" t="str">
        <f t="shared" si="169"/>
        <v/>
      </c>
      <c r="BM228" s="304" t="str">
        <f t="shared" si="169"/>
        <v/>
      </c>
      <c r="BN228" s="28"/>
      <c r="BO228" s="304" t="str">
        <f t="shared" si="170"/>
        <v/>
      </c>
      <c r="BP228" s="304" t="str">
        <f t="shared" si="170"/>
        <v/>
      </c>
      <c r="BQ228" s="28"/>
      <c r="BR228" s="304" t="str">
        <f t="shared" si="171"/>
        <v/>
      </c>
      <c r="BS228" s="304" t="str">
        <f t="shared" si="171"/>
        <v/>
      </c>
      <c r="BT228" s="28"/>
      <c r="BU228" s="304" t="str">
        <f t="shared" si="172"/>
        <v/>
      </c>
      <c r="BV228" s="304" t="str">
        <f t="shared" si="172"/>
        <v/>
      </c>
      <c r="BW228" s="28"/>
      <c r="BX228" s="139"/>
    </row>
    <row r="229" spans="1:76" s="122" customFormat="1" x14ac:dyDescent="0.25">
      <c r="A229" s="195">
        <v>5</v>
      </c>
      <c r="B229" s="216" t="str">
        <f t="shared" si="159"/>
        <v xml:space="preserve">: </v>
      </c>
      <c r="C229" s="221"/>
      <c r="D229" s="221"/>
      <c r="E229" s="221"/>
      <c r="F229" s="221"/>
      <c r="G229" s="240"/>
      <c r="H229" s="221"/>
      <c r="I229" s="240"/>
      <c r="J229" s="318"/>
      <c r="K229" s="226"/>
      <c r="L229" s="241"/>
      <c r="M229" s="225" t="str">
        <f t="shared" si="160"/>
        <v>kg of protein/kg of protein/year</v>
      </c>
      <c r="N229" s="227"/>
      <c r="O229" s="241"/>
      <c r="Q229" s="228"/>
      <c r="R229" s="231" t="str">
        <f t="shared" si="173"/>
        <v/>
      </c>
      <c r="S229" s="230" t="str">
        <f t="shared" si="161"/>
        <v/>
      </c>
      <c r="T229" s="231" t="str">
        <f t="shared" si="162"/>
        <v/>
      </c>
      <c r="U229" s="232" t="str">
        <f t="shared" si="163"/>
        <v>kg of protein/kg of protein/year</v>
      </c>
      <c r="V229" s="28"/>
      <c r="W229" s="28"/>
      <c r="Y229" s="139"/>
      <c r="AO229" s="139"/>
      <c r="AP229" s="28"/>
      <c r="AQ229" s="28"/>
      <c r="AR229" s="237"/>
      <c r="AS229" s="28"/>
      <c r="AT229" s="304" t="str">
        <f t="shared" si="174"/>
        <v/>
      </c>
      <c r="AU229" s="304" t="str">
        <f t="shared" si="174"/>
        <v/>
      </c>
      <c r="AV229" s="28"/>
      <c r="AW229" s="304" t="str">
        <f t="shared" si="164"/>
        <v/>
      </c>
      <c r="AX229" s="304" t="str">
        <f t="shared" si="164"/>
        <v/>
      </c>
      <c r="AY229" s="28"/>
      <c r="AZ229" s="304" t="str">
        <f t="shared" si="165"/>
        <v/>
      </c>
      <c r="BA229" s="304" t="str">
        <f t="shared" si="165"/>
        <v/>
      </c>
      <c r="BB229" s="28"/>
      <c r="BC229" s="304" t="str">
        <f t="shared" si="166"/>
        <v/>
      </c>
      <c r="BD229" s="304" t="str">
        <f t="shared" si="166"/>
        <v/>
      </c>
      <c r="BE229" s="28"/>
      <c r="BF229" s="304" t="str">
        <f t="shared" si="167"/>
        <v/>
      </c>
      <c r="BG229" s="304" t="str">
        <f t="shared" si="167"/>
        <v/>
      </c>
      <c r="BH229" s="28"/>
      <c r="BI229" s="304" t="str">
        <f t="shared" si="168"/>
        <v/>
      </c>
      <c r="BJ229" s="304" t="str">
        <f t="shared" si="168"/>
        <v/>
      </c>
      <c r="BK229" s="28"/>
      <c r="BL229" s="304" t="str">
        <f t="shared" si="169"/>
        <v/>
      </c>
      <c r="BM229" s="304" t="str">
        <f t="shared" si="169"/>
        <v/>
      </c>
      <c r="BN229" s="28"/>
      <c r="BO229" s="304" t="str">
        <f t="shared" si="170"/>
        <v/>
      </c>
      <c r="BP229" s="304" t="str">
        <f t="shared" si="170"/>
        <v/>
      </c>
      <c r="BQ229" s="28"/>
      <c r="BR229" s="304" t="str">
        <f t="shared" si="171"/>
        <v/>
      </c>
      <c r="BS229" s="304" t="str">
        <f t="shared" si="171"/>
        <v/>
      </c>
      <c r="BT229" s="28"/>
      <c r="BU229" s="304" t="str">
        <f t="shared" si="172"/>
        <v/>
      </c>
      <c r="BV229" s="304" t="str">
        <f t="shared" si="172"/>
        <v/>
      </c>
      <c r="BW229" s="28"/>
      <c r="BX229" s="139"/>
    </row>
    <row r="230" spans="1:76" s="122" customFormat="1" x14ac:dyDescent="0.25">
      <c r="A230" s="195">
        <v>6</v>
      </c>
      <c r="B230" s="216" t="str">
        <f t="shared" si="159"/>
        <v xml:space="preserve">: </v>
      </c>
      <c r="C230" s="221"/>
      <c r="D230" s="221"/>
      <c r="E230" s="221"/>
      <c r="F230" s="221"/>
      <c r="G230" s="240"/>
      <c r="H230" s="221"/>
      <c r="I230" s="240"/>
      <c r="J230" s="318"/>
      <c r="K230" s="226"/>
      <c r="L230" s="241"/>
      <c r="M230" s="225" t="str">
        <f t="shared" si="160"/>
        <v>kg of protein/kg of protein/year</v>
      </c>
      <c r="N230" s="227"/>
      <c r="O230" s="241"/>
      <c r="Q230" s="228"/>
      <c r="R230" s="231" t="str">
        <f t="shared" si="173"/>
        <v/>
      </c>
      <c r="S230" s="230" t="str">
        <f t="shared" si="161"/>
        <v/>
      </c>
      <c r="T230" s="231" t="str">
        <f t="shared" si="162"/>
        <v/>
      </c>
      <c r="U230" s="232" t="str">
        <f t="shared" si="163"/>
        <v>kg of protein/kg of protein/year</v>
      </c>
      <c r="V230" s="28"/>
      <c r="W230" s="28"/>
      <c r="Y230" s="139"/>
      <c r="AO230" s="139"/>
      <c r="AP230" s="28"/>
      <c r="AQ230" s="28"/>
      <c r="AR230" s="237"/>
      <c r="AS230" s="28"/>
      <c r="AT230" s="304" t="str">
        <f t="shared" si="174"/>
        <v/>
      </c>
      <c r="AU230" s="304" t="str">
        <f t="shared" si="174"/>
        <v/>
      </c>
      <c r="AV230" s="28"/>
      <c r="AW230" s="304" t="str">
        <f t="shared" si="164"/>
        <v/>
      </c>
      <c r="AX230" s="304" t="str">
        <f t="shared" si="164"/>
        <v/>
      </c>
      <c r="AY230" s="28"/>
      <c r="AZ230" s="304" t="str">
        <f t="shared" si="165"/>
        <v/>
      </c>
      <c r="BA230" s="304" t="str">
        <f t="shared" si="165"/>
        <v/>
      </c>
      <c r="BB230" s="28"/>
      <c r="BC230" s="304" t="str">
        <f t="shared" si="166"/>
        <v/>
      </c>
      <c r="BD230" s="304" t="str">
        <f t="shared" si="166"/>
        <v/>
      </c>
      <c r="BE230" s="28"/>
      <c r="BF230" s="304" t="str">
        <f t="shared" si="167"/>
        <v/>
      </c>
      <c r="BG230" s="304" t="str">
        <f t="shared" si="167"/>
        <v/>
      </c>
      <c r="BH230" s="28"/>
      <c r="BI230" s="304" t="str">
        <f t="shared" si="168"/>
        <v/>
      </c>
      <c r="BJ230" s="304" t="str">
        <f t="shared" si="168"/>
        <v/>
      </c>
      <c r="BK230" s="28"/>
      <c r="BL230" s="304" t="str">
        <f t="shared" si="169"/>
        <v/>
      </c>
      <c r="BM230" s="304" t="str">
        <f t="shared" si="169"/>
        <v/>
      </c>
      <c r="BN230" s="28"/>
      <c r="BO230" s="304" t="str">
        <f t="shared" si="170"/>
        <v/>
      </c>
      <c r="BP230" s="304" t="str">
        <f t="shared" si="170"/>
        <v/>
      </c>
      <c r="BQ230" s="28"/>
      <c r="BR230" s="304" t="str">
        <f t="shared" si="171"/>
        <v/>
      </c>
      <c r="BS230" s="304" t="str">
        <f t="shared" si="171"/>
        <v/>
      </c>
      <c r="BT230" s="28"/>
      <c r="BU230" s="304" t="str">
        <f t="shared" si="172"/>
        <v/>
      </c>
      <c r="BV230" s="304" t="str">
        <f t="shared" si="172"/>
        <v/>
      </c>
      <c r="BW230" s="28"/>
      <c r="BX230" s="139"/>
    </row>
    <row r="231" spans="1:76" s="122" customFormat="1" x14ac:dyDescent="0.25">
      <c r="A231" s="195">
        <v>7</v>
      </c>
      <c r="B231" s="216" t="str">
        <f t="shared" si="159"/>
        <v xml:space="preserve">: </v>
      </c>
      <c r="C231" s="221"/>
      <c r="D231" s="221"/>
      <c r="E231" s="221"/>
      <c r="F231" s="221"/>
      <c r="G231" s="240"/>
      <c r="H231" s="221"/>
      <c r="I231" s="240"/>
      <c r="J231" s="318"/>
      <c r="K231" s="226"/>
      <c r="L231" s="241"/>
      <c r="M231" s="225" t="str">
        <f t="shared" si="160"/>
        <v>kg of protein/kg of protein/year</v>
      </c>
      <c r="N231" s="227"/>
      <c r="O231" s="241"/>
      <c r="Q231" s="228"/>
      <c r="R231" s="231" t="str">
        <f t="shared" si="173"/>
        <v/>
      </c>
      <c r="S231" s="230" t="str">
        <f t="shared" si="161"/>
        <v/>
      </c>
      <c r="T231" s="231" t="str">
        <f t="shared" si="162"/>
        <v/>
      </c>
      <c r="U231" s="232" t="str">
        <f t="shared" si="163"/>
        <v>kg of protein/kg of protein/year</v>
      </c>
      <c r="V231" s="28"/>
      <c r="W231" s="28"/>
      <c r="Y231" s="139"/>
      <c r="AO231" s="139"/>
      <c r="AP231" s="28"/>
      <c r="AQ231" s="28"/>
      <c r="AR231" s="237"/>
      <c r="AS231" s="28"/>
      <c r="AT231" s="304" t="str">
        <f t="shared" si="174"/>
        <v/>
      </c>
      <c r="AU231" s="304" t="str">
        <f t="shared" si="174"/>
        <v/>
      </c>
      <c r="AV231" s="28"/>
      <c r="AW231" s="304" t="str">
        <f t="shared" si="164"/>
        <v/>
      </c>
      <c r="AX231" s="304" t="str">
        <f t="shared" si="164"/>
        <v/>
      </c>
      <c r="AY231" s="28"/>
      <c r="AZ231" s="304" t="str">
        <f t="shared" si="165"/>
        <v/>
      </c>
      <c r="BA231" s="304" t="str">
        <f t="shared" si="165"/>
        <v/>
      </c>
      <c r="BB231" s="28"/>
      <c r="BC231" s="304" t="str">
        <f t="shared" si="166"/>
        <v/>
      </c>
      <c r="BD231" s="304" t="str">
        <f t="shared" si="166"/>
        <v/>
      </c>
      <c r="BE231" s="28"/>
      <c r="BF231" s="304" t="str">
        <f t="shared" si="167"/>
        <v/>
      </c>
      <c r="BG231" s="304" t="str">
        <f t="shared" si="167"/>
        <v/>
      </c>
      <c r="BH231" s="28"/>
      <c r="BI231" s="304" t="str">
        <f t="shared" si="168"/>
        <v/>
      </c>
      <c r="BJ231" s="304" t="str">
        <f t="shared" si="168"/>
        <v/>
      </c>
      <c r="BK231" s="28"/>
      <c r="BL231" s="304" t="str">
        <f t="shared" si="169"/>
        <v/>
      </c>
      <c r="BM231" s="304" t="str">
        <f t="shared" si="169"/>
        <v/>
      </c>
      <c r="BN231" s="28"/>
      <c r="BO231" s="304" t="str">
        <f t="shared" si="170"/>
        <v/>
      </c>
      <c r="BP231" s="304" t="str">
        <f t="shared" si="170"/>
        <v/>
      </c>
      <c r="BQ231" s="28"/>
      <c r="BR231" s="304" t="str">
        <f t="shared" si="171"/>
        <v/>
      </c>
      <c r="BS231" s="304" t="str">
        <f t="shared" si="171"/>
        <v/>
      </c>
      <c r="BT231" s="28"/>
      <c r="BU231" s="304" t="str">
        <f t="shared" si="172"/>
        <v/>
      </c>
      <c r="BV231" s="304" t="str">
        <f t="shared" si="172"/>
        <v/>
      </c>
      <c r="BW231" s="28"/>
      <c r="BX231" s="139"/>
    </row>
    <row r="232" spans="1:76" s="122" customFormat="1" x14ac:dyDescent="0.25">
      <c r="A232" s="195">
        <v>8</v>
      </c>
      <c r="B232" s="216" t="str">
        <f t="shared" si="159"/>
        <v xml:space="preserve">: </v>
      </c>
      <c r="C232" s="221"/>
      <c r="D232" s="221"/>
      <c r="E232" s="221"/>
      <c r="F232" s="221"/>
      <c r="G232" s="240"/>
      <c r="H232" s="221"/>
      <c r="I232" s="240"/>
      <c r="J232" s="318"/>
      <c r="K232" s="226"/>
      <c r="L232" s="241"/>
      <c r="M232" s="225" t="str">
        <f t="shared" si="160"/>
        <v>kg of protein/kg of protein/year</v>
      </c>
      <c r="N232" s="227"/>
      <c r="O232" s="241"/>
      <c r="Q232" s="228"/>
      <c r="R232" s="231" t="str">
        <f t="shared" si="173"/>
        <v/>
      </c>
      <c r="S232" s="230" t="str">
        <f t="shared" si="161"/>
        <v/>
      </c>
      <c r="T232" s="231" t="str">
        <f t="shared" si="162"/>
        <v/>
      </c>
      <c r="U232" s="232" t="str">
        <f t="shared" si="163"/>
        <v>kg of protein/kg of protein/year</v>
      </c>
      <c r="V232" s="28"/>
      <c r="W232" s="28"/>
      <c r="Y232" s="139"/>
      <c r="AO232" s="139"/>
      <c r="AP232" s="28"/>
      <c r="AQ232" s="28"/>
      <c r="AR232" s="237"/>
      <c r="AS232" s="28"/>
      <c r="AT232" s="304" t="str">
        <f t="shared" si="174"/>
        <v/>
      </c>
      <c r="AU232" s="304" t="str">
        <f t="shared" si="174"/>
        <v/>
      </c>
      <c r="AV232" s="28"/>
      <c r="AW232" s="304" t="str">
        <f t="shared" si="164"/>
        <v/>
      </c>
      <c r="AX232" s="304" t="str">
        <f t="shared" si="164"/>
        <v/>
      </c>
      <c r="AY232" s="28"/>
      <c r="AZ232" s="304" t="str">
        <f t="shared" si="165"/>
        <v/>
      </c>
      <c r="BA232" s="304" t="str">
        <f t="shared" si="165"/>
        <v/>
      </c>
      <c r="BB232" s="28"/>
      <c r="BC232" s="304" t="str">
        <f t="shared" si="166"/>
        <v/>
      </c>
      <c r="BD232" s="304" t="str">
        <f t="shared" si="166"/>
        <v/>
      </c>
      <c r="BE232" s="28"/>
      <c r="BF232" s="304" t="str">
        <f t="shared" si="167"/>
        <v/>
      </c>
      <c r="BG232" s="304" t="str">
        <f t="shared" si="167"/>
        <v/>
      </c>
      <c r="BH232" s="28"/>
      <c r="BI232" s="304" t="str">
        <f t="shared" si="168"/>
        <v/>
      </c>
      <c r="BJ232" s="304" t="str">
        <f t="shared" si="168"/>
        <v/>
      </c>
      <c r="BK232" s="28"/>
      <c r="BL232" s="304" t="str">
        <f t="shared" si="169"/>
        <v/>
      </c>
      <c r="BM232" s="304" t="str">
        <f t="shared" si="169"/>
        <v/>
      </c>
      <c r="BN232" s="28"/>
      <c r="BO232" s="304" t="str">
        <f t="shared" si="170"/>
        <v/>
      </c>
      <c r="BP232" s="304" t="str">
        <f t="shared" si="170"/>
        <v/>
      </c>
      <c r="BQ232" s="28"/>
      <c r="BR232" s="304" t="str">
        <f t="shared" si="171"/>
        <v/>
      </c>
      <c r="BS232" s="304" t="str">
        <f t="shared" si="171"/>
        <v/>
      </c>
      <c r="BT232" s="28"/>
      <c r="BU232" s="304" t="str">
        <f t="shared" si="172"/>
        <v/>
      </c>
      <c r="BV232" s="304" t="str">
        <f t="shared" si="172"/>
        <v/>
      </c>
      <c r="BW232" s="28"/>
      <c r="BX232" s="139"/>
    </row>
    <row r="233" spans="1:76" s="122" customFormat="1" x14ac:dyDescent="0.25">
      <c r="A233" s="195">
        <v>9</v>
      </c>
      <c r="B233" s="216" t="str">
        <f t="shared" si="159"/>
        <v xml:space="preserve">: </v>
      </c>
      <c r="C233" s="221"/>
      <c r="D233" s="221"/>
      <c r="E233" s="221"/>
      <c r="F233" s="221"/>
      <c r="G233" s="240"/>
      <c r="H233" s="221"/>
      <c r="I233" s="240"/>
      <c r="J233" s="241"/>
      <c r="K233" s="241"/>
      <c r="L233" s="241"/>
      <c r="M233" s="225" t="str">
        <f t="shared" si="160"/>
        <v>kg of protein/kg of protein/year</v>
      </c>
      <c r="N233" s="227"/>
      <c r="O233" s="241"/>
      <c r="Q233" s="228"/>
      <c r="R233" s="231" t="str">
        <f t="shared" si="173"/>
        <v/>
      </c>
      <c r="S233" s="230" t="str">
        <f t="shared" si="161"/>
        <v/>
      </c>
      <c r="T233" s="231" t="str">
        <f t="shared" si="162"/>
        <v/>
      </c>
      <c r="U233" s="232" t="str">
        <f t="shared" si="163"/>
        <v>kg of protein/kg of protein/year</v>
      </c>
      <c r="V233" s="28"/>
      <c r="W233" s="28"/>
      <c r="Y233" s="139"/>
      <c r="AO233" s="139"/>
      <c r="AP233" s="28"/>
      <c r="AQ233" s="28"/>
      <c r="AR233" s="237"/>
      <c r="AS233" s="28"/>
      <c r="AT233" s="304" t="str">
        <f t="shared" si="174"/>
        <v/>
      </c>
      <c r="AU233" s="304" t="str">
        <f t="shared" si="174"/>
        <v/>
      </c>
      <c r="AV233" s="28"/>
      <c r="AW233" s="304" t="str">
        <f t="shared" si="164"/>
        <v/>
      </c>
      <c r="AX233" s="304" t="str">
        <f t="shared" si="164"/>
        <v/>
      </c>
      <c r="AY233" s="28"/>
      <c r="AZ233" s="304" t="str">
        <f t="shared" si="165"/>
        <v/>
      </c>
      <c r="BA233" s="304" t="str">
        <f t="shared" si="165"/>
        <v/>
      </c>
      <c r="BB233" s="28"/>
      <c r="BC233" s="304" t="str">
        <f t="shared" si="166"/>
        <v/>
      </c>
      <c r="BD233" s="304" t="str">
        <f t="shared" si="166"/>
        <v/>
      </c>
      <c r="BE233" s="28"/>
      <c r="BF233" s="304" t="str">
        <f t="shared" si="167"/>
        <v/>
      </c>
      <c r="BG233" s="304" t="str">
        <f t="shared" si="167"/>
        <v/>
      </c>
      <c r="BH233" s="28"/>
      <c r="BI233" s="304" t="str">
        <f t="shared" si="168"/>
        <v/>
      </c>
      <c r="BJ233" s="304" t="str">
        <f t="shared" si="168"/>
        <v/>
      </c>
      <c r="BK233" s="28"/>
      <c r="BL233" s="304" t="str">
        <f t="shared" si="169"/>
        <v/>
      </c>
      <c r="BM233" s="304" t="str">
        <f t="shared" si="169"/>
        <v/>
      </c>
      <c r="BN233" s="28"/>
      <c r="BO233" s="304" t="str">
        <f t="shared" si="170"/>
        <v/>
      </c>
      <c r="BP233" s="304" t="str">
        <f t="shared" si="170"/>
        <v/>
      </c>
      <c r="BQ233" s="28"/>
      <c r="BR233" s="304" t="str">
        <f t="shared" si="171"/>
        <v/>
      </c>
      <c r="BS233" s="304" t="str">
        <f t="shared" si="171"/>
        <v/>
      </c>
      <c r="BT233" s="28"/>
      <c r="BU233" s="304" t="str">
        <f t="shared" si="172"/>
        <v/>
      </c>
      <c r="BV233" s="304" t="str">
        <f t="shared" si="172"/>
        <v/>
      </c>
      <c r="BW233" s="28"/>
      <c r="BX233" s="139"/>
    </row>
    <row r="234" spans="1:76" s="122" customFormat="1" x14ac:dyDescent="0.25">
      <c r="A234" s="195">
        <v>10</v>
      </c>
      <c r="B234" s="216" t="str">
        <f t="shared" si="159"/>
        <v xml:space="preserve">: </v>
      </c>
      <c r="C234" s="221"/>
      <c r="D234" s="221"/>
      <c r="E234" s="221"/>
      <c r="F234" s="221"/>
      <c r="G234" s="240"/>
      <c r="H234" s="221"/>
      <c r="I234" s="240"/>
      <c r="J234" s="241"/>
      <c r="K234" s="241"/>
      <c r="L234" s="241"/>
      <c r="M234" s="225" t="str">
        <f t="shared" si="160"/>
        <v>kg of protein/kg of protein/year</v>
      </c>
      <c r="N234" s="227"/>
      <c r="O234" s="241"/>
      <c r="Q234" s="228"/>
      <c r="R234" s="231" t="str">
        <f t="shared" si="173"/>
        <v/>
      </c>
      <c r="S234" s="230" t="str">
        <f t="shared" si="161"/>
        <v/>
      </c>
      <c r="T234" s="231" t="str">
        <f t="shared" si="162"/>
        <v/>
      </c>
      <c r="U234" s="232" t="str">
        <f t="shared" si="163"/>
        <v>kg of protein/kg of protein/year</v>
      </c>
      <c r="V234" s="28"/>
      <c r="W234" s="28"/>
      <c r="Y234" s="139"/>
      <c r="AO234" s="139"/>
      <c r="AP234" s="28"/>
      <c r="AQ234" s="28"/>
      <c r="AR234" s="237"/>
      <c r="AS234" s="28"/>
      <c r="AT234" s="304" t="str">
        <f t="shared" si="174"/>
        <v/>
      </c>
      <c r="AU234" s="304" t="str">
        <f t="shared" si="174"/>
        <v/>
      </c>
      <c r="AV234" s="28"/>
      <c r="AW234" s="304" t="str">
        <f t="shared" si="164"/>
        <v/>
      </c>
      <c r="AX234" s="304" t="str">
        <f t="shared" si="164"/>
        <v/>
      </c>
      <c r="AY234" s="28"/>
      <c r="AZ234" s="304" t="str">
        <f t="shared" si="165"/>
        <v/>
      </c>
      <c r="BA234" s="304" t="str">
        <f t="shared" si="165"/>
        <v/>
      </c>
      <c r="BB234" s="28"/>
      <c r="BC234" s="304" t="str">
        <f t="shared" si="166"/>
        <v/>
      </c>
      <c r="BD234" s="304" t="str">
        <f t="shared" si="166"/>
        <v/>
      </c>
      <c r="BE234" s="28"/>
      <c r="BF234" s="304" t="str">
        <f t="shared" si="167"/>
        <v/>
      </c>
      <c r="BG234" s="304" t="str">
        <f t="shared" si="167"/>
        <v/>
      </c>
      <c r="BH234" s="28"/>
      <c r="BI234" s="304" t="str">
        <f t="shared" si="168"/>
        <v/>
      </c>
      <c r="BJ234" s="304" t="str">
        <f t="shared" si="168"/>
        <v/>
      </c>
      <c r="BK234" s="28"/>
      <c r="BL234" s="304" t="str">
        <f t="shared" si="169"/>
        <v/>
      </c>
      <c r="BM234" s="304" t="str">
        <f t="shared" si="169"/>
        <v/>
      </c>
      <c r="BN234" s="28"/>
      <c r="BO234" s="304" t="str">
        <f t="shared" si="170"/>
        <v/>
      </c>
      <c r="BP234" s="304" t="str">
        <f t="shared" si="170"/>
        <v/>
      </c>
      <c r="BQ234" s="28"/>
      <c r="BR234" s="304" t="str">
        <f t="shared" si="171"/>
        <v/>
      </c>
      <c r="BS234" s="304" t="str">
        <f t="shared" si="171"/>
        <v/>
      </c>
      <c r="BT234" s="28"/>
      <c r="BU234" s="304" t="str">
        <f t="shared" si="172"/>
        <v/>
      </c>
      <c r="BV234" s="304" t="str">
        <f t="shared" si="172"/>
        <v/>
      </c>
      <c r="BW234" s="28"/>
      <c r="BX234" s="139"/>
    </row>
    <row r="235" spans="1:76" s="122" customFormat="1" x14ac:dyDescent="0.25">
      <c r="A235" s="195">
        <v>11</v>
      </c>
      <c r="B235" s="216" t="str">
        <f t="shared" si="159"/>
        <v xml:space="preserve">: </v>
      </c>
      <c r="C235" s="221"/>
      <c r="D235" s="221"/>
      <c r="E235" s="221"/>
      <c r="F235" s="221"/>
      <c r="G235" s="240"/>
      <c r="H235" s="221"/>
      <c r="I235" s="240"/>
      <c r="J235" s="241"/>
      <c r="K235" s="241"/>
      <c r="L235" s="241"/>
      <c r="M235" s="225" t="str">
        <f t="shared" si="160"/>
        <v>kg of protein/kg of protein/year</v>
      </c>
      <c r="N235" s="227"/>
      <c r="O235" s="241"/>
      <c r="Q235" s="228"/>
      <c r="R235" s="231" t="str">
        <f t="shared" si="173"/>
        <v/>
      </c>
      <c r="S235" s="230" t="str">
        <f t="shared" si="161"/>
        <v/>
      </c>
      <c r="T235" s="231" t="str">
        <f t="shared" si="162"/>
        <v/>
      </c>
      <c r="U235" s="232" t="str">
        <f t="shared" si="163"/>
        <v>kg of protein/kg of protein/year</v>
      </c>
      <c r="V235" s="28"/>
      <c r="W235" s="28"/>
      <c r="Y235" s="139"/>
      <c r="AO235" s="139"/>
      <c r="AP235" s="28"/>
      <c r="AQ235" s="28"/>
      <c r="AR235" s="237"/>
      <c r="AS235" s="28"/>
      <c r="AT235" s="304" t="str">
        <f t="shared" si="174"/>
        <v/>
      </c>
      <c r="AU235" s="304" t="str">
        <f t="shared" si="174"/>
        <v/>
      </c>
      <c r="AV235" s="28"/>
      <c r="AW235" s="304" t="str">
        <f t="shared" si="164"/>
        <v/>
      </c>
      <c r="AX235" s="304" t="str">
        <f t="shared" si="164"/>
        <v/>
      </c>
      <c r="AY235" s="28"/>
      <c r="AZ235" s="304" t="str">
        <f t="shared" si="165"/>
        <v/>
      </c>
      <c r="BA235" s="304" t="str">
        <f t="shared" si="165"/>
        <v/>
      </c>
      <c r="BB235" s="28"/>
      <c r="BC235" s="304" t="str">
        <f t="shared" si="166"/>
        <v/>
      </c>
      <c r="BD235" s="304" t="str">
        <f t="shared" si="166"/>
        <v/>
      </c>
      <c r="BE235" s="28"/>
      <c r="BF235" s="304" t="str">
        <f t="shared" si="167"/>
        <v/>
      </c>
      <c r="BG235" s="304" t="str">
        <f t="shared" si="167"/>
        <v/>
      </c>
      <c r="BH235" s="28"/>
      <c r="BI235" s="304" t="str">
        <f t="shared" si="168"/>
        <v/>
      </c>
      <c r="BJ235" s="304" t="str">
        <f t="shared" si="168"/>
        <v/>
      </c>
      <c r="BK235" s="28"/>
      <c r="BL235" s="304" t="str">
        <f t="shared" si="169"/>
        <v/>
      </c>
      <c r="BM235" s="304" t="str">
        <f t="shared" si="169"/>
        <v/>
      </c>
      <c r="BN235" s="28"/>
      <c r="BO235" s="304" t="str">
        <f t="shared" si="170"/>
        <v/>
      </c>
      <c r="BP235" s="304" t="str">
        <f t="shared" si="170"/>
        <v/>
      </c>
      <c r="BQ235" s="28"/>
      <c r="BR235" s="304" t="str">
        <f t="shared" si="171"/>
        <v/>
      </c>
      <c r="BS235" s="304" t="str">
        <f t="shared" si="171"/>
        <v/>
      </c>
      <c r="BT235" s="28"/>
      <c r="BU235" s="304" t="str">
        <f t="shared" si="172"/>
        <v/>
      </c>
      <c r="BV235" s="304" t="str">
        <f t="shared" si="172"/>
        <v/>
      </c>
      <c r="BW235" s="28"/>
      <c r="BX235" s="139"/>
    </row>
    <row r="236" spans="1:76" s="122" customFormat="1" x14ac:dyDescent="0.25">
      <c r="A236" s="195">
        <v>12</v>
      </c>
      <c r="B236" s="216" t="str">
        <f t="shared" si="159"/>
        <v xml:space="preserve">: </v>
      </c>
      <c r="C236" s="221"/>
      <c r="D236" s="221"/>
      <c r="E236" s="221"/>
      <c r="F236" s="221"/>
      <c r="G236" s="240"/>
      <c r="H236" s="221"/>
      <c r="I236" s="240"/>
      <c r="J236" s="241"/>
      <c r="K236" s="241"/>
      <c r="L236" s="241"/>
      <c r="M236" s="225" t="str">
        <f t="shared" si="160"/>
        <v>kg of protein/kg of protein/year</v>
      </c>
      <c r="N236" s="227"/>
      <c r="O236" s="241"/>
      <c r="Q236" s="228"/>
      <c r="R236" s="231" t="str">
        <f t="shared" si="173"/>
        <v/>
      </c>
      <c r="S236" s="230" t="str">
        <f t="shared" si="161"/>
        <v/>
      </c>
      <c r="T236" s="231" t="str">
        <f t="shared" si="162"/>
        <v/>
      </c>
      <c r="U236" s="232" t="str">
        <f t="shared" si="163"/>
        <v>kg of protein/kg of protein/year</v>
      </c>
      <c r="V236" s="28"/>
      <c r="W236" s="28"/>
      <c r="Y236" s="139"/>
      <c r="AO236" s="139"/>
      <c r="AP236" s="28"/>
      <c r="AQ236" s="28"/>
      <c r="AR236" s="237"/>
      <c r="AS236" s="28"/>
      <c r="AT236" s="304" t="str">
        <f t="shared" si="174"/>
        <v/>
      </c>
      <c r="AU236" s="304" t="str">
        <f t="shared" si="174"/>
        <v/>
      </c>
      <c r="AV236" s="28"/>
      <c r="AW236" s="304" t="str">
        <f t="shared" si="164"/>
        <v/>
      </c>
      <c r="AX236" s="304" t="str">
        <f t="shared" si="164"/>
        <v/>
      </c>
      <c r="AY236" s="28"/>
      <c r="AZ236" s="304" t="str">
        <f t="shared" si="165"/>
        <v/>
      </c>
      <c r="BA236" s="304" t="str">
        <f t="shared" si="165"/>
        <v/>
      </c>
      <c r="BB236" s="28"/>
      <c r="BC236" s="304" t="str">
        <f t="shared" si="166"/>
        <v/>
      </c>
      <c r="BD236" s="304" t="str">
        <f t="shared" si="166"/>
        <v/>
      </c>
      <c r="BE236" s="28"/>
      <c r="BF236" s="304" t="str">
        <f t="shared" si="167"/>
        <v/>
      </c>
      <c r="BG236" s="304" t="str">
        <f t="shared" si="167"/>
        <v/>
      </c>
      <c r="BH236" s="28"/>
      <c r="BI236" s="304" t="str">
        <f t="shared" si="168"/>
        <v/>
      </c>
      <c r="BJ236" s="304" t="str">
        <f t="shared" si="168"/>
        <v/>
      </c>
      <c r="BK236" s="28"/>
      <c r="BL236" s="304" t="str">
        <f t="shared" si="169"/>
        <v/>
      </c>
      <c r="BM236" s="304" t="str">
        <f t="shared" si="169"/>
        <v/>
      </c>
      <c r="BN236" s="28"/>
      <c r="BO236" s="304" t="str">
        <f t="shared" si="170"/>
        <v/>
      </c>
      <c r="BP236" s="304" t="str">
        <f t="shared" si="170"/>
        <v/>
      </c>
      <c r="BQ236" s="28"/>
      <c r="BR236" s="304" t="str">
        <f t="shared" si="171"/>
        <v/>
      </c>
      <c r="BS236" s="304" t="str">
        <f t="shared" si="171"/>
        <v/>
      </c>
      <c r="BT236" s="28"/>
      <c r="BU236" s="304" t="str">
        <f t="shared" si="172"/>
        <v/>
      </c>
      <c r="BV236" s="304" t="str">
        <f t="shared" si="172"/>
        <v/>
      </c>
      <c r="BW236" s="28"/>
      <c r="BX236" s="139"/>
    </row>
    <row r="237" spans="1:76" s="122" customFormat="1" x14ac:dyDescent="0.25">
      <c r="A237" s="195">
        <v>13</v>
      </c>
      <c r="B237" s="216" t="str">
        <f t="shared" si="159"/>
        <v xml:space="preserve">: </v>
      </c>
      <c r="C237" s="221"/>
      <c r="D237" s="221"/>
      <c r="E237" s="221"/>
      <c r="F237" s="221"/>
      <c r="G237" s="240"/>
      <c r="H237" s="221"/>
      <c r="I237" s="240"/>
      <c r="J237" s="241"/>
      <c r="K237" s="241"/>
      <c r="L237" s="241"/>
      <c r="M237" s="225" t="str">
        <f t="shared" si="160"/>
        <v>kg of protein/kg of protein/year</v>
      </c>
      <c r="N237" s="227"/>
      <c r="O237" s="241"/>
      <c r="Q237" s="228"/>
      <c r="R237" s="231" t="str">
        <f t="shared" si="173"/>
        <v/>
      </c>
      <c r="S237" s="230" t="str">
        <f t="shared" si="161"/>
        <v/>
      </c>
      <c r="T237" s="231" t="str">
        <f t="shared" si="162"/>
        <v/>
      </c>
      <c r="U237" s="232" t="str">
        <f t="shared" si="163"/>
        <v>kg of protein/kg of protein/year</v>
      </c>
      <c r="V237" s="28"/>
      <c r="W237" s="28"/>
      <c r="Y237" s="139"/>
      <c r="AO237" s="139"/>
      <c r="AP237" s="28"/>
      <c r="AQ237" s="28"/>
      <c r="AR237" s="237"/>
      <c r="AS237" s="28"/>
      <c r="AT237" s="304" t="str">
        <f t="shared" si="174"/>
        <v/>
      </c>
      <c r="AU237" s="304" t="str">
        <f t="shared" si="174"/>
        <v/>
      </c>
      <c r="AV237" s="28"/>
      <c r="AW237" s="304" t="str">
        <f t="shared" si="164"/>
        <v/>
      </c>
      <c r="AX237" s="304" t="str">
        <f t="shared" si="164"/>
        <v/>
      </c>
      <c r="AY237" s="28"/>
      <c r="AZ237" s="304" t="str">
        <f t="shared" si="165"/>
        <v/>
      </c>
      <c r="BA237" s="304" t="str">
        <f t="shared" si="165"/>
        <v/>
      </c>
      <c r="BB237" s="28"/>
      <c r="BC237" s="304" t="str">
        <f t="shared" si="166"/>
        <v/>
      </c>
      <c r="BD237" s="304" t="str">
        <f t="shared" si="166"/>
        <v/>
      </c>
      <c r="BE237" s="28"/>
      <c r="BF237" s="304" t="str">
        <f t="shared" si="167"/>
        <v/>
      </c>
      <c r="BG237" s="304" t="str">
        <f t="shared" si="167"/>
        <v/>
      </c>
      <c r="BH237" s="28"/>
      <c r="BI237" s="304" t="str">
        <f t="shared" si="168"/>
        <v/>
      </c>
      <c r="BJ237" s="304" t="str">
        <f t="shared" si="168"/>
        <v/>
      </c>
      <c r="BK237" s="28"/>
      <c r="BL237" s="304" t="str">
        <f t="shared" si="169"/>
        <v/>
      </c>
      <c r="BM237" s="304" t="str">
        <f t="shared" si="169"/>
        <v/>
      </c>
      <c r="BN237" s="28"/>
      <c r="BO237" s="304" t="str">
        <f t="shared" si="170"/>
        <v/>
      </c>
      <c r="BP237" s="304" t="str">
        <f t="shared" si="170"/>
        <v/>
      </c>
      <c r="BQ237" s="28"/>
      <c r="BR237" s="304" t="str">
        <f t="shared" si="171"/>
        <v/>
      </c>
      <c r="BS237" s="304" t="str">
        <f t="shared" si="171"/>
        <v/>
      </c>
      <c r="BT237" s="28"/>
      <c r="BU237" s="304" t="str">
        <f t="shared" si="172"/>
        <v/>
      </c>
      <c r="BV237" s="304" t="str">
        <f t="shared" si="172"/>
        <v/>
      </c>
      <c r="BW237" s="28"/>
      <c r="BX237" s="139"/>
    </row>
    <row r="238" spans="1:76" s="122" customFormat="1" x14ac:dyDescent="0.25">
      <c r="A238" s="195">
        <v>14</v>
      </c>
      <c r="B238" s="216" t="str">
        <f t="shared" si="159"/>
        <v xml:space="preserve">: </v>
      </c>
      <c r="C238" s="221"/>
      <c r="D238" s="221"/>
      <c r="E238" s="221"/>
      <c r="F238" s="221"/>
      <c r="G238" s="240"/>
      <c r="H238" s="221"/>
      <c r="I238" s="240"/>
      <c r="J238" s="241"/>
      <c r="K238" s="241"/>
      <c r="L238" s="241"/>
      <c r="M238" s="225" t="str">
        <f t="shared" si="160"/>
        <v>kg of protein/kg of protein/year</v>
      </c>
      <c r="N238" s="227"/>
      <c r="O238" s="241"/>
      <c r="Q238" s="228"/>
      <c r="R238" s="231" t="str">
        <f t="shared" si="173"/>
        <v/>
      </c>
      <c r="S238" s="230" t="str">
        <f t="shared" si="161"/>
        <v/>
      </c>
      <c r="T238" s="231" t="str">
        <f t="shared" si="162"/>
        <v/>
      </c>
      <c r="U238" s="232" t="str">
        <f t="shared" si="163"/>
        <v>kg of protein/kg of protein/year</v>
      </c>
      <c r="V238" s="28"/>
      <c r="W238" s="28"/>
      <c r="Y238" s="139"/>
      <c r="AO238" s="139"/>
      <c r="AP238" s="28"/>
      <c r="AQ238" s="28"/>
      <c r="AR238" s="237"/>
      <c r="AS238" s="28"/>
      <c r="AT238" s="304" t="str">
        <f t="shared" si="174"/>
        <v/>
      </c>
      <c r="AU238" s="304" t="str">
        <f t="shared" si="174"/>
        <v/>
      </c>
      <c r="AV238" s="28"/>
      <c r="AW238" s="304" t="str">
        <f t="shared" si="164"/>
        <v/>
      </c>
      <c r="AX238" s="304" t="str">
        <f t="shared" si="164"/>
        <v/>
      </c>
      <c r="AY238" s="28"/>
      <c r="AZ238" s="304" t="str">
        <f t="shared" si="165"/>
        <v/>
      </c>
      <c r="BA238" s="304" t="str">
        <f t="shared" si="165"/>
        <v/>
      </c>
      <c r="BB238" s="28"/>
      <c r="BC238" s="304" t="str">
        <f t="shared" si="166"/>
        <v/>
      </c>
      <c r="BD238" s="304" t="str">
        <f t="shared" si="166"/>
        <v/>
      </c>
      <c r="BE238" s="28"/>
      <c r="BF238" s="304" t="str">
        <f t="shared" si="167"/>
        <v/>
      </c>
      <c r="BG238" s="304" t="str">
        <f t="shared" si="167"/>
        <v/>
      </c>
      <c r="BH238" s="28"/>
      <c r="BI238" s="304" t="str">
        <f t="shared" si="168"/>
        <v/>
      </c>
      <c r="BJ238" s="304" t="str">
        <f t="shared" si="168"/>
        <v/>
      </c>
      <c r="BK238" s="28"/>
      <c r="BL238" s="304" t="str">
        <f t="shared" si="169"/>
        <v/>
      </c>
      <c r="BM238" s="304" t="str">
        <f t="shared" si="169"/>
        <v/>
      </c>
      <c r="BN238" s="28"/>
      <c r="BO238" s="304" t="str">
        <f t="shared" si="170"/>
        <v/>
      </c>
      <c r="BP238" s="304" t="str">
        <f t="shared" si="170"/>
        <v/>
      </c>
      <c r="BQ238" s="28"/>
      <c r="BR238" s="304" t="str">
        <f t="shared" si="171"/>
        <v/>
      </c>
      <c r="BS238" s="304" t="str">
        <f t="shared" si="171"/>
        <v/>
      </c>
      <c r="BT238" s="28"/>
      <c r="BU238" s="304" t="str">
        <f t="shared" si="172"/>
        <v/>
      </c>
      <c r="BV238" s="304" t="str">
        <f t="shared" si="172"/>
        <v/>
      </c>
      <c r="BW238" s="28"/>
      <c r="BX238" s="139"/>
    </row>
    <row r="239" spans="1:76" s="122" customFormat="1" x14ac:dyDescent="0.25">
      <c r="A239" s="195">
        <v>15</v>
      </c>
      <c r="B239" s="216" t="str">
        <f t="shared" si="159"/>
        <v xml:space="preserve">: </v>
      </c>
      <c r="C239" s="221"/>
      <c r="D239" s="221"/>
      <c r="E239" s="221"/>
      <c r="F239" s="221"/>
      <c r="G239" s="240"/>
      <c r="H239" s="221"/>
      <c r="I239" s="240"/>
      <c r="J239" s="241"/>
      <c r="K239" s="241"/>
      <c r="L239" s="241"/>
      <c r="M239" s="225" t="str">
        <f t="shared" si="160"/>
        <v>kg of protein/kg of protein/year</v>
      </c>
      <c r="N239" s="227"/>
      <c r="O239" s="241"/>
      <c r="Q239" s="228"/>
      <c r="R239" s="231" t="str">
        <f t="shared" si="173"/>
        <v/>
      </c>
      <c r="S239" s="230" t="str">
        <f t="shared" si="161"/>
        <v/>
      </c>
      <c r="T239" s="231" t="str">
        <f t="shared" si="162"/>
        <v/>
      </c>
      <c r="U239" s="232" t="str">
        <f t="shared" si="163"/>
        <v>kg of protein/kg of protein/year</v>
      </c>
      <c r="V239" s="28"/>
      <c r="W239" s="28"/>
      <c r="Y239" s="139"/>
      <c r="AO239" s="139"/>
      <c r="AP239" s="28"/>
      <c r="AQ239" s="28"/>
      <c r="AR239" s="237"/>
      <c r="AS239" s="28"/>
      <c r="AT239" s="304" t="str">
        <f t="shared" si="174"/>
        <v/>
      </c>
      <c r="AU239" s="304" t="str">
        <f t="shared" si="174"/>
        <v/>
      </c>
      <c r="AV239" s="28"/>
      <c r="AW239" s="304" t="str">
        <f t="shared" si="164"/>
        <v/>
      </c>
      <c r="AX239" s="304" t="str">
        <f t="shared" si="164"/>
        <v/>
      </c>
      <c r="AY239" s="28"/>
      <c r="AZ239" s="304" t="str">
        <f t="shared" si="165"/>
        <v/>
      </c>
      <c r="BA239" s="304" t="str">
        <f t="shared" si="165"/>
        <v/>
      </c>
      <c r="BB239" s="28"/>
      <c r="BC239" s="304" t="str">
        <f t="shared" si="166"/>
        <v/>
      </c>
      <c r="BD239" s="304" t="str">
        <f t="shared" si="166"/>
        <v/>
      </c>
      <c r="BE239" s="28"/>
      <c r="BF239" s="304" t="str">
        <f t="shared" si="167"/>
        <v/>
      </c>
      <c r="BG239" s="304" t="str">
        <f t="shared" si="167"/>
        <v/>
      </c>
      <c r="BH239" s="28"/>
      <c r="BI239" s="304" t="str">
        <f t="shared" si="168"/>
        <v/>
      </c>
      <c r="BJ239" s="304" t="str">
        <f t="shared" si="168"/>
        <v/>
      </c>
      <c r="BK239" s="28"/>
      <c r="BL239" s="304" t="str">
        <f t="shared" si="169"/>
        <v/>
      </c>
      <c r="BM239" s="304" t="str">
        <f t="shared" si="169"/>
        <v/>
      </c>
      <c r="BN239" s="28"/>
      <c r="BO239" s="304" t="str">
        <f t="shared" si="170"/>
        <v/>
      </c>
      <c r="BP239" s="304" t="str">
        <f t="shared" si="170"/>
        <v/>
      </c>
      <c r="BQ239" s="28"/>
      <c r="BR239" s="304" t="str">
        <f t="shared" si="171"/>
        <v/>
      </c>
      <c r="BS239" s="304" t="str">
        <f t="shared" si="171"/>
        <v/>
      </c>
      <c r="BT239" s="28"/>
      <c r="BU239" s="304" t="str">
        <f t="shared" si="172"/>
        <v/>
      </c>
      <c r="BV239" s="304" t="str">
        <f t="shared" si="172"/>
        <v/>
      </c>
      <c r="BW239" s="28"/>
      <c r="BX239" s="139"/>
    </row>
    <row r="240" spans="1:76" s="122" customFormat="1" x14ac:dyDescent="0.25">
      <c r="A240" s="195">
        <v>16</v>
      </c>
      <c r="B240" s="216" t="str">
        <f t="shared" si="159"/>
        <v xml:space="preserve">: </v>
      </c>
      <c r="C240" s="221"/>
      <c r="D240" s="221"/>
      <c r="E240" s="221"/>
      <c r="F240" s="221"/>
      <c r="G240" s="240"/>
      <c r="H240" s="221"/>
      <c r="I240" s="240"/>
      <c r="J240" s="241"/>
      <c r="K240" s="241"/>
      <c r="L240" s="241"/>
      <c r="M240" s="225" t="str">
        <f t="shared" si="160"/>
        <v>kg of protein/kg of protein/year</v>
      </c>
      <c r="N240" s="227"/>
      <c r="O240" s="241"/>
      <c r="Q240" s="228"/>
      <c r="R240" s="231" t="str">
        <f t="shared" si="173"/>
        <v/>
      </c>
      <c r="S240" s="230" t="str">
        <f t="shared" si="161"/>
        <v/>
      </c>
      <c r="T240" s="231" t="str">
        <f t="shared" si="162"/>
        <v/>
      </c>
      <c r="U240" s="232" t="str">
        <f t="shared" si="163"/>
        <v>kg of protein/kg of protein/year</v>
      </c>
      <c r="V240" s="28"/>
      <c r="W240" s="28"/>
      <c r="Y240" s="139"/>
      <c r="AO240" s="139"/>
      <c r="AP240" s="28"/>
      <c r="AQ240" s="28"/>
      <c r="AR240" s="237"/>
      <c r="AS240" s="28"/>
      <c r="AT240" s="304" t="str">
        <f t="shared" si="174"/>
        <v/>
      </c>
      <c r="AU240" s="304" t="str">
        <f t="shared" si="174"/>
        <v/>
      </c>
      <c r="AV240" s="28"/>
      <c r="AW240" s="304" t="str">
        <f t="shared" si="164"/>
        <v/>
      </c>
      <c r="AX240" s="304" t="str">
        <f t="shared" si="164"/>
        <v/>
      </c>
      <c r="AY240" s="28"/>
      <c r="AZ240" s="304" t="str">
        <f t="shared" si="165"/>
        <v/>
      </c>
      <c r="BA240" s="304" t="str">
        <f t="shared" si="165"/>
        <v/>
      </c>
      <c r="BB240" s="28"/>
      <c r="BC240" s="304" t="str">
        <f t="shared" si="166"/>
        <v/>
      </c>
      <c r="BD240" s="304" t="str">
        <f t="shared" si="166"/>
        <v/>
      </c>
      <c r="BE240" s="28"/>
      <c r="BF240" s="304" t="str">
        <f t="shared" si="167"/>
        <v/>
      </c>
      <c r="BG240" s="304" t="str">
        <f t="shared" si="167"/>
        <v/>
      </c>
      <c r="BH240" s="28"/>
      <c r="BI240" s="304" t="str">
        <f t="shared" si="168"/>
        <v/>
      </c>
      <c r="BJ240" s="304" t="str">
        <f t="shared" si="168"/>
        <v/>
      </c>
      <c r="BK240" s="28"/>
      <c r="BL240" s="304" t="str">
        <f t="shared" si="169"/>
        <v/>
      </c>
      <c r="BM240" s="304" t="str">
        <f t="shared" si="169"/>
        <v/>
      </c>
      <c r="BN240" s="28"/>
      <c r="BO240" s="304" t="str">
        <f t="shared" si="170"/>
        <v/>
      </c>
      <c r="BP240" s="304" t="str">
        <f t="shared" si="170"/>
        <v/>
      </c>
      <c r="BQ240" s="28"/>
      <c r="BR240" s="304" t="str">
        <f t="shared" si="171"/>
        <v/>
      </c>
      <c r="BS240" s="304" t="str">
        <f t="shared" si="171"/>
        <v/>
      </c>
      <c r="BT240" s="28"/>
      <c r="BU240" s="304" t="str">
        <f t="shared" si="172"/>
        <v/>
      </c>
      <c r="BV240" s="304" t="str">
        <f t="shared" si="172"/>
        <v/>
      </c>
      <c r="BW240" s="28"/>
      <c r="BX240" s="139"/>
    </row>
    <row r="241" spans="1:76" s="122" customFormat="1" x14ac:dyDescent="0.25">
      <c r="A241" s="195">
        <v>17</v>
      </c>
      <c r="B241" s="216" t="str">
        <f t="shared" si="159"/>
        <v xml:space="preserve">: </v>
      </c>
      <c r="C241" s="221"/>
      <c r="D241" s="221"/>
      <c r="E241" s="221"/>
      <c r="F241" s="221"/>
      <c r="G241" s="240"/>
      <c r="H241" s="221"/>
      <c r="I241" s="240"/>
      <c r="J241" s="241"/>
      <c r="K241" s="241"/>
      <c r="L241" s="241"/>
      <c r="M241" s="225" t="str">
        <f t="shared" si="160"/>
        <v>kg of protein/kg of protein/year</v>
      </c>
      <c r="N241" s="227"/>
      <c r="O241" s="241"/>
      <c r="Q241" s="228"/>
      <c r="R241" s="231" t="str">
        <f t="shared" si="173"/>
        <v/>
      </c>
      <c r="S241" s="230" t="str">
        <f t="shared" si="161"/>
        <v/>
      </c>
      <c r="T241" s="231" t="str">
        <f t="shared" si="162"/>
        <v/>
      </c>
      <c r="U241" s="232" t="str">
        <f t="shared" si="163"/>
        <v>kg of protein/kg of protein/year</v>
      </c>
      <c r="V241" s="28"/>
      <c r="W241" s="28"/>
      <c r="Y241" s="139"/>
      <c r="AO241" s="139"/>
      <c r="AP241" s="28"/>
      <c r="AQ241" s="28"/>
      <c r="AR241" s="237"/>
      <c r="AS241" s="28"/>
      <c r="AT241" s="304" t="str">
        <f t="shared" si="174"/>
        <v/>
      </c>
      <c r="AU241" s="304" t="str">
        <f t="shared" si="174"/>
        <v/>
      </c>
      <c r="AV241" s="28"/>
      <c r="AW241" s="304" t="str">
        <f t="shared" si="164"/>
        <v/>
      </c>
      <c r="AX241" s="304" t="str">
        <f t="shared" si="164"/>
        <v/>
      </c>
      <c r="AY241" s="28"/>
      <c r="AZ241" s="304" t="str">
        <f t="shared" si="165"/>
        <v/>
      </c>
      <c r="BA241" s="304" t="str">
        <f t="shared" si="165"/>
        <v/>
      </c>
      <c r="BB241" s="28"/>
      <c r="BC241" s="304" t="str">
        <f t="shared" si="166"/>
        <v/>
      </c>
      <c r="BD241" s="304" t="str">
        <f t="shared" si="166"/>
        <v/>
      </c>
      <c r="BE241" s="28"/>
      <c r="BF241" s="304" t="str">
        <f t="shared" si="167"/>
        <v/>
      </c>
      <c r="BG241" s="304" t="str">
        <f t="shared" si="167"/>
        <v/>
      </c>
      <c r="BH241" s="28"/>
      <c r="BI241" s="304" t="str">
        <f t="shared" si="168"/>
        <v/>
      </c>
      <c r="BJ241" s="304" t="str">
        <f t="shared" si="168"/>
        <v/>
      </c>
      <c r="BK241" s="28"/>
      <c r="BL241" s="304" t="str">
        <f t="shared" si="169"/>
        <v/>
      </c>
      <c r="BM241" s="304" t="str">
        <f t="shared" si="169"/>
        <v/>
      </c>
      <c r="BN241" s="28"/>
      <c r="BO241" s="304" t="str">
        <f t="shared" si="170"/>
        <v/>
      </c>
      <c r="BP241" s="304" t="str">
        <f t="shared" si="170"/>
        <v/>
      </c>
      <c r="BQ241" s="28"/>
      <c r="BR241" s="304" t="str">
        <f t="shared" si="171"/>
        <v/>
      </c>
      <c r="BS241" s="304" t="str">
        <f t="shared" si="171"/>
        <v/>
      </c>
      <c r="BT241" s="28"/>
      <c r="BU241" s="304" t="str">
        <f t="shared" si="172"/>
        <v/>
      </c>
      <c r="BV241" s="304" t="str">
        <f t="shared" si="172"/>
        <v/>
      </c>
      <c r="BW241" s="28"/>
      <c r="BX241" s="139"/>
    </row>
    <row r="242" spans="1:76" s="122" customFormat="1" x14ac:dyDescent="0.25">
      <c r="A242" s="195">
        <v>18</v>
      </c>
      <c r="B242" s="216" t="str">
        <f t="shared" si="159"/>
        <v xml:space="preserve">: </v>
      </c>
      <c r="C242" s="221"/>
      <c r="D242" s="221"/>
      <c r="E242" s="221"/>
      <c r="F242" s="221"/>
      <c r="G242" s="240"/>
      <c r="H242" s="221"/>
      <c r="I242" s="240"/>
      <c r="J242" s="241"/>
      <c r="K242" s="241"/>
      <c r="L242" s="241"/>
      <c r="M242" s="225" t="str">
        <f t="shared" si="160"/>
        <v>kg of protein/kg of protein/year</v>
      </c>
      <c r="N242" s="227"/>
      <c r="O242" s="241"/>
      <c r="Q242" s="228"/>
      <c r="R242" s="231" t="str">
        <f t="shared" si="173"/>
        <v/>
      </c>
      <c r="S242" s="230" t="str">
        <f t="shared" si="161"/>
        <v/>
      </c>
      <c r="T242" s="231" t="str">
        <f t="shared" si="162"/>
        <v/>
      </c>
      <c r="U242" s="232" t="str">
        <f t="shared" si="163"/>
        <v>kg of protein/kg of protein/year</v>
      </c>
      <c r="V242" s="28"/>
      <c r="W242" s="28"/>
      <c r="Y242" s="139"/>
      <c r="AO242" s="139"/>
      <c r="AP242" s="28"/>
      <c r="AQ242" s="28"/>
      <c r="AR242" s="237"/>
      <c r="AS242" s="28"/>
      <c r="AT242" s="304" t="str">
        <f t="shared" si="174"/>
        <v/>
      </c>
      <c r="AU242" s="304" t="str">
        <f t="shared" si="174"/>
        <v/>
      </c>
      <c r="AV242" s="28"/>
      <c r="AW242" s="304" t="str">
        <f t="shared" si="164"/>
        <v/>
      </c>
      <c r="AX242" s="304" t="str">
        <f t="shared" si="164"/>
        <v/>
      </c>
      <c r="AY242" s="28"/>
      <c r="AZ242" s="304" t="str">
        <f t="shared" si="165"/>
        <v/>
      </c>
      <c r="BA242" s="304" t="str">
        <f t="shared" si="165"/>
        <v/>
      </c>
      <c r="BB242" s="28"/>
      <c r="BC242" s="304" t="str">
        <f t="shared" si="166"/>
        <v/>
      </c>
      <c r="BD242" s="304" t="str">
        <f t="shared" si="166"/>
        <v/>
      </c>
      <c r="BE242" s="28"/>
      <c r="BF242" s="304" t="str">
        <f t="shared" si="167"/>
        <v/>
      </c>
      <c r="BG242" s="304" t="str">
        <f t="shared" si="167"/>
        <v/>
      </c>
      <c r="BH242" s="28"/>
      <c r="BI242" s="304" t="str">
        <f t="shared" si="168"/>
        <v/>
      </c>
      <c r="BJ242" s="304" t="str">
        <f t="shared" si="168"/>
        <v/>
      </c>
      <c r="BK242" s="28"/>
      <c r="BL242" s="304" t="str">
        <f t="shared" si="169"/>
        <v/>
      </c>
      <c r="BM242" s="304" t="str">
        <f t="shared" si="169"/>
        <v/>
      </c>
      <c r="BN242" s="28"/>
      <c r="BO242" s="304" t="str">
        <f t="shared" si="170"/>
        <v/>
      </c>
      <c r="BP242" s="304" t="str">
        <f t="shared" si="170"/>
        <v/>
      </c>
      <c r="BQ242" s="28"/>
      <c r="BR242" s="304" t="str">
        <f t="shared" si="171"/>
        <v/>
      </c>
      <c r="BS242" s="304" t="str">
        <f t="shared" si="171"/>
        <v/>
      </c>
      <c r="BT242" s="28"/>
      <c r="BU242" s="304" t="str">
        <f t="shared" si="172"/>
        <v/>
      </c>
      <c r="BV242" s="304" t="str">
        <f t="shared" si="172"/>
        <v/>
      </c>
      <c r="BW242" s="28"/>
      <c r="BX242" s="139"/>
    </row>
    <row r="243" spans="1:76" s="122" customFormat="1" x14ac:dyDescent="0.25">
      <c r="A243" s="195">
        <v>19</v>
      </c>
      <c r="B243" s="216" t="str">
        <f t="shared" si="159"/>
        <v xml:space="preserve">: </v>
      </c>
      <c r="C243" s="221"/>
      <c r="D243" s="221"/>
      <c r="E243" s="221"/>
      <c r="F243" s="221"/>
      <c r="G243" s="240"/>
      <c r="H243" s="221"/>
      <c r="I243" s="240"/>
      <c r="J243" s="241"/>
      <c r="K243" s="241"/>
      <c r="L243" s="241"/>
      <c r="M243" s="225" t="str">
        <f t="shared" si="160"/>
        <v>kg of protein/kg of protein/year</v>
      </c>
      <c r="N243" s="227"/>
      <c r="O243" s="241"/>
      <c r="Q243" s="228"/>
      <c r="R243" s="231" t="str">
        <f t="shared" si="173"/>
        <v/>
      </c>
      <c r="S243" s="230" t="str">
        <f t="shared" si="161"/>
        <v/>
      </c>
      <c r="T243" s="231" t="str">
        <f t="shared" si="162"/>
        <v/>
      </c>
      <c r="U243" s="232" t="str">
        <f t="shared" si="163"/>
        <v>kg of protein/kg of protein/year</v>
      </c>
      <c r="V243" s="28"/>
      <c r="W243" s="28"/>
      <c r="Y243" s="139"/>
      <c r="AO243" s="139"/>
      <c r="AP243" s="28"/>
      <c r="AQ243" s="28"/>
      <c r="AR243" s="237"/>
      <c r="AS243" s="28"/>
      <c r="AT243" s="304" t="str">
        <f t="shared" si="174"/>
        <v/>
      </c>
      <c r="AU243" s="304" t="str">
        <f t="shared" si="174"/>
        <v/>
      </c>
      <c r="AV243" s="28"/>
      <c r="AW243" s="304" t="str">
        <f t="shared" si="164"/>
        <v/>
      </c>
      <c r="AX243" s="304" t="str">
        <f t="shared" si="164"/>
        <v/>
      </c>
      <c r="AY243" s="28"/>
      <c r="AZ243" s="304" t="str">
        <f t="shared" si="165"/>
        <v/>
      </c>
      <c r="BA243" s="304" t="str">
        <f t="shared" si="165"/>
        <v/>
      </c>
      <c r="BB243" s="28"/>
      <c r="BC243" s="304" t="str">
        <f t="shared" si="166"/>
        <v/>
      </c>
      <c r="BD243" s="304" t="str">
        <f t="shared" si="166"/>
        <v/>
      </c>
      <c r="BE243" s="28"/>
      <c r="BF243" s="304" t="str">
        <f t="shared" si="167"/>
        <v/>
      </c>
      <c r="BG243" s="304" t="str">
        <f t="shared" si="167"/>
        <v/>
      </c>
      <c r="BH243" s="28"/>
      <c r="BI243" s="304" t="str">
        <f t="shared" si="168"/>
        <v/>
      </c>
      <c r="BJ243" s="304" t="str">
        <f t="shared" si="168"/>
        <v/>
      </c>
      <c r="BK243" s="28"/>
      <c r="BL243" s="304" t="str">
        <f t="shared" si="169"/>
        <v/>
      </c>
      <c r="BM243" s="304" t="str">
        <f t="shared" si="169"/>
        <v/>
      </c>
      <c r="BN243" s="28"/>
      <c r="BO243" s="304" t="str">
        <f t="shared" si="170"/>
        <v/>
      </c>
      <c r="BP243" s="304" t="str">
        <f t="shared" si="170"/>
        <v/>
      </c>
      <c r="BQ243" s="28"/>
      <c r="BR243" s="304" t="str">
        <f t="shared" si="171"/>
        <v/>
      </c>
      <c r="BS243" s="304" t="str">
        <f t="shared" si="171"/>
        <v/>
      </c>
      <c r="BT243" s="28"/>
      <c r="BU243" s="304" t="str">
        <f t="shared" si="172"/>
        <v/>
      </c>
      <c r="BV243" s="304" t="str">
        <f t="shared" si="172"/>
        <v/>
      </c>
      <c r="BW243" s="28"/>
      <c r="BX243" s="139"/>
    </row>
    <row r="244" spans="1:76" s="122" customFormat="1" x14ac:dyDescent="0.25">
      <c r="A244" s="195">
        <v>20</v>
      </c>
      <c r="B244" s="216" t="str">
        <f t="shared" si="159"/>
        <v xml:space="preserve">: </v>
      </c>
      <c r="C244" s="221"/>
      <c r="D244" s="221"/>
      <c r="E244" s="221"/>
      <c r="F244" s="221"/>
      <c r="G244" s="240"/>
      <c r="H244" s="221"/>
      <c r="I244" s="240"/>
      <c r="J244" s="241"/>
      <c r="K244" s="241"/>
      <c r="L244" s="241"/>
      <c r="M244" s="225" t="str">
        <f t="shared" si="160"/>
        <v>kg of protein/kg of protein/year</v>
      </c>
      <c r="N244" s="227"/>
      <c r="O244" s="241"/>
      <c r="Q244" s="228"/>
      <c r="R244" s="231" t="str">
        <f t="shared" si="173"/>
        <v/>
      </c>
      <c r="S244" s="230" t="str">
        <f t="shared" si="161"/>
        <v/>
      </c>
      <c r="T244" s="231" t="str">
        <f t="shared" si="162"/>
        <v/>
      </c>
      <c r="U244" s="232" t="str">
        <f t="shared" si="163"/>
        <v>kg of protein/kg of protein/year</v>
      </c>
      <c r="V244" s="28"/>
      <c r="W244" s="28"/>
      <c r="Y244" s="139"/>
      <c r="AO244" s="139"/>
      <c r="AP244" s="28"/>
      <c r="AQ244" s="28"/>
      <c r="AR244" s="237"/>
      <c r="AS244" s="28"/>
      <c r="AT244" s="304" t="str">
        <f t="shared" si="174"/>
        <v/>
      </c>
      <c r="AU244" s="304" t="str">
        <f t="shared" si="174"/>
        <v/>
      </c>
      <c r="AV244" s="28"/>
      <c r="AW244" s="304" t="str">
        <f t="shared" si="164"/>
        <v/>
      </c>
      <c r="AX244" s="304" t="str">
        <f t="shared" si="164"/>
        <v/>
      </c>
      <c r="AY244" s="28"/>
      <c r="AZ244" s="304" t="str">
        <f t="shared" si="165"/>
        <v/>
      </c>
      <c r="BA244" s="304" t="str">
        <f t="shared" si="165"/>
        <v/>
      </c>
      <c r="BB244" s="28"/>
      <c r="BC244" s="304" t="str">
        <f t="shared" si="166"/>
        <v/>
      </c>
      <c r="BD244" s="304" t="str">
        <f t="shared" si="166"/>
        <v/>
      </c>
      <c r="BE244" s="28"/>
      <c r="BF244" s="304" t="str">
        <f t="shared" si="167"/>
        <v/>
      </c>
      <c r="BG244" s="304" t="str">
        <f t="shared" si="167"/>
        <v/>
      </c>
      <c r="BH244" s="28"/>
      <c r="BI244" s="304" t="str">
        <f t="shared" si="168"/>
        <v/>
      </c>
      <c r="BJ244" s="304" t="str">
        <f t="shared" si="168"/>
        <v/>
      </c>
      <c r="BK244" s="28"/>
      <c r="BL244" s="304" t="str">
        <f t="shared" si="169"/>
        <v/>
      </c>
      <c r="BM244" s="304" t="str">
        <f t="shared" si="169"/>
        <v/>
      </c>
      <c r="BN244" s="28"/>
      <c r="BO244" s="304" t="str">
        <f t="shared" si="170"/>
        <v/>
      </c>
      <c r="BP244" s="304" t="str">
        <f t="shared" si="170"/>
        <v/>
      </c>
      <c r="BQ244" s="28"/>
      <c r="BR244" s="304" t="str">
        <f t="shared" si="171"/>
        <v/>
      </c>
      <c r="BS244" s="304" t="str">
        <f t="shared" si="171"/>
        <v/>
      </c>
      <c r="BT244" s="28"/>
      <c r="BU244" s="304" t="str">
        <f t="shared" si="172"/>
        <v/>
      </c>
      <c r="BV244" s="304" t="str">
        <f t="shared" si="172"/>
        <v/>
      </c>
      <c r="BW244" s="28"/>
      <c r="BX244" s="139"/>
    </row>
    <row r="245" spans="1:76" s="122" customFormat="1" x14ac:dyDescent="0.25">
      <c r="A245" s="195"/>
      <c r="B245" s="244" t="s">
        <v>163</v>
      </c>
      <c r="C245" s="199"/>
      <c r="D245" s="199"/>
      <c r="E245" s="199"/>
      <c r="F245" s="199"/>
      <c r="H245" s="28"/>
      <c r="I245" s="245"/>
      <c r="L245" s="122" t="s">
        <v>134</v>
      </c>
      <c r="Q245" s="305" t="s">
        <v>136</v>
      </c>
      <c r="R245" s="246" t="e">
        <f>AVERAGE(R225:R244)</f>
        <v>#DIV/0!</v>
      </c>
      <c r="S245" s="247" t="e">
        <f>IF(R253="Y",SUM(S225:S244)/SUMPRODUCT(N225:N244,--ISNUMBER(S225:S244)),AVERAGE(S225:S244))</f>
        <v>#DIV/0!</v>
      </c>
      <c r="T245" s="248" t="e">
        <f>SUM(T225:T244)/SUMPRODUCT(N225:N244,--ISNUMBER(T225:T244))</f>
        <v>#DIV/0!</v>
      </c>
      <c r="U245" s="28"/>
      <c r="V245" s="28"/>
      <c r="W245" s="28"/>
      <c r="Y245" s="249"/>
      <c r="AO245" s="139"/>
      <c r="AP245" s="28"/>
      <c r="AQ245" s="28"/>
      <c r="AR245" s="28"/>
      <c r="AS245" s="245" t="s">
        <v>136</v>
      </c>
      <c r="AT245" s="307" t="e">
        <f>AVERAGE(AT225:AT244)</f>
        <v>#DIV/0!</v>
      </c>
      <c r="AU245" s="307" t="e">
        <f>SUM(AU225:AU244)/COUNTIF(AU225:AU244,"&gt;0")</f>
        <v>#DIV/0!</v>
      </c>
      <c r="AV245" s="245"/>
      <c r="AW245" s="307" t="e">
        <f>AVERAGE(AW225:AW244)</f>
        <v>#DIV/0!</v>
      </c>
      <c r="AX245" s="307" t="e">
        <f>SUM(AX225:AX244)/COUNTIF(AX225:AX244,"&gt;0")</f>
        <v>#DIV/0!</v>
      </c>
      <c r="AY245" s="28"/>
      <c r="AZ245" s="307" t="e">
        <f>AVERAGE(AZ225:AZ244)</f>
        <v>#DIV/0!</v>
      </c>
      <c r="BA245" s="307" t="e">
        <f>SUM(BA225:BA244)/COUNTIF(BA225:BA244,"&gt;0")</f>
        <v>#DIV/0!</v>
      </c>
      <c r="BB245" s="28"/>
      <c r="BC245" s="307" t="e">
        <f>AVERAGE(BC225:BC244)</f>
        <v>#DIV/0!</v>
      </c>
      <c r="BD245" s="307" t="e">
        <f>SUM(BD225:BD244)/COUNTIF(BD225:BD244,"&gt;0")</f>
        <v>#DIV/0!</v>
      </c>
      <c r="BE245" s="28"/>
      <c r="BF245" s="307" t="e">
        <f>AVERAGE(BF225:BF244)</f>
        <v>#DIV/0!</v>
      </c>
      <c r="BG245" s="307" t="e">
        <f>SUM(BG225:BG244)/COUNTIF(BG225:BG244,"&gt;0")</f>
        <v>#DIV/0!</v>
      </c>
      <c r="BH245" s="28"/>
      <c r="BI245" s="307" t="e">
        <f>AVERAGE(BI225:BI244)</f>
        <v>#DIV/0!</v>
      </c>
      <c r="BJ245" s="307" t="e">
        <f>SUM(BJ225:BJ244)/COUNTIF(BJ225:BJ244,"&gt;0")</f>
        <v>#DIV/0!</v>
      </c>
      <c r="BK245" s="245"/>
      <c r="BL245" s="307" t="e">
        <f>AVERAGE(BL225:BL244)</f>
        <v>#DIV/0!</v>
      </c>
      <c r="BM245" s="307" t="e">
        <f>SUM(BM225:BM244)/COUNTIF(BM225:BM244,"&gt;0")</f>
        <v>#DIV/0!</v>
      </c>
      <c r="BN245" s="28"/>
      <c r="BO245" s="307" t="e">
        <f>AVERAGE(BO225:BO244)</f>
        <v>#DIV/0!</v>
      </c>
      <c r="BP245" s="307" t="e">
        <f>SUM(BP225:BP244)/COUNTIF(BP225:BP244,"&gt;0")</f>
        <v>#DIV/0!</v>
      </c>
      <c r="BQ245" s="28"/>
      <c r="BR245" s="307" t="e">
        <f>AVERAGE(BR225:BR244)</f>
        <v>#DIV/0!</v>
      </c>
      <c r="BS245" s="307" t="e">
        <f>SUM(BS225:BS244)/COUNTIF(BS225:BS244,"&gt;0")</f>
        <v>#DIV/0!</v>
      </c>
      <c r="BT245" s="28"/>
      <c r="BU245" s="307" t="e">
        <f>AVERAGE(BU225:BU244)</f>
        <v>#DIV/0!</v>
      </c>
      <c r="BV245" s="307" t="e">
        <f>SUM(BV225:BV244)/COUNTIF(BV225:BV244,"&gt;0")</f>
        <v>#DIV/0!</v>
      </c>
      <c r="BW245" s="28"/>
      <c r="BX245" s="139"/>
    </row>
    <row r="246" spans="1:76" s="122" customFormat="1" x14ac:dyDescent="0.25">
      <c r="A246" s="195"/>
      <c r="B246" s="244" t="s">
        <v>164</v>
      </c>
      <c r="C246" s="199" t="s">
        <v>139</v>
      </c>
      <c r="D246" s="252"/>
      <c r="E246" s="253"/>
      <c r="F246" s="253"/>
      <c r="G246" s="253"/>
      <c r="H246" s="253"/>
      <c r="I246" s="253"/>
      <c r="J246" s="254"/>
      <c r="Q246" s="306" t="s">
        <v>144</v>
      </c>
      <c r="R246" s="257" t="e">
        <f>R245+U246*R249</f>
        <v>#DIV/0!</v>
      </c>
      <c r="S246" s="257" t="e">
        <f>S245+U246*S249</f>
        <v>#DIV/0!</v>
      </c>
      <c r="T246" s="257" t="e">
        <f>T245+U246*T249</f>
        <v>#DIV/0!</v>
      </c>
      <c r="U246" s="258">
        <v>1</v>
      </c>
      <c r="V246" s="122" t="s">
        <v>142</v>
      </c>
      <c r="W246" s="28"/>
      <c r="X246" s="259" t="s">
        <v>143</v>
      </c>
      <c r="Y246" s="260"/>
      <c r="AO246" s="139"/>
      <c r="AP246" s="28"/>
      <c r="AQ246" s="28"/>
      <c r="AR246" s="28"/>
      <c r="AS246" s="256" t="s">
        <v>144</v>
      </c>
      <c r="AT246" s="261" t="e">
        <f>AT245+(AT251*AT248)</f>
        <v>#DIV/0!</v>
      </c>
      <c r="AU246" s="261" t="e">
        <f>AU245+(AU251*AT248)</f>
        <v>#DIV/0!</v>
      </c>
      <c r="AV246" s="256"/>
      <c r="AW246" s="261" t="e">
        <f>AW245+(AW251*AW248)</f>
        <v>#DIV/0!</v>
      </c>
      <c r="AX246" s="261" t="e">
        <f>AX245+(AX251*AW248)</f>
        <v>#DIV/0!</v>
      </c>
      <c r="AY246" s="28"/>
      <c r="AZ246" s="261" t="e">
        <f>AZ245+(AZ251*AZ248)</f>
        <v>#DIV/0!</v>
      </c>
      <c r="BA246" s="261" t="e">
        <f>BA245+(BA251*AZ248)</f>
        <v>#DIV/0!</v>
      </c>
      <c r="BB246" s="28"/>
      <c r="BC246" s="261" t="e">
        <f>BC245+(BC251*BC248)</f>
        <v>#DIV/0!</v>
      </c>
      <c r="BD246" s="261" t="e">
        <f>BD245+(BD251*BC248)</f>
        <v>#DIV/0!</v>
      </c>
      <c r="BE246" s="28"/>
      <c r="BF246" s="261" t="e">
        <f>BF245+(BF251*BF248)</f>
        <v>#DIV/0!</v>
      </c>
      <c r="BG246" s="261" t="e">
        <f>BG245+(BG251*BF248)</f>
        <v>#DIV/0!</v>
      </c>
      <c r="BH246" s="28"/>
      <c r="BI246" s="261" t="e">
        <f>BI245+(BI251*BI248)</f>
        <v>#DIV/0!</v>
      </c>
      <c r="BJ246" s="261" t="e">
        <f>BJ245+(BJ251*BI248)</f>
        <v>#DIV/0!</v>
      </c>
      <c r="BK246" s="256"/>
      <c r="BL246" s="261" t="e">
        <f>BL245+(BL251*BL248)</f>
        <v>#DIV/0!</v>
      </c>
      <c r="BM246" s="261" t="e">
        <f>BM245+(BM251*BL248)</f>
        <v>#DIV/0!</v>
      </c>
      <c r="BN246" s="28"/>
      <c r="BO246" s="261" t="e">
        <f>BO245+(BO251*BO248)</f>
        <v>#DIV/0!</v>
      </c>
      <c r="BP246" s="261" t="e">
        <f>BP245+(BP251*BO248)</f>
        <v>#DIV/0!</v>
      </c>
      <c r="BQ246" s="28"/>
      <c r="BR246" s="261" t="e">
        <f>BR245+(BR251*BR248)</f>
        <v>#DIV/0!</v>
      </c>
      <c r="BS246" s="261" t="e">
        <f>BS245+(BS251*BR248)</f>
        <v>#DIV/0!</v>
      </c>
      <c r="BT246" s="28"/>
      <c r="BU246" s="261" t="e">
        <f>BU245+(BU251*BU248)</f>
        <v>#DIV/0!</v>
      </c>
      <c r="BV246" s="261" t="e">
        <f>BV245+(BV251*BU248)</f>
        <v>#DIV/0!</v>
      </c>
      <c r="BW246" s="28"/>
      <c r="BX246" s="139"/>
    </row>
    <row r="247" spans="1:76" s="122" customFormat="1" x14ac:dyDescent="0.25">
      <c r="A247" s="195"/>
      <c r="B247" s="244" t="s">
        <v>165</v>
      </c>
      <c r="C247" s="195"/>
      <c r="D247" s="263"/>
      <c r="E247" s="264"/>
      <c r="F247" s="264"/>
      <c r="G247" s="264"/>
      <c r="H247" s="264"/>
      <c r="I247" s="264"/>
      <c r="J247" s="265"/>
      <c r="K247" s="28"/>
      <c r="L247" s="28"/>
      <c r="Q247" s="306" t="s">
        <v>150</v>
      </c>
      <c r="R247" s="257" t="e">
        <f>IF($X247="Y",MIN(R225:R244),R245-$U247*R249)</f>
        <v>#DIV/0!</v>
      </c>
      <c r="S247" s="257" t="e">
        <f t="shared" ref="S247:T247" si="175">IF($X247="Y",MIN(S225:S244),S245-$U247*S249)</f>
        <v>#DIV/0!</v>
      </c>
      <c r="T247" s="257" t="e">
        <f t="shared" si="175"/>
        <v>#DIV/0!</v>
      </c>
      <c r="U247" s="258">
        <v>1</v>
      </c>
      <c r="V247" s="122" t="s">
        <v>148</v>
      </c>
      <c r="W247" s="28"/>
      <c r="X247" s="266" t="s">
        <v>149</v>
      </c>
      <c r="Y247" s="260"/>
      <c r="AO247" s="139"/>
      <c r="AP247" s="28"/>
      <c r="AQ247" s="28"/>
      <c r="AR247" s="28"/>
      <c r="AS247" s="256" t="s">
        <v>150</v>
      </c>
      <c r="AT247" s="261" t="e">
        <f>AT245-(AT251*AT249)</f>
        <v>#DIV/0!</v>
      </c>
      <c r="AU247" s="261" t="e">
        <f>AU245-(AU251*AT249)</f>
        <v>#DIV/0!</v>
      </c>
      <c r="AV247" s="256"/>
      <c r="AW247" s="261" t="e">
        <f>AW245-(AW251*AW249)</f>
        <v>#DIV/0!</v>
      </c>
      <c r="AX247" s="261" t="e">
        <f>AX245-(AX251*AW249)</f>
        <v>#DIV/0!</v>
      </c>
      <c r="AY247" s="28"/>
      <c r="AZ247" s="261" t="e">
        <f>AZ245-(AZ251*AZ249)</f>
        <v>#DIV/0!</v>
      </c>
      <c r="BA247" s="261" t="e">
        <f>BA245-(BA251*AZ249)</f>
        <v>#DIV/0!</v>
      </c>
      <c r="BB247" s="28"/>
      <c r="BC247" s="261" t="e">
        <f>BC245-(BC251*BC249)</f>
        <v>#DIV/0!</v>
      </c>
      <c r="BD247" s="261" t="e">
        <f>BD245-(BD251*BC249)</f>
        <v>#DIV/0!</v>
      </c>
      <c r="BE247" s="28"/>
      <c r="BF247" s="261" t="e">
        <f>BF245-(BF251*BF249)</f>
        <v>#DIV/0!</v>
      </c>
      <c r="BG247" s="261" t="e">
        <f>BG245-(BG251*BF249)</f>
        <v>#DIV/0!</v>
      </c>
      <c r="BH247" s="28"/>
      <c r="BI247" s="261" t="e">
        <f>BI245-(BI251*BI249)</f>
        <v>#DIV/0!</v>
      </c>
      <c r="BJ247" s="261" t="e">
        <f>BJ245-(BJ251*BI249)</f>
        <v>#DIV/0!</v>
      </c>
      <c r="BK247" s="256"/>
      <c r="BL247" s="261" t="e">
        <f>BL245-(BL251*BL249)</f>
        <v>#DIV/0!</v>
      </c>
      <c r="BM247" s="261" t="e">
        <f>BM245-(BM251*BL249)</f>
        <v>#DIV/0!</v>
      </c>
      <c r="BN247" s="28"/>
      <c r="BO247" s="261" t="e">
        <f>BO245-(BO251*BO249)</f>
        <v>#DIV/0!</v>
      </c>
      <c r="BP247" s="261" t="e">
        <f>BP245-(BP251*BO249)</f>
        <v>#DIV/0!</v>
      </c>
      <c r="BQ247" s="28"/>
      <c r="BR247" s="261" t="e">
        <f>BR245-(BR251*BR249)</f>
        <v>#DIV/0!</v>
      </c>
      <c r="BS247" s="261" t="e">
        <f>BS245-(BS251*BR249)</f>
        <v>#DIV/0!</v>
      </c>
      <c r="BT247" s="28"/>
      <c r="BU247" s="261" t="e">
        <f>BU245-(BU251*BU249)</f>
        <v>#DIV/0!</v>
      </c>
      <c r="BV247" s="261" t="e">
        <f>BV245-(BV251*BU249)</f>
        <v>#DIV/0!</v>
      </c>
      <c r="BW247" s="28"/>
      <c r="BX247" s="139"/>
    </row>
    <row r="248" spans="1:76" s="122" customFormat="1" ht="14.25" x14ac:dyDescent="0.2">
      <c r="A248" s="195"/>
      <c r="B248" s="196"/>
      <c r="C248" s="195"/>
      <c r="D248" s="263"/>
      <c r="E248" s="264"/>
      <c r="F248" s="264"/>
      <c r="G248" s="264"/>
      <c r="H248" s="264"/>
      <c r="I248" s="264"/>
      <c r="J248" s="265"/>
      <c r="Q248" s="306" t="s">
        <v>151</v>
      </c>
      <c r="R248" s="257" t="e">
        <f>IF((0.67*R249)&gt;R245,"no","yes")</f>
        <v>#DIV/0!</v>
      </c>
      <c r="S248" s="257" t="e">
        <f>IF((0.67*S249)&gt;S245,"no","yes")</f>
        <v>#DIV/0!</v>
      </c>
      <c r="T248" s="257" t="e">
        <f>IF((0.67*T249)&gt;T245,"no","yes")</f>
        <v>#DIV/0!</v>
      </c>
      <c r="Y248" s="260"/>
      <c r="AO248" s="139"/>
      <c r="AR248" s="267" t="s">
        <v>152</v>
      </c>
      <c r="AS248" s="268"/>
      <c r="AT248" s="258">
        <v>1</v>
      </c>
      <c r="AV248" s="308"/>
      <c r="AW248" s="258">
        <v>1</v>
      </c>
      <c r="AZ248" s="258">
        <v>1</v>
      </c>
      <c r="BC248" s="258">
        <v>1</v>
      </c>
      <c r="BF248" s="258">
        <v>1</v>
      </c>
      <c r="BI248" s="258">
        <v>1</v>
      </c>
      <c r="BK248" s="256"/>
      <c r="BL248" s="258">
        <v>1</v>
      </c>
      <c r="BO248" s="258">
        <v>1</v>
      </c>
      <c r="BR248" s="258">
        <v>1</v>
      </c>
      <c r="BU248" s="258">
        <v>1</v>
      </c>
      <c r="BX248" s="139"/>
    </row>
    <row r="249" spans="1:76" s="122" customFormat="1" ht="28.5" x14ac:dyDescent="0.2">
      <c r="A249" s="270" t="e">
        <f ca="1">HYPERLINK("#"&amp;"'"&amp;A$1&amp;"'!a1","Back to top")</f>
        <v>#VALUE!</v>
      </c>
      <c r="B249" s="271"/>
      <c r="C249" s="195"/>
      <c r="D249" s="263"/>
      <c r="E249" s="264"/>
      <c r="F249" s="264"/>
      <c r="G249" s="264"/>
      <c r="H249" s="264"/>
      <c r="I249" s="264"/>
      <c r="J249" s="265"/>
      <c r="Q249" s="306" t="s">
        <v>157</v>
      </c>
      <c r="R249" s="257">
        <f>IF(COUNT(R225:R244)&gt;1,_xlfn.STDEV.S(R225:R244),0)</f>
        <v>0</v>
      </c>
      <c r="S249" s="257" t="e">
        <f t="array" ref="S249">IF(R253="Y",SQRT(SUM(IFERROR(N225:N244*(R225:R244-(S245))^2,0))/((COUNT(S225:S244)-1)/COUNT(S225:S244)*SUMPRODUCT(N225:N244,--ISNUMBER(S225:S244)))),_xlfn.STDEV.S(S225:S244))</f>
        <v>#DIV/0!</v>
      </c>
      <c r="T249" s="257" t="e">
        <f t="array" ref="T249">SQRT(SUM(IFERROR(N225:N244*(R225:R244-(T245))^2,0))/((COUNT(T225:T244)-1)/COUNT(T225:T244)*SUMPRODUCT(N225:N244,--ISNUMBER(T225:T244))))</f>
        <v>#DIV/0!</v>
      </c>
      <c r="Y249" s="260"/>
      <c r="AO249" s="139"/>
      <c r="AR249" s="267"/>
      <c r="AS249" s="268"/>
      <c r="AT249" s="258">
        <v>1</v>
      </c>
      <c r="AV249" s="308"/>
      <c r="AW249" s="258">
        <v>1</v>
      </c>
      <c r="AZ249" s="258">
        <v>1</v>
      </c>
      <c r="BC249" s="258">
        <v>1</v>
      </c>
      <c r="BF249" s="258">
        <v>1</v>
      </c>
      <c r="BI249" s="258">
        <v>1</v>
      </c>
      <c r="BK249" s="256"/>
      <c r="BL249" s="258">
        <v>1</v>
      </c>
      <c r="BO249" s="258">
        <v>1</v>
      </c>
      <c r="BR249" s="258">
        <v>1</v>
      </c>
      <c r="BU249" s="258">
        <v>1</v>
      </c>
      <c r="BX249" s="139"/>
    </row>
    <row r="250" spans="1:76" s="122" customFormat="1" ht="15" customHeight="1" x14ac:dyDescent="0.25">
      <c r="A250" s="195"/>
      <c r="B250" s="196"/>
      <c r="C250" s="195"/>
      <c r="D250" s="263"/>
      <c r="E250" s="264"/>
      <c r="F250" s="264"/>
      <c r="G250" s="264"/>
      <c r="H250" s="264"/>
      <c r="I250" s="264"/>
      <c r="J250" s="265"/>
      <c r="Q250" s="309" t="s">
        <v>159</v>
      </c>
      <c r="R250" s="310">
        <f>COUNT(R225:R244)</f>
        <v>0</v>
      </c>
      <c r="S250" s="310">
        <f>COUNT(S225:S244)</f>
        <v>0</v>
      </c>
      <c r="T250" s="118"/>
      <c r="U250" s="273" t="s">
        <v>155</v>
      </c>
      <c r="Y250" s="139"/>
      <c r="AO250" s="139"/>
      <c r="AS250" s="256" t="s">
        <v>151</v>
      </c>
      <c r="AT250" s="261" t="e">
        <f>IF((0.67*AT251)&gt;AT245,"no","yes")</f>
        <v>#DIV/0!</v>
      </c>
      <c r="AU250" s="261" t="e">
        <f>IF((0.67*AU251)&gt;AU245,"no","yes")</f>
        <v>#DIV/0!</v>
      </c>
      <c r="AV250" s="256"/>
      <c r="AW250" s="261" t="e">
        <f>IF((0.67*AW251)&gt;AW245,"no","yes")</f>
        <v>#DIV/0!</v>
      </c>
      <c r="AX250" s="261" t="e">
        <f>IF((0.67*AX251)&gt;AX245,"no","yes")</f>
        <v>#DIV/0!</v>
      </c>
      <c r="AZ250" s="261" t="e">
        <f>IF((0.67*AZ251)&gt;AZ245,"no","yes")</f>
        <v>#DIV/0!</v>
      </c>
      <c r="BA250" s="261" t="e">
        <f>IF((0.67*BA251)&gt;BA245,"no","yes")</f>
        <v>#DIV/0!</v>
      </c>
      <c r="BC250" s="261" t="e">
        <f>IF((0.67*BC251)&gt;BC245,"no","yes")</f>
        <v>#DIV/0!</v>
      </c>
      <c r="BD250" s="261" t="e">
        <f>IF((0.67*BD251)&gt;BD245,"no","yes")</f>
        <v>#DIV/0!</v>
      </c>
      <c r="BF250" s="261" t="e">
        <f>IF((0.67*BF251)&gt;BF245,"no","yes")</f>
        <v>#DIV/0!</v>
      </c>
      <c r="BG250" s="261" t="e">
        <f>IF((0.67*BG251)&gt;BG245,"no","yes")</f>
        <v>#DIV/0!</v>
      </c>
      <c r="BI250" s="261" t="e">
        <f>IF((0.67*BI251)&gt;BI245,"no","yes")</f>
        <v>#DIV/0!</v>
      </c>
      <c r="BJ250" s="261" t="e">
        <f>IF((0.67*BJ251)&gt;BJ245,"no","yes")</f>
        <v>#DIV/0!</v>
      </c>
      <c r="BK250" s="133"/>
      <c r="BL250" s="261" t="e">
        <f>IF((0.67*BL251)&gt;BL245,"no","yes")</f>
        <v>#DIV/0!</v>
      </c>
      <c r="BM250" s="261" t="e">
        <f>IF((0.67*BM251)&gt;BM245,"no","yes")</f>
        <v>#DIV/0!</v>
      </c>
      <c r="BO250" s="261" t="e">
        <f>IF((0.67*BO251)&gt;BO245,"no","yes")</f>
        <v>#DIV/0!</v>
      </c>
      <c r="BP250" s="261" t="e">
        <f>IF((0.67*BP251)&gt;BP245,"no","yes")</f>
        <v>#DIV/0!</v>
      </c>
      <c r="BR250" s="261" t="e">
        <f>IF((0.67*BR251)&gt;BR245,"no","yes")</f>
        <v>#DIV/0!</v>
      </c>
      <c r="BS250" s="261" t="e">
        <f>IF((0.67*BS251)&gt;BS245,"no","yes")</f>
        <v>#DIV/0!</v>
      </c>
      <c r="BU250" s="261" t="e">
        <f>IF((0.67*BU251)&gt;BU245,"no","yes")</f>
        <v>#DIV/0!</v>
      </c>
      <c r="BV250" s="261" t="e">
        <f>IF((0.67*BV251)&gt;BV245,"no","yes")</f>
        <v>#DIV/0!</v>
      </c>
      <c r="BX250" s="139"/>
    </row>
    <row r="251" spans="1:76" s="122" customFormat="1" ht="14.25" x14ac:dyDescent="0.2">
      <c r="A251" s="195"/>
      <c r="B251" s="196"/>
      <c r="C251" s="195"/>
      <c r="D251" s="263"/>
      <c r="E251" s="264"/>
      <c r="F251" s="264"/>
      <c r="G251" s="264"/>
      <c r="H251" s="264"/>
      <c r="I251" s="264"/>
      <c r="J251" s="265"/>
      <c r="Q251" s="309"/>
      <c r="R251" s="118"/>
      <c r="S251" s="196"/>
      <c r="T251" s="118"/>
      <c r="U251" s="274"/>
      <c r="V251" s="275"/>
      <c r="W251" s="276"/>
      <c r="Y251" s="139"/>
      <c r="AO251" s="139"/>
      <c r="AS251" s="256" t="s">
        <v>157</v>
      </c>
      <c r="AT251" s="261">
        <f>IF(AT252&gt;1,_xlfn.STDEV.S(AT225:AT244),0)</f>
        <v>0</v>
      </c>
      <c r="AU251" s="261">
        <f>IF(AU252&gt;1,_xlfn.STDEV.S(AU225:AU244),0)</f>
        <v>0</v>
      </c>
      <c r="AW251" s="261">
        <f t="shared" ref="AW251:AX251" si="176">IF(AW252&gt;1,_xlfn.STDEV.S(AW225:AW244),0)</f>
        <v>0</v>
      </c>
      <c r="AX251" s="261">
        <f t="shared" si="176"/>
        <v>0</v>
      </c>
      <c r="AZ251" s="261">
        <f t="shared" ref="AZ251:BA251" si="177">IF(AZ252&gt;1,_xlfn.STDEV.S(AZ225:AZ244),0)</f>
        <v>0</v>
      </c>
      <c r="BA251" s="261">
        <f t="shared" si="177"/>
        <v>0</v>
      </c>
      <c r="BC251" s="261">
        <f t="shared" ref="BC251:BD251" si="178">IF(BC252&gt;1,_xlfn.STDEV.S(BC225:BC244),0)</f>
        <v>0</v>
      </c>
      <c r="BD251" s="261">
        <f t="shared" si="178"/>
        <v>0</v>
      </c>
      <c r="BF251" s="261">
        <f t="shared" ref="BF251:BG251" si="179">IF(BF252&gt;1,_xlfn.STDEV.S(BF225:BF244),0)</f>
        <v>0</v>
      </c>
      <c r="BG251" s="261">
        <f t="shared" si="179"/>
        <v>0</v>
      </c>
      <c r="BI251" s="261">
        <f t="shared" ref="BI251:BJ251" si="180">IF(BI252&gt;1,_xlfn.STDEV.S(BI225:BI244),0)</f>
        <v>0</v>
      </c>
      <c r="BJ251" s="261">
        <f t="shared" si="180"/>
        <v>0</v>
      </c>
      <c r="BL251" s="261">
        <f t="shared" ref="BL251:BM251" si="181">IF(BL252&gt;1,_xlfn.STDEV.S(BL225:BL244),0)</f>
        <v>0</v>
      </c>
      <c r="BM251" s="261">
        <f t="shared" si="181"/>
        <v>0</v>
      </c>
      <c r="BO251" s="261">
        <f t="shared" ref="BO251:BP251" si="182">IF(BO252&gt;1,_xlfn.STDEV.S(BO225:BO244),0)</f>
        <v>0</v>
      </c>
      <c r="BP251" s="261">
        <f t="shared" si="182"/>
        <v>0</v>
      </c>
      <c r="BR251" s="261">
        <f t="shared" ref="BR251:BS251" si="183">IF(BR252&gt;1,_xlfn.STDEV.S(BR225:BR244),0)</f>
        <v>0</v>
      </c>
      <c r="BS251" s="261">
        <f t="shared" si="183"/>
        <v>0</v>
      </c>
      <c r="BU251" s="261">
        <f t="shared" ref="BU251:BV251" si="184">IF(BU252&gt;1,_xlfn.STDEV.S(BU225:BU244),0)</f>
        <v>0</v>
      </c>
      <c r="BV251" s="261">
        <f t="shared" si="184"/>
        <v>0</v>
      </c>
      <c r="BX251" s="139"/>
    </row>
    <row r="252" spans="1:76" s="122" customFormat="1" x14ac:dyDescent="0.2">
      <c r="A252" s="195"/>
      <c r="B252" s="196"/>
      <c r="D252" s="277"/>
      <c r="E252" s="278"/>
      <c r="F252" s="278"/>
      <c r="G252" s="278"/>
      <c r="H252" s="278"/>
      <c r="I252" s="278"/>
      <c r="J252" s="279"/>
      <c r="Q252" s="309"/>
      <c r="R252" s="280" t="s">
        <v>158</v>
      </c>
      <c r="S252" s="195"/>
      <c r="U252" s="281"/>
      <c r="V252" s="282"/>
      <c r="W252" s="283"/>
      <c r="Y252" s="139"/>
      <c r="AO252" s="139"/>
      <c r="AS252" s="133" t="s">
        <v>159</v>
      </c>
      <c r="AT252" s="284">
        <f>COUNT(AT225:AT244)</f>
        <v>0</v>
      </c>
      <c r="AU252" s="284">
        <f>COUNT(AU225:AU244)</f>
        <v>0</v>
      </c>
      <c r="AW252" s="284">
        <f t="shared" ref="AW252:AX252" si="185">COUNT(AW225:AW244)</f>
        <v>0</v>
      </c>
      <c r="AX252" s="284">
        <f t="shared" si="185"/>
        <v>0</v>
      </c>
      <c r="AZ252" s="284">
        <f t="shared" ref="AZ252:BA252" si="186">COUNT(AZ225:AZ244)</f>
        <v>0</v>
      </c>
      <c r="BA252" s="284">
        <f t="shared" si="186"/>
        <v>0</v>
      </c>
      <c r="BC252" s="284">
        <f t="shared" ref="BC252:BD252" si="187">COUNT(BC225:BC244)</f>
        <v>0</v>
      </c>
      <c r="BD252" s="284">
        <f t="shared" si="187"/>
        <v>0</v>
      </c>
      <c r="BF252" s="284">
        <f t="shared" ref="BF252:BG252" si="188">COUNT(BF225:BF244)</f>
        <v>0</v>
      </c>
      <c r="BG252" s="284">
        <f t="shared" si="188"/>
        <v>0</v>
      </c>
      <c r="BI252" s="284">
        <f t="shared" ref="BI252:BJ252" si="189">COUNT(BI225:BI244)</f>
        <v>0</v>
      </c>
      <c r="BJ252" s="284">
        <f t="shared" si="189"/>
        <v>0</v>
      </c>
      <c r="BL252" s="284">
        <f t="shared" ref="BL252:BM252" si="190">COUNT(BL225:BL244)</f>
        <v>0</v>
      </c>
      <c r="BM252" s="284">
        <f t="shared" si="190"/>
        <v>0</v>
      </c>
      <c r="BO252" s="284">
        <f t="shared" ref="BO252:BP252" si="191">COUNT(BO225:BO244)</f>
        <v>0</v>
      </c>
      <c r="BP252" s="284">
        <f t="shared" si="191"/>
        <v>0</v>
      </c>
      <c r="BR252" s="284">
        <f t="shared" ref="BR252:BS252" si="192">COUNT(BR225:BR244)</f>
        <v>0</v>
      </c>
      <c r="BS252" s="284">
        <f t="shared" si="192"/>
        <v>0</v>
      </c>
      <c r="BU252" s="284">
        <f t="shared" ref="BU252:BV252" si="193">COUNT(BU225:BU244)</f>
        <v>0</v>
      </c>
      <c r="BV252" s="284">
        <f t="shared" si="193"/>
        <v>0</v>
      </c>
      <c r="BX252" s="139"/>
    </row>
    <row r="253" spans="1:76" s="122" customFormat="1" ht="18" x14ac:dyDescent="0.25">
      <c r="A253" s="195"/>
      <c r="B253" s="196"/>
      <c r="C253" s="195"/>
      <c r="D253" s="195"/>
      <c r="E253" s="195"/>
      <c r="F253" s="195"/>
      <c r="G253" s="195"/>
      <c r="I253" s="133"/>
      <c r="Q253" s="309"/>
      <c r="R253" s="287" t="s">
        <v>149</v>
      </c>
      <c r="S253" s="195"/>
      <c r="U253" s="281"/>
      <c r="V253" s="282"/>
      <c r="W253" s="283"/>
      <c r="Y253" s="139"/>
      <c r="AO253" s="296"/>
      <c r="BX253" s="296"/>
    </row>
    <row r="254" spans="1:76" s="122" customFormat="1" ht="14.25" x14ac:dyDescent="0.2">
      <c r="A254" s="195"/>
      <c r="B254" s="196"/>
      <c r="C254" s="195"/>
      <c r="D254" s="195"/>
      <c r="E254" s="195"/>
      <c r="F254" s="195"/>
      <c r="G254" s="195"/>
      <c r="I254" s="133"/>
      <c r="Q254" s="309"/>
      <c r="R254" s="195"/>
      <c r="S254" s="195"/>
      <c r="U254" s="288"/>
      <c r="V254" s="289"/>
      <c r="W254" s="290"/>
      <c r="Y254" s="139"/>
      <c r="AO254" s="139"/>
      <c r="AS254" s="195"/>
      <c r="AT254" s="195"/>
      <c r="AU254" s="195"/>
      <c r="AV254" s="195"/>
      <c r="BX254" s="139"/>
    </row>
    <row r="255" spans="1:76" s="55" customFormat="1" ht="14.25" x14ac:dyDescent="0.2">
      <c r="B255" s="23"/>
      <c r="I255" s="122"/>
      <c r="J255" s="195"/>
      <c r="K255" s="122"/>
      <c r="L255" s="122"/>
      <c r="M255" s="122"/>
      <c r="N255" s="122"/>
      <c r="O255" s="122"/>
      <c r="P255" s="122"/>
      <c r="Q255" s="311"/>
      <c r="R255" s="122"/>
      <c r="S255" s="122"/>
      <c r="T255" s="122"/>
      <c r="U255" s="122"/>
      <c r="V255" s="122"/>
      <c r="W255" s="122"/>
      <c r="Y255" s="91"/>
      <c r="AO255" s="91"/>
      <c r="BX255" s="91"/>
    </row>
    <row r="256" spans="1:76" s="91" customFormat="1" ht="18" x14ac:dyDescent="0.25">
      <c r="A256" s="188">
        <f>A222+1</f>
        <v>7</v>
      </c>
      <c r="B256" s="189"/>
      <c r="C256" s="293" t="s">
        <v>172</v>
      </c>
      <c r="D256" s="191"/>
      <c r="E256" s="315"/>
      <c r="F256" s="315" t="s">
        <v>170</v>
      </c>
      <c r="G256" s="9"/>
      <c r="H256" s="9"/>
      <c r="I256" s="9"/>
      <c r="J256" s="191"/>
      <c r="K256" s="191"/>
      <c r="L256" s="192"/>
      <c r="M256" s="315"/>
      <c r="N256" s="315"/>
      <c r="O256" s="9"/>
      <c r="P256" s="9"/>
      <c r="Q256" s="193"/>
      <c r="R256" s="194" t="s">
        <v>93</v>
      </c>
      <c r="S256" s="194"/>
      <c r="T256" s="194"/>
      <c r="U256" s="194"/>
      <c r="V256" s="9"/>
      <c r="W256" s="9"/>
      <c r="AP256" s="295">
        <f>A256</f>
        <v>7</v>
      </c>
      <c r="AQ256" s="295" t="str">
        <f>C256</f>
        <v>Average Annual Use - SOLUTION</v>
      </c>
      <c r="AR256" s="296"/>
      <c r="AS256" s="296"/>
      <c r="AT256" s="296"/>
      <c r="AU256" s="296"/>
      <c r="AV256" s="296"/>
      <c r="AW256" s="296"/>
      <c r="AX256" s="296"/>
      <c r="AY256" s="296"/>
      <c r="AZ256" s="296"/>
      <c r="BA256" s="296"/>
      <c r="BB256" s="296"/>
      <c r="BC256" s="296"/>
      <c r="BD256" s="296"/>
      <c r="BE256" s="296"/>
      <c r="BF256" s="296"/>
      <c r="BG256" s="296"/>
      <c r="BH256" s="296"/>
      <c r="BI256" s="296"/>
      <c r="BJ256" s="296"/>
      <c r="BK256" s="296"/>
      <c r="BL256" s="296"/>
      <c r="BM256" s="296"/>
      <c r="BN256" s="296"/>
      <c r="BO256" s="296"/>
      <c r="BP256" s="296"/>
      <c r="BQ256" s="296"/>
      <c r="BR256" s="296"/>
      <c r="BS256" s="296"/>
      <c r="BT256" s="296"/>
      <c r="BU256" s="296"/>
      <c r="BV256" s="296"/>
      <c r="BW256" s="296"/>
    </row>
    <row r="257" spans="1:76" s="55" customFormat="1" x14ac:dyDescent="0.25">
      <c r="A257" s="195"/>
      <c r="B257" s="196"/>
      <c r="C257" s="195"/>
      <c r="D257" s="120"/>
      <c r="E257" s="120"/>
      <c r="F257" s="120"/>
      <c r="G257" s="120"/>
      <c r="J257" s="120"/>
      <c r="K257" s="120"/>
      <c r="L257" s="122"/>
      <c r="M257" s="122"/>
      <c r="N257" s="122"/>
      <c r="Q257" s="81"/>
      <c r="Y257" s="91"/>
      <c r="AO257" s="91"/>
      <c r="AP257" s="28"/>
      <c r="AQ257" s="28"/>
      <c r="AR257" s="28"/>
      <c r="AS257" s="28"/>
      <c r="AT257" s="198" t="s">
        <v>171</v>
      </c>
      <c r="AU257" s="198"/>
      <c r="AV257" s="28"/>
      <c r="AW257" s="198" t="s">
        <v>96</v>
      </c>
      <c r="AX257" s="198"/>
      <c r="AY257" s="28"/>
      <c r="AZ257" s="198" t="s">
        <v>97</v>
      </c>
      <c r="BA257" s="198"/>
      <c r="BB257" s="28"/>
      <c r="BC257" s="198" t="s">
        <v>98</v>
      </c>
      <c r="BD257" s="198"/>
      <c r="BE257" s="28"/>
      <c r="BF257" s="198" t="s">
        <v>99</v>
      </c>
      <c r="BG257" s="198"/>
      <c r="BH257" s="28"/>
      <c r="BI257" s="198" t="s">
        <v>100</v>
      </c>
      <c r="BJ257" s="198"/>
      <c r="BK257" s="28"/>
      <c r="BL257" s="198" t="s">
        <v>101</v>
      </c>
      <c r="BM257" s="198"/>
      <c r="BN257" s="28"/>
      <c r="BO257" s="198" t="s">
        <v>102</v>
      </c>
      <c r="BP257" s="198"/>
      <c r="BQ257" s="28"/>
      <c r="BR257" s="198" t="s">
        <v>103</v>
      </c>
      <c r="BS257" s="198"/>
      <c r="BT257" s="28"/>
      <c r="BU257" s="198" t="s">
        <v>104</v>
      </c>
      <c r="BV257" s="198"/>
      <c r="BW257" s="28"/>
      <c r="BX257" s="91"/>
    </row>
    <row r="258" spans="1:76" s="55" customFormat="1" ht="30.75" thickBot="1" x14ac:dyDescent="0.3">
      <c r="A258" s="199" t="s">
        <v>105</v>
      </c>
      <c r="B258" s="200" t="s">
        <v>106</v>
      </c>
      <c r="C258" s="201" t="s">
        <v>107</v>
      </c>
      <c r="D258" s="202" t="s">
        <v>108</v>
      </c>
      <c r="E258" s="202" t="s">
        <v>109</v>
      </c>
      <c r="F258" s="201" t="s">
        <v>110</v>
      </c>
      <c r="G258" s="201" t="s">
        <v>111</v>
      </c>
      <c r="H258" s="202" t="s">
        <v>112</v>
      </c>
      <c r="I258" s="203" t="s">
        <v>113</v>
      </c>
      <c r="J258" s="204" t="s">
        <v>114</v>
      </c>
      <c r="K258" s="205" t="s">
        <v>115</v>
      </c>
      <c r="L258" s="302" t="s">
        <v>116</v>
      </c>
      <c r="M258" s="207" t="s">
        <v>117</v>
      </c>
      <c r="N258" s="208" t="s">
        <v>118</v>
      </c>
      <c r="O258" s="208" t="s">
        <v>119</v>
      </c>
      <c r="P258" s="210"/>
      <c r="Q258" s="211" t="s">
        <v>120</v>
      </c>
      <c r="R258" s="212" t="s">
        <v>121</v>
      </c>
      <c r="S258" s="212" t="s">
        <v>122</v>
      </c>
      <c r="T258" s="212" t="s">
        <v>123</v>
      </c>
      <c r="U258" s="213" t="s">
        <v>124</v>
      </c>
      <c r="V258" s="210"/>
      <c r="W258" s="210"/>
      <c r="Y258" s="91"/>
      <c r="AO258" s="91"/>
      <c r="AP258" s="210"/>
      <c r="AQ258" s="210"/>
      <c r="AR258" s="213" t="s">
        <v>125</v>
      </c>
      <c r="AS258" s="210"/>
      <c r="AT258" s="215" t="s">
        <v>121</v>
      </c>
      <c r="AU258" s="215" t="s">
        <v>122</v>
      </c>
      <c r="AV258" s="210"/>
      <c r="AW258" s="215" t="s">
        <v>121</v>
      </c>
      <c r="AX258" s="215" t="s">
        <v>122</v>
      </c>
      <c r="AY258" s="210"/>
      <c r="AZ258" s="215" t="s">
        <v>121</v>
      </c>
      <c r="BA258" s="215" t="s">
        <v>122</v>
      </c>
      <c r="BB258" s="210"/>
      <c r="BC258" s="215" t="s">
        <v>121</v>
      </c>
      <c r="BD258" s="215" t="s">
        <v>122</v>
      </c>
      <c r="BE258" s="210"/>
      <c r="BF258" s="215" t="s">
        <v>121</v>
      </c>
      <c r="BG258" s="215" t="s">
        <v>122</v>
      </c>
      <c r="BH258" s="210"/>
      <c r="BI258" s="215" t="s">
        <v>121</v>
      </c>
      <c r="BJ258" s="215" t="s">
        <v>122</v>
      </c>
      <c r="BK258" s="210"/>
      <c r="BL258" s="215" t="s">
        <v>121</v>
      </c>
      <c r="BM258" s="215" t="s">
        <v>122</v>
      </c>
      <c r="BN258" s="210"/>
      <c r="BO258" s="215" t="s">
        <v>121</v>
      </c>
      <c r="BP258" s="215" t="s">
        <v>122</v>
      </c>
      <c r="BQ258" s="210"/>
      <c r="BR258" s="215" t="s">
        <v>121</v>
      </c>
      <c r="BS258" s="215" t="s">
        <v>122</v>
      </c>
      <c r="BT258" s="210"/>
      <c r="BU258" s="215" t="s">
        <v>121</v>
      </c>
      <c r="BV258" s="215" t="s">
        <v>122</v>
      </c>
      <c r="BW258" s="210"/>
      <c r="BX258" s="91"/>
    </row>
    <row r="259" spans="1:76" s="55" customFormat="1" x14ac:dyDescent="0.25">
      <c r="A259" s="195">
        <v>1</v>
      </c>
      <c r="B259" s="216" t="str">
        <f t="shared" ref="B259:B278" si="194">CONCATENATE(E259,": ",C259)</f>
        <v xml:space="preserve">: </v>
      </c>
      <c r="C259" s="219"/>
      <c r="D259" s="219"/>
      <c r="E259" s="219"/>
      <c r="F259" s="219"/>
      <c r="G259" s="220"/>
      <c r="H259" s="221"/>
      <c r="I259" s="220"/>
      <c r="J259" s="317"/>
      <c r="K259" s="226"/>
      <c r="L259" s="241"/>
      <c r="M259" s="225" t="str">
        <f t="shared" ref="M259:M278" si="195">CONCATENATE(FunctionalUnitOfMeasure,"/",AdoptionUnitOfMeasure,"/year")</f>
        <v>kg of protein/kg of protein/year</v>
      </c>
      <c r="N259" s="227"/>
      <c r="O259" s="241"/>
      <c r="P259" s="122"/>
      <c r="Q259" s="228"/>
      <c r="R259" s="231" t="str">
        <f>IF(Q259="Y","",IF(AND(L259="",J259=""),"",IF(L259="",J259,L259)))</f>
        <v/>
      </c>
      <c r="S259" s="230" t="str">
        <f t="shared" ref="S259:S278" si="196">IF(R259="","",IF($R$287="Y",T259,IF(R259&gt;=$R$279-$AA$35*$R$283,IF(R259&lt;=$R$279+$AA$35*$R$283,R259,""),"")))</f>
        <v/>
      </c>
      <c r="T259" s="231" t="str">
        <f>IF(OR(Q259="Y",IFERROR(R259&gt;R279+R283*$AA$35,0),IFERROR(R259&lt;R279-R283*$AA$35,0)),"",IFERROR(R259*N259,""))</f>
        <v/>
      </c>
      <c r="U259" s="232" t="str">
        <f t="shared" ref="U259:U278" si="197">IF(AND(M259="",K259=""),"",IF(M259="",K259,M259))</f>
        <v>kg of protein/kg of protein/year</v>
      </c>
      <c r="V259" s="28"/>
      <c r="W259" s="28"/>
      <c r="Y259" s="91"/>
      <c r="AO259" s="91"/>
      <c r="AP259" s="28"/>
      <c r="AQ259" s="28"/>
      <c r="AR259" s="233" t="str">
        <f>$U259</f>
        <v>kg of protein/kg of protein/year</v>
      </c>
      <c r="AS259" s="28"/>
      <c r="AT259" s="304" t="str">
        <f t="shared" ref="AT259:AU259" si="198">IF($E259=$AT$47,R259,"")</f>
        <v/>
      </c>
      <c r="AU259" s="304" t="str">
        <f t="shared" si="198"/>
        <v/>
      </c>
      <c r="AV259" s="28"/>
      <c r="AW259" s="304" t="str">
        <f t="shared" ref="AW259:AX278" si="199">IF($E259=$AW$83,R259,"")</f>
        <v/>
      </c>
      <c r="AX259" s="304" t="str">
        <f t="shared" si="199"/>
        <v/>
      </c>
      <c r="AY259" s="28"/>
      <c r="AZ259" s="304" t="str">
        <f t="shared" ref="AZ259:BA278" si="200">IF($E259=$AZ$83,R259,"")</f>
        <v/>
      </c>
      <c r="BA259" s="304" t="str">
        <f t="shared" si="200"/>
        <v/>
      </c>
      <c r="BB259" s="28"/>
      <c r="BC259" s="304" t="str">
        <f t="shared" ref="BC259:BD278" si="201">IF($E259=$BC$83,R259,"")</f>
        <v/>
      </c>
      <c r="BD259" s="304" t="str">
        <f t="shared" si="201"/>
        <v/>
      </c>
      <c r="BE259" s="28"/>
      <c r="BF259" s="304" t="str">
        <f t="shared" ref="BF259:BG278" si="202">IF($E259=$BF$83,R259,"")</f>
        <v/>
      </c>
      <c r="BG259" s="304" t="str">
        <f t="shared" si="202"/>
        <v/>
      </c>
      <c r="BH259" s="28"/>
      <c r="BI259" s="304" t="str">
        <f t="shared" ref="BI259:BJ278" si="203">IF($E259=$BI$83,R259,"")</f>
        <v/>
      </c>
      <c r="BJ259" s="304" t="str">
        <f t="shared" si="203"/>
        <v/>
      </c>
      <c r="BK259" s="28"/>
      <c r="BL259" s="304" t="str">
        <f t="shared" ref="BL259:BM278" si="204">IF($E259=$BL$83,R259,"")</f>
        <v/>
      </c>
      <c r="BM259" s="304" t="str">
        <f t="shared" si="204"/>
        <v/>
      </c>
      <c r="BN259" s="28"/>
      <c r="BO259" s="304" t="str">
        <f t="shared" ref="BO259:BP278" si="205">IF($E259=$BO$83,R259,"")</f>
        <v/>
      </c>
      <c r="BP259" s="304" t="str">
        <f t="shared" si="205"/>
        <v/>
      </c>
      <c r="BQ259" s="28"/>
      <c r="BR259" s="304" t="str">
        <f t="shared" ref="BR259:BS278" si="206">IF($E259=$BR$83,R259,"")</f>
        <v/>
      </c>
      <c r="BS259" s="304" t="str">
        <f t="shared" si="206"/>
        <v/>
      </c>
      <c r="BT259" s="28"/>
      <c r="BU259" s="304" t="str">
        <f t="shared" ref="BU259:BV278" si="207">IF($E259=$BU$83,R259,"")</f>
        <v/>
      </c>
      <c r="BV259" s="304" t="str">
        <f t="shared" si="207"/>
        <v/>
      </c>
      <c r="BW259" s="28"/>
      <c r="BX259" s="91"/>
    </row>
    <row r="260" spans="1:76" s="55" customFormat="1" x14ac:dyDescent="0.25">
      <c r="A260" s="195">
        <v>2</v>
      </c>
      <c r="B260" s="216" t="str">
        <f t="shared" si="194"/>
        <v xml:space="preserve">: </v>
      </c>
      <c r="C260" s="219"/>
      <c r="D260" s="219"/>
      <c r="E260" s="219"/>
      <c r="F260" s="219"/>
      <c r="G260" s="220"/>
      <c r="H260" s="221"/>
      <c r="I260" s="220"/>
      <c r="J260" s="317"/>
      <c r="K260" s="226"/>
      <c r="L260" s="241"/>
      <c r="M260" s="225" t="str">
        <f t="shared" si="195"/>
        <v>kg of protein/kg of protein/year</v>
      </c>
      <c r="N260" s="227"/>
      <c r="O260" s="241"/>
      <c r="P260" s="122"/>
      <c r="Q260" s="228"/>
      <c r="R260" s="231" t="str">
        <f t="shared" ref="R260:R278" si="208">IF(Q260="Y","",IF(AND(L260="",J260=""),"",IF(L260="",J260,L260)))</f>
        <v/>
      </c>
      <c r="S260" s="230" t="str">
        <f t="shared" si="196"/>
        <v/>
      </c>
      <c r="T260" s="231" t="str">
        <f>IF(OR(Q260="Y",IFERROR(R260&gt;R279+R283*$AA$35,0),IFERROR(R260&lt;R279-R283*$AA$35,0)),"",IFERROR(R260*N260,""))</f>
        <v/>
      </c>
      <c r="U260" s="232" t="str">
        <f t="shared" si="197"/>
        <v>kg of protein/kg of protein/year</v>
      </c>
      <c r="V260" s="28"/>
      <c r="W260" s="28"/>
      <c r="Y260" s="91"/>
      <c r="AO260" s="91"/>
      <c r="AP260" s="28"/>
      <c r="AQ260" s="28"/>
      <c r="AR260" s="237"/>
      <c r="AS260" s="28"/>
      <c r="AT260" s="304" t="str">
        <f>IF($E260=$AT$47,R260,"")</f>
        <v/>
      </c>
      <c r="AU260" s="304" t="str">
        <f>IF($E260=$AT$47,S260,"")</f>
        <v/>
      </c>
      <c r="AV260" s="28"/>
      <c r="AW260" s="304" t="str">
        <f t="shared" si="199"/>
        <v/>
      </c>
      <c r="AX260" s="304" t="str">
        <f t="shared" si="199"/>
        <v/>
      </c>
      <c r="AY260" s="28"/>
      <c r="AZ260" s="304" t="str">
        <f t="shared" si="200"/>
        <v/>
      </c>
      <c r="BA260" s="304" t="str">
        <f t="shared" si="200"/>
        <v/>
      </c>
      <c r="BB260" s="28"/>
      <c r="BC260" s="304" t="str">
        <f t="shared" si="201"/>
        <v/>
      </c>
      <c r="BD260" s="304" t="str">
        <f t="shared" si="201"/>
        <v/>
      </c>
      <c r="BE260" s="28"/>
      <c r="BF260" s="304" t="str">
        <f t="shared" si="202"/>
        <v/>
      </c>
      <c r="BG260" s="304" t="str">
        <f t="shared" si="202"/>
        <v/>
      </c>
      <c r="BH260" s="28"/>
      <c r="BI260" s="304" t="str">
        <f t="shared" si="203"/>
        <v/>
      </c>
      <c r="BJ260" s="304" t="str">
        <f t="shared" si="203"/>
        <v/>
      </c>
      <c r="BK260" s="28"/>
      <c r="BL260" s="304" t="str">
        <f t="shared" si="204"/>
        <v/>
      </c>
      <c r="BM260" s="304" t="str">
        <f t="shared" si="204"/>
        <v/>
      </c>
      <c r="BN260" s="28"/>
      <c r="BO260" s="304" t="str">
        <f t="shared" si="205"/>
        <v/>
      </c>
      <c r="BP260" s="304" t="str">
        <f t="shared" si="205"/>
        <v/>
      </c>
      <c r="BQ260" s="28"/>
      <c r="BR260" s="304" t="str">
        <f t="shared" si="206"/>
        <v/>
      </c>
      <c r="BS260" s="304" t="str">
        <f t="shared" si="206"/>
        <v/>
      </c>
      <c r="BT260" s="28"/>
      <c r="BU260" s="304" t="str">
        <f t="shared" si="207"/>
        <v/>
      </c>
      <c r="BV260" s="304" t="str">
        <f t="shared" si="207"/>
        <v/>
      </c>
      <c r="BW260" s="28"/>
      <c r="BX260" s="91"/>
    </row>
    <row r="261" spans="1:76" s="55" customFormat="1" ht="12" customHeight="1" x14ac:dyDescent="0.25">
      <c r="A261" s="195">
        <v>3</v>
      </c>
      <c r="B261" s="216" t="str">
        <f>CONCATENATE(E261,": ",C261)</f>
        <v xml:space="preserve">: </v>
      </c>
      <c r="C261" s="221"/>
      <c r="D261" s="221"/>
      <c r="E261" s="221"/>
      <c r="F261" s="221"/>
      <c r="G261" s="240"/>
      <c r="H261" s="221"/>
      <c r="I261" s="240"/>
      <c r="J261" s="317"/>
      <c r="K261" s="226"/>
      <c r="L261" s="241"/>
      <c r="M261" s="225" t="str">
        <f t="shared" si="195"/>
        <v>kg of protein/kg of protein/year</v>
      </c>
      <c r="N261" s="227"/>
      <c r="O261" s="241"/>
      <c r="P261" s="122"/>
      <c r="Q261" s="228"/>
      <c r="R261" s="231" t="str">
        <f t="shared" si="208"/>
        <v/>
      </c>
      <c r="S261" s="230" t="str">
        <f t="shared" si="196"/>
        <v/>
      </c>
      <c r="T261" s="231" t="str">
        <f>IF(OR(Q261="Y",IFERROR(R261&gt;R279+R283*$AA$35,0),IFERROR(R261&lt;R279-R283*$AA$35,0)),"",IFERROR(R261*N261,""))</f>
        <v/>
      </c>
      <c r="U261" s="232" t="str">
        <f t="shared" si="197"/>
        <v>kg of protein/kg of protein/year</v>
      </c>
      <c r="V261" s="28"/>
      <c r="W261" s="28"/>
      <c r="Y261" s="91"/>
      <c r="AO261" s="91"/>
      <c r="AP261" s="28"/>
      <c r="AQ261" s="28"/>
      <c r="AR261" s="237"/>
      <c r="AS261" s="28"/>
      <c r="AT261" s="304" t="str">
        <f t="shared" ref="AT261:AU278" si="209">IF($E261=$AT$47,R261,"")</f>
        <v/>
      </c>
      <c r="AU261" s="304" t="str">
        <f t="shared" si="209"/>
        <v/>
      </c>
      <c r="AV261" s="28"/>
      <c r="AW261" s="304" t="str">
        <f t="shared" si="199"/>
        <v/>
      </c>
      <c r="AX261" s="304" t="str">
        <f t="shared" si="199"/>
        <v/>
      </c>
      <c r="AY261" s="28"/>
      <c r="AZ261" s="304" t="str">
        <f t="shared" si="200"/>
        <v/>
      </c>
      <c r="BA261" s="304" t="str">
        <f t="shared" si="200"/>
        <v/>
      </c>
      <c r="BB261" s="28"/>
      <c r="BC261" s="304" t="str">
        <f t="shared" si="201"/>
        <v/>
      </c>
      <c r="BD261" s="304" t="str">
        <f t="shared" si="201"/>
        <v/>
      </c>
      <c r="BE261" s="28"/>
      <c r="BF261" s="304" t="str">
        <f t="shared" si="202"/>
        <v/>
      </c>
      <c r="BG261" s="304" t="str">
        <f t="shared" si="202"/>
        <v/>
      </c>
      <c r="BH261" s="28"/>
      <c r="BI261" s="304" t="str">
        <f t="shared" si="203"/>
        <v/>
      </c>
      <c r="BJ261" s="304" t="str">
        <f t="shared" si="203"/>
        <v/>
      </c>
      <c r="BK261" s="28"/>
      <c r="BL261" s="304" t="str">
        <f t="shared" si="204"/>
        <v/>
      </c>
      <c r="BM261" s="304" t="str">
        <f t="shared" si="204"/>
        <v/>
      </c>
      <c r="BN261" s="28"/>
      <c r="BO261" s="304" t="str">
        <f t="shared" si="205"/>
        <v/>
      </c>
      <c r="BP261" s="304" t="str">
        <f t="shared" si="205"/>
        <v/>
      </c>
      <c r="BQ261" s="28"/>
      <c r="BR261" s="304" t="str">
        <f t="shared" si="206"/>
        <v/>
      </c>
      <c r="BS261" s="304" t="str">
        <f t="shared" si="206"/>
        <v/>
      </c>
      <c r="BT261" s="28"/>
      <c r="BU261" s="304" t="str">
        <f t="shared" si="207"/>
        <v/>
      </c>
      <c r="BV261" s="304" t="str">
        <f t="shared" si="207"/>
        <v/>
      </c>
      <c r="BW261" s="28"/>
      <c r="BX261" s="91"/>
    </row>
    <row r="262" spans="1:76" s="55" customFormat="1" x14ac:dyDescent="0.25">
      <c r="A262" s="195">
        <v>4</v>
      </c>
      <c r="B262" s="216" t="str">
        <f t="shared" si="194"/>
        <v xml:space="preserve">: </v>
      </c>
      <c r="C262" s="221"/>
      <c r="D262" s="221"/>
      <c r="E262" s="221"/>
      <c r="F262" s="221"/>
      <c r="G262" s="240"/>
      <c r="H262" s="221"/>
      <c r="I262" s="240"/>
      <c r="J262" s="317"/>
      <c r="K262" s="226"/>
      <c r="L262" s="241"/>
      <c r="M262" s="225" t="str">
        <f t="shared" si="195"/>
        <v>kg of protein/kg of protein/year</v>
      </c>
      <c r="N262" s="227"/>
      <c r="O262" s="241"/>
      <c r="P262" s="122"/>
      <c r="Q262" s="228"/>
      <c r="R262" s="231" t="str">
        <f t="shared" si="208"/>
        <v/>
      </c>
      <c r="S262" s="230" t="str">
        <f t="shared" si="196"/>
        <v/>
      </c>
      <c r="T262" s="231" t="str">
        <f>IF(OR(Q262="Y",IFERROR(R262&gt;R279+R283*$AA$35,0),IFERROR(R262&lt;R279-R283*$AA$35,0)),"",IFERROR(R262*N262,""))</f>
        <v/>
      </c>
      <c r="U262" s="232" t="str">
        <f t="shared" si="197"/>
        <v>kg of protein/kg of protein/year</v>
      </c>
      <c r="V262" s="28"/>
      <c r="W262" s="28"/>
      <c r="Y262" s="91"/>
      <c r="AO262" s="91"/>
      <c r="AP262" s="28"/>
      <c r="AQ262" s="28"/>
      <c r="AR262" s="237"/>
      <c r="AS262" s="28"/>
      <c r="AT262" s="304" t="str">
        <f t="shared" si="209"/>
        <v/>
      </c>
      <c r="AU262" s="304" t="str">
        <f t="shared" si="209"/>
        <v/>
      </c>
      <c r="AV262" s="28"/>
      <c r="AW262" s="304" t="str">
        <f t="shared" si="199"/>
        <v/>
      </c>
      <c r="AX262" s="304" t="str">
        <f t="shared" si="199"/>
        <v/>
      </c>
      <c r="AY262" s="28"/>
      <c r="AZ262" s="304" t="str">
        <f t="shared" si="200"/>
        <v/>
      </c>
      <c r="BA262" s="304" t="str">
        <f t="shared" si="200"/>
        <v/>
      </c>
      <c r="BB262" s="28"/>
      <c r="BC262" s="304" t="str">
        <f t="shared" si="201"/>
        <v/>
      </c>
      <c r="BD262" s="304" t="str">
        <f t="shared" si="201"/>
        <v/>
      </c>
      <c r="BE262" s="28"/>
      <c r="BF262" s="304" t="str">
        <f t="shared" si="202"/>
        <v/>
      </c>
      <c r="BG262" s="304" t="str">
        <f t="shared" si="202"/>
        <v/>
      </c>
      <c r="BH262" s="28"/>
      <c r="BI262" s="304" t="str">
        <f t="shared" si="203"/>
        <v/>
      </c>
      <c r="BJ262" s="304" t="str">
        <f t="shared" si="203"/>
        <v/>
      </c>
      <c r="BK262" s="28"/>
      <c r="BL262" s="304" t="str">
        <f t="shared" si="204"/>
        <v/>
      </c>
      <c r="BM262" s="304" t="str">
        <f t="shared" si="204"/>
        <v/>
      </c>
      <c r="BN262" s="28"/>
      <c r="BO262" s="304" t="str">
        <f t="shared" si="205"/>
        <v/>
      </c>
      <c r="BP262" s="304" t="str">
        <f t="shared" si="205"/>
        <v/>
      </c>
      <c r="BQ262" s="28"/>
      <c r="BR262" s="304" t="str">
        <f t="shared" si="206"/>
        <v/>
      </c>
      <c r="BS262" s="304" t="str">
        <f t="shared" si="206"/>
        <v/>
      </c>
      <c r="BT262" s="28"/>
      <c r="BU262" s="304" t="str">
        <f t="shared" si="207"/>
        <v/>
      </c>
      <c r="BV262" s="304" t="str">
        <f t="shared" si="207"/>
        <v/>
      </c>
      <c r="BW262" s="28"/>
      <c r="BX262" s="91"/>
    </row>
    <row r="263" spans="1:76" s="55" customFormat="1" x14ac:dyDescent="0.25">
      <c r="A263" s="195">
        <v>5</v>
      </c>
      <c r="B263" s="216" t="str">
        <f t="shared" si="194"/>
        <v xml:space="preserve">: </v>
      </c>
      <c r="C263" s="221"/>
      <c r="D263" s="221"/>
      <c r="E263" s="221"/>
      <c r="F263" s="221"/>
      <c r="G263" s="240"/>
      <c r="H263" s="221"/>
      <c r="I263" s="240"/>
      <c r="J263" s="317"/>
      <c r="K263" s="226"/>
      <c r="L263" s="241"/>
      <c r="M263" s="225" t="str">
        <f t="shared" si="195"/>
        <v>kg of protein/kg of protein/year</v>
      </c>
      <c r="N263" s="227"/>
      <c r="O263" s="241"/>
      <c r="P263" s="122"/>
      <c r="Q263" s="228"/>
      <c r="R263" s="231" t="str">
        <f t="shared" si="208"/>
        <v/>
      </c>
      <c r="S263" s="230" t="str">
        <f t="shared" si="196"/>
        <v/>
      </c>
      <c r="T263" s="231" t="str">
        <f>IF(OR(Q263="Y",IFERROR(R263&gt;R279+R283*$AA$35,0),IFERROR(R263&lt;R279-R283*$AA$35,0)),"",IFERROR(R263*N263,""))</f>
        <v/>
      </c>
      <c r="U263" s="232" t="str">
        <f t="shared" si="197"/>
        <v>kg of protein/kg of protein/year</v>
      </c>
      <c r="V263" s="28"/>
      <c r="W263" s="28"/>
      <c r="Y263" s="91"/>
      <c r="AO263" s="91"/>
      <c r="AP263" s="28"/>
      <c r="AQ263" s="28"/>
      <c r="AR263" s="237"/>
      <c r="AS263" s="28"/>
      <c r="AT263" s="304" t="str">
        <f t="shared" si="209"/>
        <v/>
      </c>
      <c r="AU263" s="304" t="str">
        <f t="shared" si="209"/>
        <v/>
      </c>
      <c r="AV263" s="28"/>
      <c r="AW263" s="304" t="str">
        <f t="shared" si="199"/>
        <v/>
      </c>
      <c r="AX263" s="304" t="str">
        <f t="shared" si="199"/>
        <v/>
      </c>
      <c r="AY263" s="28"/>
      <c r="AZ263" s="304" t="str">
        <f t="shared" si="200"/>
        <v/>
      </c>
      <c r="BA263" s="304" t="str">
        <f t="shared" si="200"/>
        <v/>
      </c>
      <c r="BB263" s="28"/>
      <c r="BC263" s="304" t="str">
        <f t="shared" si="201"/>
        <v/>
      </c>
      <c r="BD263" s="304" t="str">
        <f t="shared" si="201"/>
        <v/>
      </c>
      <c r="BE263" s="28"/>
      <c r="BF263" s="304" t="str">
        <f t="shared" si="202"/>
        <v/>
      </c>
      <c r="BG263" s="304" t="str">
        <f t="shared" si="202"/>
        <v/>
      </c>
      <c r="BH263" s="28"/>
      <c r="BI263" s="304" t="str">
        <f t="shared" si="203"/>
        <v/>
      </c>
      <c r="BJ263" s="304" t="str">
        <f t="shared" si="203"/>
        <v/>
      </c>
      <c r="BK263" s="28"/>
      <c r="BL263" s="304" t="str">
        <f t="shared" si="204"/>
        <v/>
      </c>
      <c r="BM263" s="304" t="str">
        <f t="shared" si="204"/>
        <v/>
      </c>
      <c r="BN263" s="28"/>
      <c r="BO263" s="304" t="str">
        <f t="shared" si="205"/>
        <v/>
      </c>
      <c r="BP263" s="304" t="str">
        <f t="shared" si="205"/>
        <v/>
      </c>
      <c r="BQ263" s="28"/>
      <c r="BR263" s="304" t="str">
        <f t="shared" si="206"/>
        <v/>
      </c>
      <c r="BS263" s="304" t="str">
        <f t="shared" si="206"/>
        <v/>
      </c>
      <c r="BT263" s="28"/>
      <c r="BU263" s="304" t="str">
        <f t="shared" si="207"/>
        <v/>
      </c>
      <c r="BV263" s="304" t="str">
        <f t="shared" si="207"/>
        <v/>
      </c>
      <c r="BW263" s="28"/>
      <c r="BX263" s="91"/>
    </row>
    <row r="264" spans="1:76" s="55" customFormat="1" x14ac:dyDescent="0.25">
      <c r="A264" s="195">
        <v>6</v>
      </c>
      <c r="B264" s="216" t="str">
        <f t="shared" si="194"/>
        <v xml:space="preserve">: </v>
      </c>
      <c r="C264" s="221"/>
      <c r="D264" s="221"/>
      <c r="E264" s="221"/>
      <c r="F264" s="221"/>
      <c r="G264" s="240"/>
      <c r="H264" s="221"/>
      <c r="I264" s="240"/>
      <c r="J264" s="317"/>
      <c r="K264" s="226"/>
      <c r="L264" s="241"/>
      <c r="M264" s="225" t="str">
        <f t="shared" si="195"/>
        <v>kg of protein/kg of protein/year</v>
      </c>
      <c r="N264" s="227"/>
      <c r="O264" s="241"/>
      <c r="P264" s="122"/>
      <c r="Q264" s="228"/>
      <c r="R264" s="231" t="str">
        <f t="shared" si="208"/>
        <v/>
      </c>
      <c r="S264" s="230" t="str">
        <f t="shared" si="196"/>
        <v/>
      </c>
      <c r="T264" s="231" t="str">
        <f>IF(OR(Q264="Y",IFERROR(R264&gt;R279+R283*$AA$35,0),IFERROR(R264&lt;R279-R283*$AA$35,0)),"",IFERROR(R264*N264,""))</f>
        <v/>
      </c>
      <c r="U264" s="232" t="str">
        <f t="shared" si="197"/>
        <v>kg of protein/kg of protein/year</v>
      </c>
      <c r="V264" s="28"/>
      <c r="W264" s="28"/>
      <c r="Y264" s="91"/>
      <c r="AO264" s="91"/>
      <c r="AP264" s="28"/>
      <c r="AQ264" s="28"/>
      <c r="AR264" s="237"/>
      <c r="AS264" s="28"/>
      <c r="AT264" s="304" t="str">
        <f t="shared" si="209"/>
        <v/>
      </c>
      <c r="AU264" s="304" t="str">
        <f t="shared" si="209"/>
        <v/>
      </c>
      <c r="AV264" s="28"/>
      <c r="AW264" s="304" t="str">
        <f t="shared" si="199"/>
        <v/>
      </c>
      <c r="AX264" s="304" t="str">
        <f t="shared" si="199"/>
        <v/>
      </c>
      <c r="AY264" s="28"/>
      <c r="AZ264" s="304" t="str">
        <f t="shared" si="200"/>
        <v/>
      </c>
      <c r="BA264" s="304" t="str">
        <f t="shared" si="200"/>
        <v/>
      </c>
      <c r="BB264" s="28"/>
      <c r="BC264" s="304" t="str">
        <f t="shared" si="201"/>
        <v/>
      </c>
      <c r="BD264" s="304" t="str">
        <f t="shared" si="201"/>
        <v/>
      </c>
      <c r="BE264" s="28"/>
      <c r="BF264" s="304" t="str">
        <f t="shared" si="202"/>
        <v/>
      </c>
      <c r="BG264" s="304" t="str">
        <f t="shared" si="202"/>
        <v/>
      </c>
      <c r="BH264" s="28"/>
      <c r="BI264" s="304" t="str">
        <f t="shared" si="203"/>
        <v/>
      </c>
      <c r="BJ264" s="304" t="str">
        <f t="shared" si="203"/>
        <v/>
      </c>
      <c r="BK264" s="28"/>
      <c r="BL264" s="304" t="str">
        <f t="shared" si="204"/>
        <v/>
      </c>
      <c r="BM264" s="304" t="str">
        <f t="shared" si="204"/>
        <v/>
      </c>
      <c r="BN264" s="28"/>
      <c r="BO264" s="304" t="str">
        <f t="shared" si="205"/>
        <v/>
      </c>
      <c r="BP264" s="304" t="str">
        <f t="shared" si="205"/>
        <v/>
      </c>
      <c r="BQ264" s="28"/>
      <c r="BR264" s="304" t="str">
        <f t="shared" si="206"/>
        <v/>
      </c>
      <c r="BS264" s="304" t="str">
        <f t="shared" si="206"/>
        <v/>
      </c>
      <c r="BT264" s="28"/>
      <c r="BU264" s="304" t="str">
        <f t="shared" si="207"/>
        <v/>
      </c>
      <c r="BV264" s="304" t="str">
        <f t="shared" si="207"/>
        <v/>
      </c>
      <c r="BW264" s="28"/>
      <c r="BX264" s="91"/>
    </row>
    <row r="265" spans="1:76" s="55" customFormat="1" x14ac:dyDescent="0.25">
      <c r="A265" s="195">
        <v>7</v>
      </c>
      <c r="B265" s="216" t="str">
        <f t="shared" si="194"/>
        <v xml:space="preserve">: </v>
      </c>
      <c r="C265" s="221"/>
      <c r="D265" s="221"/>
      <c r="E265" s="221"/>
      <c r="F265" s="221"/>
      <c r="G265" s="240"/>
      <c r="H265" s="221"/>
      <c r="I265" s="240"/>
      <c r="J265" s="317"/>
      <c r="K265" s="226"/>
      <c r="L265" s="241"/>
      <c r="M265" s="225" t="str">
        <f t="shared" si="195"/>
        <v>kg of protein/kg of protein/year</v>
      </c>
      <c r="N265" s="227"/>
      <c r="O265" s="241"/>
      <c r="P265" s="122"/>
      <c r="Q265" s="228"/>
      <c r="R265" s="231" t="str">
        <f t="shared" si="208"/>
        <v/>
      </c>
      <c r="S265" s="230" t="str">
        <f t="shared" si="196"/>
        <v/>
      </c>
      <c r="T265" s="231" t="str">
        <f>IF(OR(Q265="Y",IFERROR(R265&gt;R279+R283*$AA$35,0),IFERROR(R265&lt;R279-R283*$AA$35,0)),"",IFERROR(R265*N265,""))</f>
        <v/>
      </c>
      <c r="U265" s="232" t="str">
        <f t="shared" si="197"/>
        <v>kg of protein/kg of protein/year</v>
      </c>
      <c r="V265" s="28"/>
      <c r="W265" s="28"/>
      <c r="Y265" s="91"/>
      <c r="AO265" s="91"/>
      <c r="AP265" s="28"/>
      <c r="AQ265" s="28"/>
      <c r="AR265" s="237"/>
      <c r="AS265" s="28"/>
      <c r="AT265" s="304" t="str">
        <f t="shared" si="209"/>
        <v/>
      </c>
      <c r="AU265" s="304" t="str">
        <f t="shared" si="209"/>
        <v/>
      </c>
      <c r="AV265" s="28"/>
      <c r="AW265" s="304" t="str">
        <f t="shared" si="199"/>
        <v/>
      </c>
      <c r="AX265" s="304" t="str">
        <f t="shared" si="199"/>
        <v/>
      </c>
      <c r="AY265" s="28"/>
      <c r="AZ265" s="304" t="str">
        <f t="shared" si="200"/>
        <v/>
      </c>
      <c r="BA265" s="304" t="str">
        <f t="shared" si="200"/>
        <v/>
      </c>
      <c r="BB265" s="28"/>
      <c r="BC265" s="304" t="str">
        <f t="shared" si="201"/>
        <v/>
      </c>
      <c r="BD265" s="304" t="str">
        <f t="shared" si="201"/>
        <v/>
      </c>
      <c r="BE265" s="28"/>
      <c r="BF265" s="304" t="str">
        <f t="shared" si="202"/>
        <v/>
      </c>
      <c r="BG265" s="304" t="str">
        <f t="shared" si="202"/>
        <v/>
      </c>
      <c r="BH265" s="28"/>
      <c r="BI265" s="304" t="str">
        <f t="shared" si="203"/>
        <v/>
      </c>
      <c r="BJ265" s="304" t="str">
        <f t="shared" si="203"/>
        <v/>
      </c>
      <c r="BK265" s="28"/>
      <c r="BL265" s="304" t="str">
        <f t="shared" si="204"/>
        <v/>
      </c>
      <c r="BM265" s="304" t="str">
        <f t="shared" si="204"/>
        <v/>
      </c>
      <c r="BN265" s="28"/>
      <c r="BO265" s="304" t="str">
        <f t="shared" si="205"/>
        <v/>
      </c>
      <c r="BP265" s="304" t="str">
        <f t="shared" si="205"/>
        <v/>
      </c>
      <c r="BQ265" s="28"/>
      <c r="BR265" s="304" t="str">
        <f t="shared" si="206"/>
        <v/>
      </c>
      <c r="BS265" s="304" t="str">
        <f t="shared" si="206"/>
        <v/>
      </c>
      <c r="BT265" s="28"/>
      <c r="BU265" s="304" t="str">
        <f t="shared" si="207"/>
        <v/>
      </c>
      <c r="BV265" s="304" t="str">
        <f t="shared" si="207"/>
        <v/>
      </c>
      <c r="BW265" s="28"/>
      <c r="BX265" s="91"/>
    </row>
    <row r="266" spans="1:76" s="55" customFormat="1" x14ac:dyDescent="0.25">
      <c r="A266" s="195">
        <v>8</v>
      </c>
      <c r="B266" s="216" t="str">
        <f t="shared" si="194"/>
        <v xml:space="preserve">: </v>
      </c>
      <c r="C266" s="221"/>
      <c r="D266" s="221"/>
      <c r="E266" s="221"/>
      <c r="F266" s="221"/>
      <c r="G266" s="240"/>
      <c r="H266" s="221"/>
      <c r="I266" s="240"/>
      <c r="J266" s="317"/>
      <c r="K266" s="226"/>
      <c r="L266" s="241"/>
      <c r="M266" s="225" t="str">
        <f t="shared" si="195"/>
        <v>kg of protein/kg of protein/year</v>
      </c>
      <c r="N266" s="227"/>
      <c r="O266" s="241"/>
      <c r="P266" s="122"/>
      <c r="Q266" s="228"/>
      <c r="R266" s="231" t="str">
        <f t="shared" si="208"/>
        <v/>
      </c>
      <c r="S266" s="230" t="str">
        <f t="shared" si="196"/>
        <v/>
      </c>
      <c r="T266" s="231" t="str">
        <f>IF(OR(Q266="Y",IFERROR(R266&gt;R279+R283*$AA$35,0),IFERROR(R266&lt;R279-R283*$AA$35,0)),"",IFERROR(R266*N266,""))</f>
        <v/>
      </c>
      <c r="U266" s="232" t="str">
        <f t="shared" si="197"/>
        <v>kg of protein/kg of protein/year</v>
      </c>
      <c r="V266" s="28"/>
      <c r="W266" s="28"/>
      <c r="Y266" s="91"/>
      <c r="AO266" s="91"/>
      <c r="AP266" s="28"/>
      <c r="AQ266" s="28"/>
      <c r="AR266" s="237"/>
      <c r="AS266" s="28"/>
      <c r="AT266" s="304" t="str">
        <f t="shared" si="209"/>
        <v/>
      </c>
      <c r="AU266" s="304" t="str">
        <f t="shared" si="209"/>
        <v/>
      </c>
      <c r="AV266" s="28"/>
      <c r="AW266" s="304" t="str">
        <f t="shared" si="199"/>
        <v/>
      </c>
      <c r="AX266" s="304" t="str">
        <f t="shared" si="199"/>
        <v/>
      </c>
      <c r="AY266" s="28"/>
      <c r="AZ266" s="304" t="str">
        <f t="shared" si="200"/>
        <v/>
      </c>
      <c r="BA266" s="304" t="str">
        <f t="shared" si="200"/>
        <v/>
      </c>
      <c r="BB266" s="28"/>
      <c r="BC266" s="304" t="str">
        <f t="shared" si="201"/>
        <v/>
      </c>
      <c r="BD266" s="304" t="str">
        <f t="shared" si="201"/>
        <v/>
      </c>
      <c r="BE266" s="28"/>
      <c r="BF266" s="304" t="str">
        <f t="shared" si="202"/>
        <v/>
      </c>
      <c r="BG266" s="304" t="str">
        <f t="shared" si="202"/>
        <v/>
      </c>
      <c r="BH266" s="28"/>
      <c r="BI266" s="304" t="str">
        <f t="shared" si="203"/>
        <v/>
      </c>
      <c r="BJ266" s="304" t="str">
        <f t="shared" si="203"/>
        <v/>
      </c>
      <c r="BK266" s="28"/>
      <c r="BL266" s="304" t="str">
        <f t="shared" si="204"/>
        <v/>
      </c>
      <c r="BM266" s="304" t="str">
        <f t="shared" si="204"/>
        <v/>
      </c>
      <c r="BN266" s="28"/>
      <c r="BO266" s="304" t="str">
        <f t="shared" si="205"/>
        <v/>
      </c>
      <c r="BP266" s="304" t="str">
        <f t="shared" si="205"/>
        <v/>
      </c>
      <c r="BQ266" s="28"/>
      <c r="BR266" s="304" t="str">
        <f t="shared" si="206"/>
        <v/>
      </c>
      <c r="BS266" s="304" t="str">
        <f t="shared" si="206"/>
        <v/>
      </c>
      <c r="BT266" s="28"/>
      <c r="BU266" s="304" t="str">
        <f t="shared" si="207"/>
        <v/>
      </c>
      <c r="BV266" s="304" t="str">
        <f t="shared" si="207"/>
        <v/>
      </c>
      <c r="BW266" s="28"/>
      <c r="BX266" s="91"/>
    </row>
    <row r="267" spans="1:76" s="55" customFormat="1" x14ac:dyDescent="0.25">
      <c r="A267" s="195">
        <v>9</v>
      </c>
      <c r="B267" s="216" t="str">
        <f t="shared" si="194"/>
        <v xml:space="preserve">: </v>
      </c>
      <c r="C267" s="221"/>
      <c r="D267" s="221"/>
      <c r="E267" s="221"/>
      <c r="F267" s="221"/>
      <c r="G267" s="240"/>
      <c r="H267" s="221"/>
      <c r="I267" s="240"/>
      <c r="J267" s="317"/>
      <c r="K267" s="226"/>
      <c r="L267" s="241"/>
      <c r="M267" s="225" t="str">
        <f t="shared" si="195"/>
        <v>kg of protein/kg of protein/year</v>
      </c>
      <c r="N267" s="227"/>
      <c r="O267" s="241"/>
      <c r="P267" s="122"/>
      <c r="Q267" s="228"/>
      <c r="R267" s="231" t="str">
        <f t="shared" si="208"/>
        <v/>
      </c>
      <c r="S267" s="230" t="str">
        <f t="shared" si="196"/>
        <v/>
      </c>
      <c r="T267" s="231" t="str">
        <f>IF(OR(Q267="Y",IFERROR(R267&gt;R279+R283*$AA$35,0),IFERROR(R267&lt;R279-R283*$AA$35,0)),"",IFERROR(R267*N267,""))</f>
        <v/>
      </c>
      <c r="U267" s="232" t="str">
        <f t="shared" si="197"/>
        <v>kg of protein/kg of protein/year</v>
      </c>
      <c r="V267" s="28"/>
      <c r="W267" s="28"/>
      <c r="Y267" s="91"/>
      <c r="AO267" s="91"/>
      <c r="AP267" s="28"/>
      <c r="AQ267" s="28"/>
      <c r="AR267" s="237"/>
      <c r="AS267" s="28"/>
      <c r="AT267" s="304" t="str">
        <f t="shared" si="209"/>
        <v/>
      </c>
      <c r="AU267" s="304" t="str">
        <f t="shared" si="209"/>
        <v/>
      </c>
      <c r="AV267" s="28"/>
      <c r="AW267" s="304" t="str">
        <f t="shared" si="199"/>
        <v/>
      </c>
      <c r="AX267" s="304" t="str">
        <f t="shared" si="199"/>
        <v/>
      </c>
      <c r="AY267" s="28"/>
      <c r="AZ267" s="304" t="str">
        <f t="shared" si="200"/>
        <v/>
      </c>
      <c r="BA267" s="304" t="str">
        <f t="shared" si="200"/>
        <v/>
      </c>
      <c r="BB267" s="28"/>
      <c r="BC267" s="304" t="str">
        <f t="shared" si="201"/>
        <v/>
      </c>
      <c r="BD267" s="304" t="str">
        <f t="shared" si="201"/>
        <v/>
      </c>
      <c r="BE267" s="28"/>
      <c r="BF267" s="304" t="str">
        <f t="shared" si="202"/>
        <v/>
      </c>
      <c r="BG267" s="304" t="str">
        <f t="shared" si="202"/>
        <v/>
      </c>
      <c r="BH267" s="28"/>
      <c r="BI267" s="304" t="str">
        <f t="shared" si="203"/>
        <v/>
      </c>
      <c r="BJ267" s="304" t="str">
        <f t="shared" si="203"/>
        <v/>
      </c>
      <c r="BK267" s="28"/>
      <c r="BL267" s="304" t="str">
        <f t="shared" si="204"/>
        <v/>
      </c>
      <c r="BM267" s="304" t="str">
        <f t="shared" si="204"/>
        <v/>
      </c>
      <c r="BN267" s="28"/>
      <c r="BO267" s="304" t="str">
        <f t="shared" si="205"/>
        <v/>
      </c>
      <c r="BP267" s="304" t="str">
        <f t="shared" si="205"/>
        <v/>
      </c>
      <c r="BQ267" s="28"/>
      <c r="BR267" s="304" t="str">
        <f t="shared" si="206"/>
        <v/>
      </c>
      <c r="BS267" s="304" t="str">
        <f t="shared" si="206"/>
        <v/>
      </c>
      <c r="BT267" s="28"/>
      <c r="BU267" s="304" t="str">
        <f t="shared" si="207"/>
        <v/>
      </c>
      <c r="BV267" s="304" t="str">
        <f t="shared" si="207"/>
        <v/>
      </c>
      <c r="BW267" s="28"/>
      <c r="BX267" s="91"/>
    </row>
    <row r="268" spans="1:76" s="55" customFormat="1" x14ac:dyDescent="0.25">
      <c r="A268" s="195">
        <v>10</v>
      </c>
      <c r="B268" s="216" t="str">
        <f t="shared" si="194"/>
        <v xml:space="preserve">: </v>
      </c>
      <c r="C268" s="221"/>
      <c r="D268" s="221"/>
      <c r="E268" s="221"/>
      <c r="F268" s="221"/>
      <c r="G268" s="240"/>
      <c r="H268" s="221"/>
      <c r="I268" s="240"/>
      <c r="J268" s="317"/>
      <c r="K268" s="226"/>
      <c r="L268" s="241"/>
      <c r="M268" s="225" t="str">
        <f t="shared" si="195"/>
        <v>kg of protein/kg of protein/year</v>
      </c>
      <c r="N268" s="227"/>
      <c r="O268" s="241"/>
      <c r="P268" s="122"/>
      <c r="Q268" s="228"/>
      <c r="R268" s="231" t="str">
        <f t="shared" si="208"/>
        <v/>
      </c>
      <c r="S268" s="230" t="str">
        <f t="shared" si="196"/>
        <v/>
      </c>
      <c r="T268" s="231" t="str">
        <f>IF(OR(Q268="Y",IFERROR(R268&gt;R279+R283*$AA$35,0),IFERROR(R268&lt;R279-R283*$AA$35,0)),"",IFERROR(R268*N268,""))</f>
        <v/>
      </c>
      <c r="U268" s="232" t="str">
        <f t="shared" si="197"/>
        <v>kg of protein/kg of protein/year</v>
      </c>
      <c r="V268" s="28"/>
      <c r="W268" s="28"/>
      <c r="Y268" s="91"/>
      <c r="AO268" s="91"/>
      <c r="AP268" s="28"/>
      <c r="AQ268" s="28"/>
      <c r="AR268" s="237"/>
      <c r="AS268" s="28"/>
      <c r="AT268" s="304" t="str">
        <f t="shared" si="209"/>
        <v/>
      </c>
      <c r="AU268" s="304" t="str">
        <f t="shared" si="209"/>
        <v/>
      </c>
      <c r="AV268" s="28"/>
      <c r="AW268" s="304" t="str">
        <f t="shared" si="199"/>
        <v/>
      </c>
      <c r="AX268" s="304" t="str">
        <f t="shared" si="199"/>
        <v/>
      </c>
      <c r="AY268" s="28"/>
      <c r="AZ268" s="304" t="str">
        <f t="shared" si="200"/>
        <v/>
      </c>
      <c r="BA268" s="304" t="str">
        <f t="shared" si="200"/>
        <v/>
      </c>
      <c r="BB268" s="28"/>
      <c r="BC268" s="304" t="str">
        <f t="shared" si="201"/>
        <v/>
      </c>
      <c r="BD268" s="304" t="str">
        <f t="shared" si="201"/>
        <v/>
      </c>
      <c r="BE268" s="28"/>
      <c r="BF268" s="304" t="str">
        <f t="shared" si="202"/>
        <v/>
      </c>
      <c r="BG268" s="304" t="str">
        <f t="shared" si="202"/>
        <v/>
      </c>
      <c r="BH268" s="28"/>
      <c r="BI268" s="304" t="str">
        <f t="shared" si="203"/>
        <v/>
      </c>
      <c r="BJ268" s="304" t="str">
        <f t="shared" si="203"/>
        <v/>
      </c>
      <c r="BK268" s="28"/>
      <c r="BL268" s="304" t="str">
        <f t="shared" si="204"/>
        <v/>
      </c>
      <c r="BM268" s="304" t="str">
        <f t="shared" si="204"/>
        <v/>
      </c>
      <c r="BN268" s="28"/>
      <c r="BO268" s="304" t="str">
        <f t="shared" si="205"/>
        <v/>
      </c>
      <c r="BP268" s="304" t="str">
        <f t="shared" si="205"/>
        <v/>
      </c>
      <c r="BQ268" s="28"/>
      <c r="BR268" s="304" t="str">
        <f t="shared" si="206"/>
        <v/>
      </c>
      <c r="BS268" s="304" t="str">
        <f t="shared" si="206"/>
        <v/>
      </c>
      <c r="BT268" s="28"/>
      <c r="BU268" s="304" t="str">
        <f t="shared" si="207"/>
        <v/>
      </c>
      <c r="BV268" s="304" t="str">
        <f t="shared" si="207"/>
        <v/>
      </c>
      <c r="BW268" s="28"/>
      <c r="BX268" s="91"/>
    </row>
    <row r="269" spans="1:76" s="55" customFormat="1" x14ac:dyDescent="0.25">
      <c r="A269" s="195">
        <v>11</v>
      </c>
      <c r="B269" s="216" t="str">
        <f t="shared" si="194"/>
        <v xml:space="preserve">: </v>
      </c>
      <c r="C269" s="221"/>
      <c r="D269" s="221"/>
      <c r="E269" s="221"/>
      <c r="F269" s="221"/>
      <c r="G269" s="240"/>
      <c r="H269" s="221"/>
      <c r="I269" s="240"/>
      <c r="J269" s="317"/>
      <c r="K269" s="226"/>
      <c r="L269" s="241"/>
      <c r="M269" s="225" t="str">
        <f t="shared" si="195"/>
        <v>kg of protein/kg of protein/year</v>
      </c>
      <c r="N269" s="227"/>
      <c r="O269" s="241"/>
      <c r="P269" s="122"/>
      <c r="Q269" s="228"/>
      <c r="R269" s="231" t="str">
        <f t="shared" si="208"/>
        <v/>
      </c>
      <c r="S269" s="230" t="str">
        <f t="shared" si="196"/>
        <v/>
      </c>
      <c r="T269" s="231" t="str">
        <f>IF(OR(Q269="Y",IFERROR(R269&gt;R279+R283*$AA$35,0),IFERROR(R269&lt;R279-R283*$AA$35,0)),"",IFERROR(R269*N269,""))</f>
        <v/>
      </c>
      <c r="U269" s="232" t="str">
        <f t="shared" si="197"/>
        <v>kg of protein/kg of protein/year</v>
      </c>
      <c r="V269" s="28"/>
      <c r="W269" s="28"/>
      <c r="Y269" s="91"/>
      <c r="AO269" s="91"/>
      <c r="AP269" s="28"/>
      <c r="AQ269" s="28"/>
      <c r="AR269" s="237"/>
      <c r="AS269" s="28"/>
      <c r="AT269" s="304" t="str">
        <f t="shared" si="209"/>
        <v/>
      </c>
      <c r="AU269" s="304" t="str">
        <f t="shared" si="209"/>
        <v/>
      </c>
      <c r="AV269" s="28"/>
      <c r="AW269" s="304" t="str">
        <f t="shared" si="199"/>
        <v/>
      </c>
      <c r="AX269" s="304" t="str">
        <f t="shared" si="199"/>
        <v/>
      </c>
      <c r="AY269" s="28"/>
      <c r="AZ269" s="304" t="str">
        <f t="shared" si="200"/>
        <v/>
      </c>
      <c r="BA269" s="304" t="str">
        <f t="shared" si="200"/>
        <v/>
      </c>
      <c r="BB269" s="28"/>
      <c r="BC269" s="304" t="str">
        <f t="shared" si="201"/>
        <v/>
      </c>
      <c r="BD269" s="304" t="str">
        <f t="shared" si="201"/>
        <v/>
      </c>
      <c r="BE269" s="28"/>
      <c r="BF269" s="304" t="str">
        <f t="shared" si="202"/>
        <v/>
      </c>
      <c r="BG269" s="304" t="str">
        <f t="shared" si="202"/>
        <v/>
      </c>
      <c r="BH269" s="28"/>
      <c r="BI269" s="304" t="str">
        <f t="shared" si="203"/>
        <v/>
      </c>
      <c r="BJ269" s="304" t="str">
        <f t="shared" si="203"/>
        <v/>
      </c>
      <c r="BK269" s="28"/>
      <c r="BL269" s="304" t="str">
        <f t="shared" si="204"/>
        <v/>
      </c>
      <c r="BM269" s="304" t="str">
        <f t="shared" si="204"/>
        <v/>
      </c>
      <c r="BN269" s="28"/>
      <c r="BO269" s="304" t="str">
        <f t="shared" si="205"/>
        <v/>
      </c>
      <c r="BP269" s="304" t="str">
        <f t="shared" si="205"/>
        <v/>
      </c>
      <c r="BQ269" s="28"/>
      <c r="BR269" s="304" t="str">
        <f t="shared" si="206"/>
        <v/>
      </c>
      <c r="BS269" s="304" t="str">
        <f t="shared" si="206"/>
        <v/>
      </c>
      <c r="BT269" s="28"/>
      <c r="BU269" s="304" t="str">
        <f t="shared" si="207"/>
        <v/>
      </c>
      <c r="BV269" s="304" t="str">
        <f t="shared" si="207"/>
        <v/>
      </c>
      <c r="BW269" s="28"/>
      <c r="BX269" s="91"/>
    </row>
    <row r="270" spans="1:76" s="55" customFormat="1" x14ac:dyDescent="0.25">
      <c r="A270" s="195">
        <v>12</v>
      </c>
      <c r="B270" s="216" t="str">
        <f t="shared" si="194"/>
        <v xml:space="preserve">: </v>
      </c>
      <c r="C270" s="221"/>
      <c r="D270" s="221"/>
      <c r="E270" s="221"/>
      <c r="F270" s="221"/>
      <c r="G270" s="240"/>
      <c r="H270" s="221"/>
      <c r="I270" s="240"/>
      <c r="J270" s="317"/>
      <c r="K270" s="226"/>
      <c r="L270" s="241"/>
      <c r="M270" s="225" t="str">
        <f t="shared" si="195"/>
        <v>kg of protein/kg of protein/year</v>
      </c>
      <c r="N270" s="227"/>
      <c r="O270" s="241"/>
      <c r="P270" s="122"/>
      <c r="Q270" s="228"/>
      <c r="R270" s="231" t="str">
        <f t="shared" si="208"/>
        <v/>
      </c>
      <c r="S270" s="230" t="str">
        <f t="shared" si="196"/>
        <v/>
      </c>
      <c r="T270" s="231" t="str">
        <f>IF(OR(Q270="Y",IFERROR(R270&gt;R279+R283*$AA$35,0),IFERROR(R270&lt;R279-R283*$AA$35,0)),"",IFERROR(R270*N270,""))</f>
        <v/>
      </c>
      <c r="U270" s="232" t="str">
        <f t="shared" si="197"/>
        <v>kg of protein/kg of protein/year</v>
      </c>
      <c r="V270" s="28"/>
      <c r="W270" s="28"/>
      <c r="Y270" s="91"/>
      <c r="AO270" s="91"/>
      <c r="AP270" s="28"/>
      <c r="AQ270" s="28"/>
      <c r="AR270" s="237"/>
      <c r="AS270" s="28"/>
      <c r="AT270" s="304" t="str">
        <f t="shared" si="209"/>
        <v/>
      </c>
      <c r="AU270" s="304" t="str">
        <f t="shared" si="209"/>
        <v/>
      </c>
      <c r="AV270" s="28"/>
      <c r="AW270" s="304" t="str">
        <f t="shared" si="199"/>
        <v/>
      </c>
      <c r="AX270" s="304" t="str">
        <f t="shared" si="199"/>
        <v/>
      </c>
      <c r="AY270" s="28"/>
      <c r="AZ270" s="304" t="str">
        <f t="shared" si="200"/>
        <v/>
      </c>
      <c r="BA270" s="304" t="str">
        <f t="shared" si="200"/>
        <v/>
      </c>
      <c r="BB270" s="28"/>
      <c r="BC270" s="304" t="str">
        <f t="shared" si="201"/>
        <v/>
      </c>
      <c r="BD270" s="304" t="str">
        <f t="shared" si="201"/>
        <v/>
      </c>
      <c r="BE270" s="28"/>
      <c r="BF270" s="304" t="str">
        <f t="shared" si="202"/>
        <v/>
      </c>
      <c r="BG270" s="304" t="str">
        <f t="shared" si="202"/>
        <v/>
      </c>
      <c r="BH270" s="28"/>
      <c r="BI270" s="304" t="str">
        <f t="shared" si="203"/>
        <v/>
      </c>
      <c r="BJ270" s="304" t="str">
        <f t="shared" si="203"/>
        <v/>
      </c>
      <c r="BK270" s="28"/>
      <c r="BL270" s="304" t="str">
        <f t="shared" si="204"/>
        <v/>
      </c>
      <c r="BM270" s="304" t="str">
        <f t="shared" si="204"/>
        <v/>
      </c>
      <c r="BN270" s="28"/>
      <c r="BO270" s="304" t="str">
        <f t="shared" si="205"/>
        <v/>
      </c>
      <c r="BP270" s="304" t="str">
        <f t="shared" si="205"/>
        <v/>
      </c>
      <c r="BQ270" s="28"/>
      <c r="BR270" s="304" t="str">
        <f t="shared" si="206"/>
        <v/>
      </c>
      <c r="BS270" s="304" t="str">
        <f t="shared" si="206"/>
        <v/>
      </c>
      <c r="BT270" s="28"/>
      <c r="BU270" s="304" t="str">
        <f t="shared" si="207"/>
        <v/>
      </c>
      <c r="BV270" s="304" t="str">
        <f t="shared" si="207"/>
        <v/>
      </c>
      <c r="BW270" s="28"/>
      <c r="BX270" s="91"/>
    </row>
    <row r="271" spans="1:76" s="55" customFormat="1" x14ac:dyDescent="0.25">
      <c r="A271" s="195">
        <v>13</v>
      </c>
      <c r="B271" s="216" t="str">
        <f t="shared" si="194"/>
        <v xml:space="preserve">: </v>
      </c>
      <c r="C271" s="221"/>
      <c r="D271" s="221"/>
      <c r="E271" s="221"/>
      <c r="F271" s="221"/>
      <c r="G271" s="240"/>
      <c r="H271" s="221"/>
      <c r="I271" s="240"/>
      <c r="J271" s="317"/>
      <c r="K271" s="226"/>
      <c r="L271" s="241"/>
      <c r="M271" s="225" t="str">
        <f t="shared" si="195"/>
        <v>kg of protein/kg of protein/year</v>
      </c>
      <c r="N271" s="227"/>
      <c r="O271" s="241"/>
      <c r="P271" s="122"/>
      <c r="Q271" s="228"/>
      <c r="R271" s="231" t="str">
        <f t="shared" si="208"/>
        <v/>
      </c>
      <c r="S271" s="230" t="str">
        <f t="shared" si="196"/>
        <v/>
      </c>
      <c r="T271" s="231" t="str">
        <f>IF(OR(Q271="Y",IFERROR(R271&gt;R279+R283*$AA$35,0),IFERROR(R271&lt;R279-R283*$AA$35,0)),"",IFERROR(R271*N271,""))</f>
        <v/>
      </c>
      <c r="U271" s="232" t="str">
        <f t="shared" si="197"/>
        <v>kg of protein/kg of protein/year</v>
      </c>
      <c r="V271" s="28"/>
      <c r="W271" s="28"/>
      <c r="Y271" s="91"/>
      <c r="AO271" s="91"/>
      <c r="AP271" s="28"/>
      <c r="AQ271" s="28"/>
      <c r="AR271" s="237"/>
      <c r="AS271" s="28"/>
      <c r="AT271" s="304" t="str">
        <f t="shared" si="209"/>
        <v/>
      </c>
      <c r="AU271" s="304" t="str">
        <f t="shared" si="209"/>
        <v/>
      </c>
      <c r="AV271" s="28"/>
      <c r="AW271" s="304" t="str">
        <f t="shared" si="199"/>
        <v/>
      </c>
      <c r="AX271" s="304" t="str">
        <f t="shared" si="199"/>
        <v/>
      </c>
      <c r="AY271" s="28"/>
      <c r="AZ271" s="304" t="str">
        <f t="shared" si="200"/>
        <v/>
      </c>
      <c r="BA271" s="304" t="str">
        <f t="shared" si="200"/>
        <v/>
      </c>
      <c r="BB271" s="28"/>
      <c r="BC271" s="304" t="str">
        <f t="shared" si="201"/>
        <v/>
      </c>
      <c r="BD271" s="304" t="str">
        <f t="shared" si="201"/>
        <v/>
      </c>
      <c r="BE271" s="28"/>
      <c r="BF271" s="304" t="str">
        <f t="shared" si="202"/>
        <v/>
      </c>
      <c r="BG271" s="304" t="str">
        <f t="shared" si="202"/>
        <v/>
      </c>
      <c r="BH271" s="28"/>
      <c r="BI271" s="304" t="str">
        <f t="shared" si="203"/>
        <v/>
      </c>
      <c r="BJ271" s="304" t="str">
        <f t="shared" si="203"/>
        <v/>
      </c>
      <c r="BK271" s="28"/>
      <c r="BL271" s="304" t="str">
        <f t="shared" si="204"/>
        <v/>
      </c>
      <c r="BM271" s="304" t="str">
        <f t="shared" si="204"/>
        <v/>
      </c>
      <c r="BN271" s="28"/>
      <c r="BO271" s="304" t="str">
        <f t="shared" si="205"/>
        <v/>
      </c>
      <c r="BP271" s="304" t="str">
        <f t="shared" si="205"/>
        <v/>
      </c>
      <c r="BQ271" s="28"/>
      <c r="BR271" s="304" t="str">
        <f t="shared" si="206"/>
        <v/>
      </c>
      <c r="BS271" s="304" t="str">
        <f t="shared" si="206"/>
        <v/>
      </c>
      <c r="BT271" s="28"/>
      <c r="BU271" s="304" t="str">
        <f t="shared" si="207"/>
        <v/>
      </c>
      <c r="BV271" s="304" t="str">
        <f t="shared" si="207"/>
        <v/>
      </c>
      <c r="BW271" s="28"/>
      <c r="BX271" s="91"/>
    </row>
    <row r="272" spans="1:76" s="55" customFormat="1" x14ac:dyDescent="0.25">
      <c r="A272" s="195">
        <v>14</v>
      </c>
      <c r="B272" s="216" t="str">
        <f t="shared" si="194"/>
        <v xml:space="preserve">: </v>
      </c>
      <c r="C272" s="221"/>
      <c r="D272" s="221"/>
      <c r="E272" s="221"/>
      <c r="F272" s="221"/>
      <c r="G272" s="240"/>
      <c r="H272" s="221"/>
      <c r="I272" s="240"/>
      <c r="J272" s="317"/>
      <c r="K272" s="226"/>
      <c r="L272" s="241"/>
      <c r="M272" s="225" t="str">
        <f t="shared" si="195"/>
        <v>kg of protein/kg of protein/year</v>
      </c>
      <c r="N272" s="227"/>
      <c r="O272" s="241"/>
      <c r="P272" s="122"/>
      <c r="Q272" s="228"/>
      <c r="R272" s="231" t="str">
        <f t="shared" si="208"/>
        <v/>
      </c>
      <c r="S272" s="230" t="str">
        <f t="shared" si="196"/>
        <v/>
      </c>
      <c r="T272" s="231" t="str">
        <f>IF(OR(Q272="Y",IFERROR(R272&gt;R279+R283*$AA$35,0),IFERROR(R272&lt;R279-R283*$AA$35,0)),"",IFERROR(R272*N272,""))</f>
        <v/>
      </c>
      <c r="U272" s="232" t="str">
        <f t="shared" si="197"/>
        <v>kg of protein/kg of protein/year</v>
      </c>
      <c r="V272" s="28"/>
      <c r="W272" s="28"/>
      <c r="Y272" s="91"/>
      <c r="AO272" s="91"/>
      <c r="AP272" s="28"/>
      <c r="AQ272" s="28"/>
      <c r="AR272" s="237"/>
      <c r="AS272" s="28"/>
      <c r="AT272" s="304" t="str">
        <f t="shared" si="209"/>
        <v/>
      </c>
      <c r="AU272" s="304" t="str">
        <f t="shared" si="209"/>
        <v/>
      </c>
      <c r="AV272" s="28"/>
      <c r="AW272" s="304" t="str">
        <f t="shared" si="199"/>
        <v/>
      </c>
      <c r="AX272" s="304" t="str">
        <f t="shared" si="199"/>
        <v/>
      </c>
      <c r="AY272" s="28"/>
      <c r="AZ272" s="304" t="str">
        <f t="shared" si="200"/>
        <v/>
      </c>
      <c r="BA272" s="304" t="str">
        <f t="shared" si="200"/>
        <v/>
      </c>
      <c r="BB272" s="28"/>
      <c r="BC272" s="304" t="str">
        <f t="shared" si="201"/>
        <v/>
      </c>
      <c r="BD272" s="304" t="str">
        <f t="shared" si="201"/>
        <v/>
      </c>
      <c r="BE272" s="28"/>
      <c r="BF272" s="304" t="str">
        <f t="shared" si="202"/>
        <v/>
      </c>
      <c r="BG272" s="304" t="str">
        <f t="shared" si="202"/>
        <v/>
      </c>
      <c r="BH272" s="28"/>
      <c r="BI272" s="304" t="str">
        <f t="shared" si="203"/>
        <v/>
      </c>
      <c r="BJ272" s="304" t="str">
        <f t="shared" si="203"/>
        <v/>
      </c>
      <c r="BK272" s="28"/>
      <c r="BL272" s="304" t="str">
        <f t="shared" si="204"/>
        <v/>
      </c>
      <c r="BM272" s="304" t="str">
        <f t="shared" si="204"/>
        <v/>
      </c>
      <c r="BN272" s="28"/>
      <c r="BO272" s="304" t="str">
        <f t="shared" si="205"/>
        <v/>
      </c>
      <c r="BP272" s="304" t="str">
        <f t="shared" si="205"/>
        <v/>
      </c>
      <c r="BQ272" s="28"/>
      <c r="BR272" s="304" t="str">
        <f t="shared" si="206"/>
        <v/>
      </c>
      <c r="BS272" s="304" t="str">
        <f t="shared" si="206"/>
        <v/>
      </c>
      <c r="BT272" s="28"/>
      <c r="BU272" s="304" t="str">
        <f t="shared" si="207"/>
        <v/>
      </c>
      <c r="BV272" s="304" t="str">
        <f t="shared" si="207"/>
        <v/>
      </c>
      <c r="BW272" s="28"/>
      <c r="BX272" s="91"/>
    </row>
    <row r="273" spans="1:76" s="55" customFormat="1" x14ac:dyDescent="0.25">
      <c r="A273" s="195">
        <v>15</v>
      </c>
      <c r="B273" s="216" t="str">
        <f t="shared" si="194"/>
        <v xml:space="preserve">: </v>
      </c>
      <c r="C273" s="221"/>
      <c r="D273" s="221"/>
      <c r="E273" s="221"/>
      <c r="F273" s="221"/>
      <c r="G273" s="240"/>
      <c r="H273" s="221"/>
      <c r="I273" s="240"/>
      <c r="J273" s="317"/>
      <c r="K273" s="226"/>
      <c r="L273" s="241"/>
      <c r="M273" s="225" t="str">
        <f t="shared" si="195"/>
        <v>kg of protein/kg of protein/year</v>
      </c>
      <c r="N273" s="227"/>
      <c r="O273" s="241"/>
      <c r="P273" s="122"/>
      <c r="Q273" s="228"/>
      <c r="R273" s="231" t="str">
        <f t="shared" si="208"/>
        <v/>
      </c>
      <c r="S273" s="230" t="str">
        <f t="shared" si="196"/>
        <v/>
      </c>
      <c r="T273" s="231" t="str">
        <f>IF(OR(Q273="Y",IFERROR(R273&gt;R279+R283*$AA$35,0),IFERROR(R273&lt;R279-R283*$AA$35,0)),"",IFERROR(R273*N273,""))</f>
        <v/>
      </c>
      <c r="U273" s="232" t="str">
        <f t="shared" si="197"/>
        <v>kg of protein/kg of protein/year</v>
      </c>
      <c r="V273" s="28"/>
      <c r="W273" s="28"/>
      <c r="Y273" s="91"/>
      <c r="AO273" s="91"/>
      <c r="AP273" s="28"/>
      <c r="AQ273" s="28"/>
      <c r="AR273" s="237"/>
      <c r="AS273" s="28"/>
      <c r="AT273" s="304" t="str">
        <f t="shared" si="209"/>
        <v/>
      </c>
      <c r="AU273" s="304" t="str">
        <f t="shared" si="209"/>
        <v/>
      </c>
      <c r="AV273" s="28"/>
      <c r="AW273" s="304" t="str">
        <f t="shared" si="199"/>
        <v/>
      </c>
      <c r="AX273" s="304" t="str">
        <f t="shared" si="199"/>
        <v/>
      </c>
      <c r="AY273" s="28"/>
      <c r="AZ273" s="304" t="str">
        <f t="shared" si="200"/>
        <v/>
      </c>
      <c r="BA273" s="304" t="str">
        <f t="shared" si="200"/>
        <v/>
      </c>
      <c r="BB273" s="28"/>
      <c r="BC273" s="304" t="str">
        <f t="shared" si="201"/>
        <v/>
      </c>
      <c r="BD273" s="304" t="str">
        <f t="shared" si="201"/>
        <v/>
      </c>
      <c r="BE273" s="28"/>
      <c r="BF273" s="304" t="str">
        <f t="shared" si="202"/>
        <v/>
      </c>
      <c r="BG273" s="304" t="str">
        <f t="shared" si="202"/>
        <v/>
      </c>
      <c r="BH273" s="28"/>
      <c r="BI273" s="304" t="str">
        <f t="shared" si="203"/>
        <v/>
      </c>
      <c r="BJ273" s="304" t="str">
        <f t="shared" si="203"/>
        <v/>
      </c>
      <c r="BK273" s="28"/>
      <c r="BL273" s="304" t="str">
        <f t="shared" si="204"/>
        <v/>
      </c>
      <c r="BM273" s="304" t="str">
        <f t="shared" si="204"/>
        <v/>
      </c>
      <c r="BN273" s="28"/>
      <c r="BO273" s="304" t="str">
        <f t="shared" si="205"/>
        <v/>
      </c>
      <c r="BP273" s="304" t="str">
        <f t="shared" si="205"/>
        <v/>
      </c>
      <c r="BQ273" s="28"/>
      <c r="BR273" s="304" t="str">
        <f t="shared" si="206"/>
        <v/>
      </c>
      <c r="BS273" s="304" t="str">
        <f t="shared" si="206"/>
        <v/>
      </c>
      <c r="BT273" s="28"/>
      <c r="BU273" s="304" t="str">
        <f t="shared" si="207"/>
        <v/>
      </c>
      <c r="BV273" s="304" t="str">
        <f t="shared" si="207"/>
        <v/>
      </c>
      <c r="BW273" s="28"/>
      <c r="BX273" s="91"/>
    </row>
    <row r="274" spans="1:76" s="55" customFormat="1" x14ac:dyDescent="0.25">
      <c r="A274" s="195">
        <v>16</v>
      </c>
      <c r="B274" s="216" t="str">
        <f t="shared" si="194"/>
        <v xml:space="preserve">: </v>
      </c>
      <c r="C274" s="221"/>
      <c r="D274" s="221"/>
      <c r="E274" s="221"/>
      <c r="F274" s="221"/>
      <c r="G274" s="240"/>
      <c r="H274" s="221"/>
      <c r="I274" s="240"/>
      <c r="J274" s="317"/>
      <c r="K274" s="226"/>
      <c r="L274" s="241"/>
      <c r="M274" s="225" t="str">
        <f t="shared" si="195"/>
        <v>kg of protein/kg of protein/year</v>
      </c>
      <c r="N274" s="227"/>
      <c r="O274" s="241"/>
      <c r="P274" s="122"/>
      <c r="Q274" s="228"/>
      <c r="R274" s="231" t="str">
        <f t="shared" si="208"/>
        <v/>
      </c>
      <c r="S274" s="230" t="str">
        <f t="shared" si="196"/>
        <v/>
      </c>
      <c r="T274" s="231" t="str">
        <f>IF(OR(Q274="Y",IFERROR(R274&gt;R279+R283*$AA$35,0),IFERROR(R274&lt;R279-R283*$AA$35,0)),"",IFERROR(R274*N274,""))</f>
        <v/>
      </c>
      <c r="U274" s="232" t="str">
        <f t="shared" si="197"/>
        <v>kg of protein/kg of protein/year</v>
      </c>
      <c r="V274" s="28"/>
      <c r="W274" s="28"/>
      <c r="Y274" s="91"/>
      <c r="AO274" s="91"/>
      <c r="AP274" s="28"/>
      <c r="AQ274" s="28"/>
      <c r="AR274" s="237"/>
      <c r="AS274" s="28"/>
      <c r="AT274" s="304" t="str">
        <f t="shared" si="209"/>
        <v/>
      </c>
      <c r="AU274" s="304" t="str">
        <f t="shared" si="209"/>
        <v/>
      </c>
      <c r="AV274" s="28"/>
      <c r="AW274" s="304" t="str">
        <f t="shared" si="199"/>
        <v/>
      </c>
      <c r="AX274" s="304" t="str">
        <f t="shared" si="199"/>
        <v/>
      </c>
      <c r="AY274" s="28"/>
      <c r="AZ274" s="304" t="str">
        <f t="shared" si="200"/>
        <v/>
      </c>
      <c r="BA274" s="304" t="str">
        <f t="shared" si="200"/>
        <v/>
      </c>
      <c r="BB274" s="28"/>
      <c r="BC274" s="304" t="str">
        <f t="shared" si="201"/>
        <v/>
      </c>
      <c r="BD274" s="304" t="str">
        <f t="shared" si="201"/>
        <v/>
      </c>
      <c r="BE274" s="28"/>
      <c r="BF274" s="304" t="str">
        <f t="shared" si="202"/>
        <v/>
      </c>
      <c r="BG274" s="304" t="str">
        <f t="shared" si="202"/>
        <v/>
      </c>
      <c r="BH274" s="28"/>
      <c r="BI274" s="304" t="str">
        <f t="shared" si="203"/>
        <v/>
      </c>
      <c r="BJ274" s="304" t="str">
        <f t="shared" si="203"/>
        <v/>
      </c>
      <c r="BK274" s="28"/>
      <c r="BL274" s="304" t="str">
        <f t="shared" si="204"/>
        <v/>
      </c>
      <c r="BM274" s="304" t="str">
        <f t="shared" si="204"/>
        <v/>
      </c>
      <c r="BN274" s="28"/>
      <c r="BO274" s="304" t="str">
        <f t="shared" si="205"/>
        <v/>
      </c>
      <c r="BP274" s="304" t="str">
        <f t="shared" si="205"/>
        <v/>
      </c>
      <c r="BQ274" s="28"/>
      <c r="BR274" s="304" t="str">
        <f t="shared" si="206"/>
        <v/>
      </c>
      <c r="BS274" s="304" t="str">
        <f t="shared" si="206"/>
        <v/>
      </c>
      <c r="BT274" s="28"/>
      <c r="BU274" s="304" t="str">
        <f t="shared" si="207"/>
        <v/>
      </c>
      <c r="BV274" s="304" t="str">
        <f t="shared" si="207"/>
        <v/>
      </c>
      <c r="BW274" s="28"/>
      <c r="BX274" s="91"/>
    </row>
    <row r="275" spans="1:76" s="55" customFormat="1" x14ac:dyDescent="0.25">
      <c r="A275" s="195">
        <v>17</v>
      </c>
      <c r="B275" s="216" t="str">
        <f t="shared" si="194"/>
        <v xml:space="preserve">: </v>
      </c>
      <c r="C275" s="221"/>
      <c r="D275" s="221"/>
      <c r="E275" s="221"/>
      <c r="F275" s="221"/>
      <c r="G275" s="240"/>
      <c r="H275" s="221"/>
      <c r="I275" s="240"/>
      <c r="J275" s="317"/>
      <c r="K275" s="226"/>
      <c r="L275" s="241"/>
      <c r="M275" s="225" t="str">
        <f t="shared" si="195"/>
        <v>kg of protein/kg of protein/year</v>
      </c>
      <c r="N275" s="227"/>
      <c r="O275" s="241"/>
      <c r="P275" s="122"/>
      <c r="Q275" s="228"/>
      <c r="R275" s="231" t="str">
        <f t="shared" si="208"/>
        <v/>
      </c>
      <c r="S275" s="230" t="str">
        <f t="shared" si="196"/>
        <v/>
      </c>
      <c r="T275" s="231" t="str">
        <f>IF(OR(Q275="Y",IFERROR(R275&gt;R279+R283*$AA$35,0),IFERROR(R275&lt;R279-R283*$AA$35,0)),"",IFERROR(R275*N275,""))</f>
        <v/>
      </c>
      <c r="U275" s="232" t="str">
        <f t="shared" si="197"/>
        <v>kg of protein/kg of protein/year</v>
      </c>
      <c r="V275" s="28"/>
      <c r="W275" s="28"/>
      <c r="Y275" s="91"/>
      <c r="AO275" s="91"/>
      <c r="AP275" s="28"/>
      <c r="AQ275" s="28"/>
      <c r="AR275" s="237"/>
      <c r="AS275" s="28"/>
      <c r="AT275" s="304" t="str">
        <f t="shared" si="209"/>
        <v/>
      </c>
      <c r="AU275" s="304" t="str">
        <f t="shared" si="209"/>
        <v/>
      </c>
      <c r="AV275" s="28"/>
      <c r="AW275" s="304" t="str">
        <f t="shared" si="199"/>
        <v/>
      </c>
      <c r="AX275" s="304" t="str">
        <f t="shared" si="199"/>
        <v/>
      </c>
      <c r="AY275" s="28"/>
      <c r="AZ275" s="304" t="str">
        <f t="shared" si="200"/>
        <v/>
      </c>
      <c r="BA275" s="304" t="str">
        <f t="shared" si="200"/>
        <v/>
      </c>
      <c r="BB275" s="28"/>
      <c r="BC275" s="304" t="str">
        <f t="shared" si="201"/>
        <v/>
      </c>
      <c r="BD275" s="304" t="str">
        <f t="shared" si="201"/>
        <v/>
      </c>
      <c r="BE275" s="28"/>
      <c r="BF275" s="304" t="str">
        <f t="shared" si="202"/>
        <v/>
      </c>
      <c r="BG275" s="304" t="str">
        <f t="shared" si="202"/>
        <v/>
      </c>
      <c r="BH275" s="28"/>
      <c r="BI275" s="304" t="str">
        <f t="shared" si="203"/>
        <v/>
      </c>
      <c r="BJ275" s="304" t="str">
        <f t="shared" si="203"/>
        <v/>
      </c>
      <c r="BK275" s="28"/>
      <c r="BL275" s="304" t="str">
        <f t="shared" si="204"/>
        <v/>
      </c>
      <c r="BM275" s="304" t="str">
        <f t="shared" si="204"/>
        <v/>
      </c>
      <c r="BN275" s="28"/>
      <c r="BO275" s="304" t="str">
        <f t="shared" si="205"/>
        <v/>
      </c>
      <c r="BP275" s="304" t="str">
        <f t="shared" si="205"/>
        <v/>
      </c>
      <c r="BQ275" s="28"/>
      <c r="BR275" s="304" t="str">
        <f t="shared" si="206"/>
        <v/>
      </c>
      <c r="BS275" s="304" t="str">
        <f t="shared" si="206"/>
        <v/>
      </c>
      <c r="BT275" s="28"/>
      <c r="BU275" s="304" t="str">
        <f t="shared" si="207"/>
        <v/>
      </c>
      <c r="BV275" s="304" t="str">
        <f t="shared" si="207"/>
        <v/>
      </c>
      <c r="BW275" s="28"/>
      <c r="BX275" s="91"/>
    </row>
    <row r="276" spans="1:76" s="55" customFormat="1" x14ac:dyDescent="0.25">
      <c r="A276" s="195">
        <v>18</v>
      </c>
      <c r="B276" s="216" t="str">
        <f t="shared" si="194"/>
        <v xml:space="preserve">: </v>
      </c>
      <c r="C276" s="221"/>
      <c r="D276" s="221"/>
      <c r="E276" s="221"/>
      <c r="F276" s="221"/>
      <c r="G276" s="240"/>
      <c r="H276" s="221"/>
      <c r="I276" s="240"/>
      <c r="J276" s="317"/>
      <c r="K276" s="226"/>
      <c r="L276" s="241"/>
      <c r="M276" s="225" t="str">
        <f t="shared" si="195"/>
        <v>kg of protein/kg of protein/year</v>
      </c>
      <c r="N276" s="227"/>
      <c r="O276" s="241"/>
      <c r="P276" s="122"/>
      <c r="Q276" s="228"/>
      <c r="R276" s="231" t="str">
        <f t="shared" si="208"/>
        <v/>
      </c>
      <c r="S276" s="230" t="str">
        <f t="shared" si="196"/>
        <v/>
      </c>
      <c r="T276" s="231" t="str">
        <f>IF(OR(Q276="Y",IFERROR(R276&gt;R279+R283*$AA$35,0),IFERROR(R276&lt;R279-R283*$AA$35,0)),"",IFERROR(R276*N276,""))</f>
        <v/>
      </c>
      <c r="U276" s="232" t="str">
        <f t="shared" si="197"/>
        <v>kg of protein/kg of protein/year</v>
      </c>
      <c r="V276" s="28"/>
      <c r="W276" s="28"/>
      <c r="Y276" s="91"/>
      <c r="AO276" s="91"/>
      <c r="AP276" s="28"/>
      <c r="AQ276" s="28"/>
      <c r="AR276" s="237"/>
      <c r="AS276" s="28"/>
      <c r="AT276" s="304" t="str">
        <f t="shared" si="209"/>
        <v/>
      </c>
      <c r="AU276" s="304" t="str">
        <f t="shared" si="209"/>
        <v/>
      </c>
      <c r="AV276" s="28"/>
      <c r="AW276" s="304" t="str">
        <f t="shared" si="199"/>
        <v/>
      </c>
      <c r="AX276" s="304" t="str">
        <f t="shared" si="199"/>
        <v/>
      </c>
      <c r="AY276" s="28"/>
      <c r="AZ276" s="304" t="str">
        <f t="shared" si="200"/>
        <v/>
      </c>
      <c r="BA276" s="304" t="str">
        <f t="shared" si="200"/>
        <v/>
      </c>
      <c r="BB276" s="28"/>
      <c r="BC276" s="304" t="str">
        <f t="shared" si="201"/>
        <v/>
      </c>
      <c r="BD276" s="304" t="str">
        <f t="shared" si="201"/>
        <v/>
      </c>
      <c r="BE276" s="28"/>
      <c r="BF276" s="304" t="str">
        <f t="shared" si="202"/>
        <v/>
      </c>
      <c r="BG276" s="304" t="str">
        <f t="shared" si="202"/>
        <v/>
      </c>
      <c r="BH276" s="28"/>
      <c r="BI276" s="304" t="str">
        <f t="shared" si="203"/>
        <v/>
      </c>
      <c r="BJ276" s="304" t="str">
        <f t="shared" si="203"/>
        <v/>
      </c>
      <c r="BK276" s="28"/>
      <c r="BL276" s="304" t="str">
        <f t="shared" si="204"/>
        <v/>
      </c>
      <c r="BM276" s="304" t="str">
        <f t="shared" si="204"/>
        <v/>
      </c>
      <c r="BN276" s="28"/>
      <c r="BO276" s="304" t="str">
        <f t="shared" si="205"/>
        <v/>
      </c>
      <c r="BP276" s="304" t="str">
        <f t="shared" si="205"/>
        <v/>
      </c>
      <c r="BQ276" s="28"/>
      <c r="BR276" s="304" t="str">
        <f t="shared" si="206"/>
        <v/>
      </c>
      <c r="BS276" s="304" t="str">
        <f t="shared" si="206"/>
        <v/>
      </c>
      <c r="BT276" s="28"/>
      <c r="BU276" s="304" t="str">
        <f t="shared" si="207"/>
        <v/>
      </c>
      <c r="BV276" s="304" t="str">
        <f t="shared" si="207"/>
        <v/>
      </c>
      <c r="BW276" s="28"/>
      <c r="BX276" s="91"/>
    </row>
    <row r="277" spans="1:76" s="55" customFormat="1" x14ac:dyDescent="0.25">
      <c r="A277" s="195">
        <v>19</v>
      </c>
      <c r="B277" s="216" t="str">
        <f t="shared" si="194"/>
        <v xml:space="preserve">: </v>
      </c>
      <c r="C277" s="221"/>
      <c r="D277" s="221"/>
      <c r="E277" s="221"/>
      <c r="F277" s="221"/>
      <c r="G277" s="240"/>
      <c r="H277" s="221"/>
      <c r="I277" s="240"/>
      <c r="J277" s="241"/>
      <c r="K277" s="241"/>
      <c r="L277" s="241"/>
      <c r="M277" s="225" t="str">
        <f t="shared" si="195"/>
        <v>kg of protein/kg of protein/year</v>
      </c>
      <c r="N277" s="227"/>
      <c r="O277" s="241"/>
      <c r="P277" s="122"/>
      <c r="Q277" s="228"/>
      <c r="R277" s="231" t="str">
        <f t="shared" si="208"/>
        <v/>
      </c>
      <c r="S277" s="230" t="str">
        <f t="shared" si="196"/>
        <v/>
      </c>
      <c r="T277" s="231" t="str">
        <f>IF(OR(Q277="Y",IFERROR(R277&gt;R279+R283*$AA$35,0),IFERROR(R277&lt;R279-R283*$AA$35,0)),"",IFERROR(R277*N277,""))</f>
        <v/>
      </c>
      <c r="U277" s="232" t="str">
        <f t="shared" si="197"/>
        <v>kg of protein/kg of protein/year</v>
      </c>
      <c r="V277" s="28"/>
      <c r="W277" s="28"/>
      <c r="Y277" s="91"/>
      <c r="AO277" s="91"/>
      <c r="AP277" s="28"/>
      <c r="AQ277" s="28"/>
      <c r="AR277" s="237"/>
      <c r="AS277" s="28"/>
      <c r="AT277" s="304" t="str">
        <f t="shared" si="209"/>
        <v/>
      </c>
      <c r="AU277" s="304" t="str">
        <f t="shared" si="209"/>
        <v/>
      </c>
      <c r="AV277" s="28"/>
      <c r="AW277" s="304" t="str">
        <f t="shared" si="199"/>
        <v/>
      </c>
      <c r="AX277" s="304" t="str">
        <f t="shared" si="199"/>
        <v/>
      </c>
      <c r="AY277" s="28"/>
      <c r="AZ277" s="304" t="str">
        <f t="shared" si="200"/>
        <v/>
      </c>
      <c r="BA277" s="304" t="str">
        <f t="shared" si="200"/>
        <v/>
      </c>
      <c r="BB277" s="28"/>
      <c r="BC277" s="304" t="str">
        <f t="shared" si="201"/>
        <v/>
      </c>
      <c r="BD277" s="304" t="str">
        <f t="shared" si="201"/>
        <v/>
      </c>
      <c r="BE277" s="28"/>
      <c r="BF277" s="304" t="str">
        <f t="shared" si="202"/>
        <v/>
      </c>
      <c r="BG277" s="304" t="str">
        <f t="shared" si="202"/>
        <v/>
      </c>
      <c r="BH277" s="28"/>
      <c r="BI277" s="304" t="str">
        <f t="shared" si="203"/>
        <v/>
      </c>
      <c r="BJ277" s="304" t="str">
        <f t="shared" si="203"/>
        <v/>
      </c>
      <c r="BK277" s="28"/>
      <c r="BL277" s="304" t="str">
        <f t="shared" si="204"/>
        <v/>
      </c>
      <c r="BM277" s="304" t="str">
        <f t="shared" si="204"/>
        <v/>
      </c>
      <c r="BN277" s="28"/>
      <c r="BO277" s="304" t="str">
        <f t="shared" si="205"/>
        <v/>
      </c>
      <c r="BP277" s="304" t="str">
        <f t="shared" si="205"/>
        <v/>
      </c>
      <c r="BQ277" s="28"/>
      <c r="BR277" s="304" t="str">
        <f t="shared" si="206"/>
        <v/>
      </c>
      <c r="BS277" s="304" t="str">
        <f t="shared" si="206"/>
        <v/>
      </c>
      <c r="BT277" s="28"/>
      <c r="BU277" s="304" t="str">
        <f t="shared" si="207"/>
        <v/>
      </c>
      <c r="BV277" s="304" t="str">
        <f t="shared" si="207"/>
        <v/>
      </c>
      <c r="BW277" s="28"/>
      <c r="BX277" s="91"/>
    </row>
    <row r="278" spans="1:76" s="55" customFormat="1" x14ac:dyDescent="0.25">
      <c r="A278" s="195">
        <v>20</v>
      </c>
      <c r="B278" s="216" t="str">
        <f t="shared" si="194"/>
        <v xml:space="preserve">: </v>
      </c>
      <c r="C278" s="221"/>
      <c r="D278" s="221"/>
      <c r="E278" s="221"/>
      <c r="F278" s="221"/>
      <c r="G278" s="240"/>
      <c r="H278" s="221"/>
      <c r="I278" s="240"/>
      <c r="J278" s="241"/>
      <c r="K278" s="241"/>
      <c r="L278" s="241"/>
      <c r="M278" s="225" t="str">
        <f t="shared" si="195"/>
        <v>kg of protein/kg of protein/year</v>
      </c>
      <c r="N278" s="227"/>
      <c r="O278" s="241"/>
      <c r="P278" s="122"/>
      <c r="Q278" s="228"/>
      <c r="R278" s="231" t="str">
        <f t="shared" si="208"/>
        <v/>
      </c>
      <c r="S278" s="230" t="str">
        <f t="shared" si="196"/>
        <v/>
      </c>
      <c r="T278" s="231" t="str">
        <f>IF(OR(Q278="Y",IFERROR(R278&gt;R279+R283*$AA$35,0),IFERROR(R278&lt;R279-R283*$AA$35,0)),"",IFERROR(R278*N278,""))</f>
        <v/>
      </c>
      <c r="U278" s="232" t="str">
        <f t="shared" si="197"/>
        <v>kg of protein/kg of protein/year</v>
      </c>
      <c r="V278" s="28"/>
      <c r="W278" s="28"/>
      <c r="Y278" s="91"/>
      <c r="AO278" s="91"/>
      <c r="AP278" s="28"/>
      <c r="AQ278" s="28"/>
      <c r="AR278" s="237"/>
      <c r="AS278" s="28"/>
      <c r="AT278" s="304" t="str">
        <f t="shared" si="209"/>
        <v/>
      </c>
      <c r="AU278" s="304" t="str">
        <f t="shared" si="209"/>
        <v/>
      </c>
      <c r="AV278" s="28"/>
      <c r="AW278" s="304" t="str">
        <f t="shared" si="199"/>
        <v/>
      </c>
      <c r="AX278" s="304" t="str">
        <f t="shared" si="199"/>
        <v/>
      </c>
      <c r="AY278" s="28"/>
      <c r="AZ278" s="304" t="str">
        <f t="shared" si="200"/>
        <v/>
      </c>
      <c r="BA278" s="304" t="str">
        <f t="shared" si="200"/>
        <v/>
      </c>
      <c r="BB278" s="28"/>
      <c r="BC278" s="304" t="str">
        <f t="shared" si="201"/>
        <v/>
      </c>
      <c r="BD278" s="304" t="str">
        <f t="shared" si="201"/>
        <v/>
      </c>
      <c r="BE278" s="28"/>
      <c r="BF278" s="304" t="str">
        <f t="shared" si="202"/>
        <v/>
      </c>
      <c r="BG278" s="304" t="str">
        <f t="shared" si="202"/>
        <v/>
      </c>
      <c r="BH278" s="28"/>
      <c r="BI278" s="304" t="str">
        <f t="shared" si="203"/>
        <v/>
      </c>
      <c r="BJ278" s="304" t="str">
        <f t="shared" si="203"/>
        <v/>
      </c>
      <c r="BK278" s="28"/>
      <c r="BL278" s="304" t="str">
        <f t="shared" si="204"/>
        <v/>
      </c>
      <c r="BM278" s="304" t="str">
        <f t="shared" si="204"/>
        <v/>
      </c>
      <c r="BN278" s="28"/>
      <c r="BO278" s="304" t="str">
        <f t="shared" si="205"/>
        <v/>
      </c>
      <c r="BP278" s="304" t="str">
        <f t="shared" si="205"/>
        <v/>
      </c>
      <c r="BQ278" s="28"/>
      <c r="BR278" s="304" t="str">
        <f t="shared" si="206"/>
        <v/>
      </c>
      <c r="BS278" s="304" t="str">
        <f t="shared" si="206"/>
        <v/>
      </c>
      <c r="BT278" s="28"/>
      <c r="BU278" s="304" t="str">
        <f t="shared" si="207"/>
        <v/>
      </c>
      <c r="BV278" s="304" t="str">
        <f t="shared" si="207"/>
        <v/>
      </c>
      <c r="BW278" s="28"/>
      <c r="BX278" s="91"/>
    </row>
    <row r="279" spans="1:76" s="55" customFormat="1" x14ac:dyDescent="0.25">
      <c r="A279" s="195"/>
      <c r="B279" s="244" t="s">
        <v>163</v>
      </c>
      <c r="C279" s="199"/>
      <c r="D279" s="199"/>
      <c r="E279" s="199"/>
      <c r="F279" s="199"/>
      <c r="G279" s="122"/>
      <c r="H279" s="28"/>
      <c r="I279" s="245"/>
      <c r="J279" s="122"/>
      <c r="K279" s="122"/>
      <c r="L279" s="122" t="s">
        <v>134</v>
      </c>
      <c r="M279" s="122"/>
      <c r="N279" s="122"/>
      <c r="O279" s="122"/>
      <c r="P279" s="122"/>
      <c r="Q279" s="305" t="s">
        <v>136</v>
      </c>
      <c r="R279" s="246" t="e">
        <f>AVERAGE(R259:R278)</f>
        <v>#DIV/0!</v>
      </c>
      <c r="S279" s="247" t="e">
        <f>IF(R287="Y",SUM(S259:S278)/SUMPRODUCT(N259:N278,--ISNUMBER(S259:S278)),AVERAGE(S259:S278))</f>
        <v>#DIV/0!</v>
      </c>
      <c r="T279" s="248" t="e">
        <f>SUM(T259:T278)/SUMPRODUCT(N259:N278,--ISNUMBER(T259:T278))</f>
        <v>#DIV/0!</v>
      </c>
      <c r="U279" s="28"/>
      <c r="V279" s="28"/>
      <c r="W279" s="28"/>
      <c r="Y279" s="249"/>
      <c r="AO279" s="91"/>
      <c r="AP279" s="28"/>
      <c r="AQ279" s="28"/>
      <c r="AR279" s="28"/>
      <c r="AS279" s="245" t="s">
        <v>136</v>
      </c>
      <c r="AT279" s="307" t="e">
        <f>AVERAGE(AT259:AT278)</f>
        <v>#DIV/0!</v>
      </c>
      <c r="AU279" s="307" t="e">
        <f>SUM(AU259:AU278)/COUNTIF(AU259:AU278,"&gt;0")</f>
        <v>#DIV/0!</v>
      </c>
      <c r="AV279" s="245"/>
      <c r="AW279" s="307" t="e">
        <f>AVERAGE(AW259:AW278)</f>
        <v>#DIV/0!</v>
      </c>
      <c r="AX279" s="307" t="e">
        <f>SUM(AX259:AX278)/COUNTIF(AX259:AX278,"&gt;0")</f>
        <v>#DIV/0!</v>
      </c>
      <c r="AY279" s="28"/>
      <c r="AZ279" s="307" t="e">
        <f>AVERAGE(AZ259:AZ278)</f>
        <v>#DIV/0!</v>
      </c>
      <c r="BA279" s="307" t="e">
        <f>SUM(BA259:BA278)/COUNTIF(BA259:BA278,"&gt;0")</f>
        <v>#DIV/0!</v>
      </c>
      <c r="BB279" s="28"/>
      <c r="BC279" s="307" t="e">
        <f>AVERAGE(BC259:BC278)</f>
        <v>#DIV/0!</v>
      </c>
      <c r="BD279" s="307" t="e">
        <f>SUM(BD259:BD278)/COUNTIF(BD259:BD278,"&gt;0")</f>
        <v>#DIV/0!</v>
      </c>
      <c r="BE279" s="28"/>
      <c r="BF279" s="307" t="e">
        <f>AVERAGE(BF259:BF278)</f>
        <v>#DIV/0!</v>
      </c>
      <c r="BG279" s="307" t="e">
        <f>SUM(BG259:BG278)/COUNTIF(BG259:BG278,"&gt;0")</f>
        <v>#DIV/0!</v>
      </c>
      <c r="BH279" s="28"/>
      <c r="BI279" s="307" t="e">
        <f>AVERAGE(BI259:BI278)</f>
        <v>#DIV/0!</v>
      </c>
      <c r="BJ279" s="307" t="e">
        <f>SUM(BJ259:BJ278)/COUNTIF(BJ259:BJ278,"&gt;0")</f>
        <v>#DIV/0!</v>
      </c>
      <c r="BK279" s="245"/>
      <c r="BL279" s="307" t="e">
        <f>AVERAGE(BL259:BL278)</f>
        <v>#DIV/0!</v>
      </c>
      <c r="BM279" s="307" t="e">
        <f>SUM(BM259:BM278)/COUNTIF(BM259:BM278,"&gt;0")</f>
        <v>#DIV/0!</v>
      </c>
      <c r="BN279" s="28"/>
      <c r="BO279" s="307" t="e">
        <f>AVERAGE(BO259:BO278)</f>
        <v>#DIV/0!</v>
      </c>
      <c r="BP279" s="307" t="e">
        <f>SUM(BP259:BP278)/COUNTIF(BP259:BP278,"&gt;0")</f>
        <v>#DIV/0!</v>
      </c>
      <c r="BQ279" s="28"/>
      <c r="BR279" s="307" t="e">
        <f>AVERAGE(BR259:BR278)</f>
        <v>#DIV/0!</v>
      </c>
      <c r="BS279" s="307" t="e">
        <f>SUM(BS259:BS278)/COUNTIF(BS259:BS278,"&gt;0")</f>
        <v>#DIV/0!</v>
      </c>
      <c r="BT279" s="28"/>
      <c r="BU279" s="307" t="e">
        <f>AVERAGE(BU259:BU278)</f>
        <v>#DIV/0!</v>
      </c>
      <c r="BV279" s="307" t="e">
        <f>SUM(BV259:BV278)/COUNTIF(BV259:BV278,"&gt;0")</f>
        <v>#DIV/0!</v>
      </c>
      <c r="BW279" s="28"/>
      <c r="BX279" s="91"/>
    </row>
    <row r="280" spans="1:76" s="55" customFormat="1" x14ac:dyDescent="0.25">
      <c r="A280" s="195"/>
      <c r="B280" s="244" t="s">
        <v>164</v>
      </c>
      <c r="C280" s="199" t="s">
        <v>139</v>
      </c>
      <c r="D280" s="319"/>
      <c r="E280" s="320"/>
      <c r="F280" s="320"/>
      <c r="G280" s="320"/>
      <c r="H280" s="320"/>
      <c r="I280" s="320"/>
      <c r="J280" s="321"/>
      <c r="K280" s="122"/>
      <c r="L280" s="122"/>
      <c r="M280" s="122"/>
      <c r="N280" s="122"/>
      <c r="O280" s="122"/>
      <c r="P280" s="122"/>
      <c r="Q280" s="306" t="s">
        <v>144</v>
      </c>
      <c r="R280" s="257" t="e">
        <f>R279+U280*R283</f>
        <v>#DIV/0!</v>
      </c>
      <c r="S280" s="257" t="e">
        <f>S279+U280*S283</f>
        <v>#DIV/0!</v>
      </c>
      <c r="T280" s="257" t="e">
        <f>T279+U280*T283</f>
        <v>#DIV/0!</v>
      </c>
      <c r="U280" s="258">
        <v>1</v>
      </c>
      <c r="V280" s="122" t="s">
        <v>142</v>
      </c>
      <c r="W280" s="28"/>
      <c r="X280" s="259" t="s">
        <v>143</v>
      </c>
      <c r="Y280" s="260"/>
      <c r="AO280" s="91"/>
      <c r="AP280" s="28"/>
      <c r="AQ280" s="28"/>
      <c r="AR280" s="28"/>
      <c r="AS280" s="256" t="s">
        <v>144</v>
      </c>
      <c r="AT280" s="261" t="e">
        <f>AT279+(AT285*AT282)</f>
        <v>#DIV/0!</v>
      </c>
      <c r="AU280" s="261" t="e">
        <f>AU279+(AU285*AT282)</f>
        <v>#DIV/0!</v>
      </c>
      <c r="AV280" s="256"/>
      <c r="AW280" s="261" t="e">
        <f>AW279+(AW285*AW282)</f>
        <v>#DIV/0!</v>
      </c>
      <c r="AX280" s="261" t="e">
        <f>AX279+(AX285*AW282)</f>
        <v>#DIV/0!</v>
      </c>
      <c r="AY280" s="28"/>
      <c r="AZ280" s="261" t="e">
        <f>AZ279+(AZ285*AZ282)</f>
        <v>#DIV/0!</v>
      </c>
      <c r="BA280" s="261" t="e">
        <f>BA279+(BA285*AZ282)</f>
        <v>#DIV/0!</v>
      </c>
      <c r="BB280" s="28"/>
      <c r="BC280" s="261" t="e">
        <f>BC279+(BC285*BC282)</f>
        <v>#DIV/0!</v>
      </c>
      <c r="BD280" s="261" t="e">
        <f>BD279+(BD285*BC282)</f>
        <v>#DIV/0!</v>
      </c>
      <c r="BE280" s="28"/>
      <c r="BF280" s="261" t="e">
        <f>BF279+(BF285*BF282)</f>
        <v>#DIV/0!</v>
      </c>
      <c r="BG280" s="261" t="e">
        <f>BG279+(BG285*BF282)</f>
        <v>#DIV/0!</v>
      </c>
      <c r="BH280" s="28"/>
      <c r="BI280" s="261" t="e">
        <f>BI279+(BI285*BI282)</f>
        <v>#DIV/0!</v>
      </c>
      <c r="BJ280" s="261" t="e">
        <f>BJ279+(BJ285*BI282)</f>
        <v>#DIV/0!</v>
      </c>
      <c r="BK280" s="256"/>
      <c r="BL280" s="261" t="e">
        <f>BL279+(BL285*BL282)</f>
        <v>#DIV/0!</v>
      </c>
      <c r="BM280" s="261" t="e">
        <f>BM279+(BM285*BL282)</f>
        <v>#DIV/0!</v>
      </c>
      <c r="BN280" s="28"/>
      <c r="BO280" s="261" t="e">
        <f>BO279+(BO285*BO282)</f>
        <v>#DIV/0!</v>
      </c>
      <c r="BP280" s="261" t="e">
        <f>BP279+(BP285*BO282)</f>
        <v>#DIV/0!</v>
      </c>
      <c r="BQ280" s="28"/>
      <c r="BR280" s="261" t="e">
        <f>BR279+(BR285*BR282)</f>
        <v>#DIV/0!</v>
      </c>
      <c r="BS280" s="261" t="e">
        <f>BS279+(BS285*BR282)</f>
        <v>#DIV/0!</v>
      </c>
      <c r="BT280" s="28"/>
      <c r="BU280" s="261" t="e">
        <f>BU279+(BU285*BU282)</f>
        <v>#DIV/0!</v>
      </c>
      <c r="BV280" s="261" t="e">
        <f>BV279+(BV285*BU282)</f>
        <v>#DIV/0!</v>
      </c>
      <c r="BW280" s="28"/>
      <c r="BX280" s="91"/>
    </row>
    <row r="281" spans="1:76" s="55" customFormat="1" x14ac:dyDescent="0.25">
      <c r="A281" s="195"/>
      <c r="B281" s="244" t="s">
        <v>165</v>
      </c>
      <c r="C281" s="195"/>
      <c r="D281" s="322"/>
      <c r="E281" s="323"/>
      <c r="F281" s="323"/>
      <c r="G281" s="323"/>
      <c r="H281" s="323"/>
      <c r="I281" s="323"/>
      <c r="J281" s="324"/>
      <c r="K281" s="28"/>
      <c r="L281" s="28"/>
      <c r="M281" s="122"/>
      <c r="N281" s="122"/>
      <c r="O281" s="122"/>
      <c r="P281" s="122"/>
      <c r="Q281" s="306" t="s">
        <v>150</v>
      </c>
      <c r="R281" s="257" t="e">
        <f>IF($X281="Y",MIN(R259:R278),R279-$U281*R283)</f>
        <v>#DIV/0!</v>
      </c>
      <c r="S281" s="257" t="e">
        <f t="shared" ref="S281:T281" si="210">IF($X281="Y",MIN(S259:S278),S279-$U281*S283)</f>
        <v>#DIV/0!</v>
      </c>
      <c r="T281" s="257" t="e">
        <f t="shared" si="210"/>
        <v>#DIV/0!</v>
      </c>
      <c r="U281" s="258">
        <v>1</v>
      </c>
      <c r="V281" s="122" t="s">
        <v>148</v>
      </c>
      <c r="W281" s="28"/>
      <c r="X281" s="266" t="s">
        <v>149</v>
      </c>
      <c r="Y281" s="260"/>
      <c r="AO281" s="91"/>
      <c r="AP281" s="28"/>
      <c r="AQ281" s="28"/>
      <c r="AR281" s="28"/>
      <c r="AS281" s="256" t="s">
        <v>150</v>
      </c>
      <c r="AT281" s="261" t="e">
        <f>AT279-(AT285*AT283)</f>
        <v>#DIV/0!</v>
      </c>
      <c r="AU281" s="261" t="e">
        <f>AU279-(AU285*AT283)</f>
        <v>#DIV/0!</v>
      </c>
      <c r="AV281" s="256"/>
      <c r="AW281" s="261" t="e">
        <f>AW279-(AW285*AW283)</f>
        <v>#DIV/0!</v>
      </c>
      <c r="AX281" s="261" t="e">
        <f>AX279-(AX285*AW283)</f>
        <v>#DIV/0!</v>
      </c>
      <c r="AY281" s="28"/>
      <c r="AZ281" s="261" t="e">
        <f>AZ279-(AZ285*AZ283)</f>
        <v>#DIV/0!</v>
      </c>
      <c r="BA281" s="261" t="e">
        <f>BA279-(BA285*AZ283)</f>
        <v>#DIV/0!</v>
      </c>
      <c r="BB281" s="28"/>
      <c r="BC281" s="261" t="e">
        <f>BC279-(BC285*BC283)</f>
        <v>#DIV/0!</v>
      </c>
      <c r="BD281" s="261" t="e">
        <f>BD279-(BD285*BC283)</f>
        <v>#DIV/0!</v>
      </c>
      <c r="BE281" s="28"/>
      <c r="BF281" s="261" t="e">
        <f>BF279-(BF285*BF283)</f>
        <v>#DIV/0!</v>
      </c>
      <c r="BG281" s="261" t="e">
        <f>BG279-(BG285*BF283)</f>
        <v>#DIV/0!</v>
      </c>
      <c r="BH281" s="28"/>
      <c r="BI281" s="261" t="e">
        <f>BI279-(BI285*BI283)</f>
        <v>#DIV/0!</v>
      </c>
      <c r="BJ281" s="261" t="e">
        <f>BJ279-(BJ285*BI283)</f>
        <v>#DIV/0!</v>
      </c>
      <c r="BK281" s="256"/>
      <c r="BL281" s="261" t="e">
        <f>BL279-(BL285*BL283)</f>
        <v>#DIV/0!</v>
      </c>
      <c r="BM281" s="261" t="e">
        <f>BM279-(BM285*BL283)</f>
        <v>#DIV/0!</v>
      </c>
      <c r="BN281" s="28"/>
      <c r="BO281" s="261" t="e">
        <f>BO279-(BO285*BO283)</f>
        <v>#DIV/0!</v>
      </c>
      <c r="BP281" s="261" t="e">
        <f>BP279-(BP285*BO283)</f>
        <v>#DIV/0!</v>
      </c>
      <c r="BQ281" s="28"/>
      <c r="BR281" s="261" t="e">
        <f>BR279-(BR285*BR283)</f>
        <v>#DIV/0!</v>
      </c>
      <c r="BS281" s="261" t="e">
        <f>BS279-(BS285*BR283)</f>
        <v>#DIV/0!</v>
      </c>
      <c r="BT281" s="28"/>
      <c r="BU281" s="261" t="e">
        <f>BU279-(BU285*BU283)</f>
        <v>#DIV/0!</v>
      </c>
      <c r="BV281" s="261" t="e">
        <f>BV279-(BV285*BU283)</f>
        <v>#DIV/0!</v>
      </c>
      <c r="BW281" s="28"/>
      <c r="BX281" s="91"/>
    </row>
    <row r="282" spans="1:76" s="55" customFormat="1" ht="14.25" x14ac:dyDescent="0.2">
      <c r="A282" s="195"/>
      <c r="B282" s="196"/>
      <c r="C282" s="195"/>
      <c r="D282" s="322"/>
      <c r="E282" s="323"/>
      <c r="F282" s="323"/>
      <c r="G282" s="323"/>
      <c r="H282" s="323"/>
      <c r="I282" s="323"/>
      <c r="J282" s="324"/>
      <c r="K282" s="122"/>
      <c r="L282" s="122"/>
      <c r="M282" s="122"/>
      <c r="N282" s="122"/>
      <c r="O282" s="122"/>
      <c r="P282" s="122"/>
      <c r="Q282" s="306" t="s">
        <v>151</v>
      </c>
      <c r="R282" s="257" t="e">
        <f>IF((0.67*R283)&gt;R279,"no","yes")</f>
        <v>#DIV/0!</v>
      </c>
      <c r="S282" s="257" t="e">
        <f>IF((0.67*S283)&gt;S279,"no","yes")</f>
        <v>#DIV/0!</v>
      </c>
      <c r="T282" s="257" t="e">
        <f>IF((0.67*T283)&gt;T279,"no","yes")</f>
        <v>#DIV/0!</v>
      </c>
      <c r="U282" s="122"/>
      <c r="V282" s="122"/>
      <c r="W282" s="122"/>
      <c r="Y282" s="260"/>
      <c r="AO282" s="91"/>
      <c r="AP282" s="122"/>
      <c r="AQ282" s="122"/>
      <c r="AR282" s="267" t="s">
        <v>152</v>
      </c>
      <c r="AS282" s="268"/>
      <c r="AT282" s="258">
        <v>1</v>
      </c>
      <c r="AU282" s="122"/>
      <c r="AV282" s="308"/>
      <c r="AW282" s="258">
        <v>1</v>
      </c>
      <c r="AX282" s="122"/>
      <c r="AY282" s="122"/>
      <c r="AZ282" s="258">
        <v>1</v>
      </c>
      <c r="BA282" s="122"/>
      <c r="BB282" s="122"/>
      <c r="BC282" s="258">
        <v>1</v>
      </c>
      <c r="BD282" s="122"/>
      <c r="BE282" s="122"/>
      <c r="BF282" s="258">
        <v>1</v>
      </c>
      <c r="BG282" s="122"/>
      <c r="BH282" s="122"/>
      <c r="BI282" s="258">
        <v>1</v>
      </c>
      <c r="BJ282" s="122"/>
      <c r="BK282" s="256"/>
      <c r="BL282" s="258">
        <v>1</v>
      </c>
      <c r="BM282" s="122"/>
      <c r="BN282" s="122"/>
      <c r="BO282" s="258">
        <v>1</v>
      </c>
      <c r="BP282" s="122"/>
      <c r="BQ282" s="122"/>
      <c r="BR282" s="258">
        <v>1</v>
      </c>
      <c r="BS282" s="122"/>
      <c r="BT282" s="122"/>
      <c r="BU282" s="258">
        <v>1</v>
      </c>
      <c r="BV282" s="122"/>
      <c r="BW282" s="122"/>
      <c r="BX282" s="91"/>
    </row>
    <row r="283" spans="1:76" s="55" customFormat="1" ht="28.5" x14ac:dyDescent="0.2">
      <c r="A283" s="270" t="e">
        <f ca="1">HYPERLINK("#"&amp;"'"&amp;A$1&amp;"'!a1","Back to top")</f>
        <v>#VALUE!</v>
      </c>
      <c r="B283" s="271"/>
      <c r="C283" s="195"/>
      <c r="D283" s="322"/>
      <c r="E283" s="323"/>
      <c r="F283" s="323"/>
      <c r="G283" s="323"/>
      <c r="H283" s="323"/>
      <c r="I283" s="323"/>
      <c r="J283" s="324"/>
      <c r="K283" s="122"/>
      <c r="L283" s="122"/>
      <c r="M283" s="122"/>
      <c r="N283" s="122"/>
      <c r="O283" s="122"/>
      <c r="P283" s="122"/>
      <c r="Q283" s="306" t="s">
        <v>157</v>
      </c>
      <c r="R283" s="257">
        <f>IF(COUNT(R259:R278)&gt;1,_xlfn.STDEV.S(R259:R278),0)</f>
        <v>0</v>
      </c>
      <c r="S283" s="257" t="e">
        <f t="array" ref="S283">IF(R287="Y",SQRT(SUM(IFERROR(N259:N278*(R259:R278-(S279))^2,0))/((COUNT(S259:S278)-1)/COUNT(S259:S278)*SUMPRODUCT(N259:N278,--ISNUMBER(S259:S278)))),_xlfn.STDEV.S(S259:S278))</f>
        <v>#DIV/0!</v>
      </c>
      <c r="T283" s="257" t="e">
        <f t="array" ref="T283">SQRT(SUM(IFERROR(N259:N278*(R259:R278-(T279))^2,0))/((COUNT(T259:T278)-1)/COUNT(T259:T278)*SUMPRODUCT(N259:N278,--ISNUMBER(T259:T278))))</f>
        <v>#DIV/0!</v>
      </c>
      <c r="U283" s="122"/>
      <c r="V283" s="122"/>
      <c r="W283" s="122"/>
      <c r="Y283" s="260"/>
      <c r="AO283" s="91"/>
      <c r="AP283" s="122"/>
      <c r="AQ283" s="122"/>
      <c r="AR283" s="267"/>
      <c r="AS283" s="268"/>
      <c r="AT283" s="258">
        <v>1</v>
      </c>
      <c r="AU283" s="122"/>
      <c r="AV283" s="308"/>
      <c r="AW283" s="258">
        <v>1</v>
      </c>
      <c r="AX283" s="122"/>
      <c r="AY283" s="122"/>
      <c r="AZ283" s="258">
        <v>1</v>
      </c>
      <c r="BA283" s="122"/>
      <c r="BB283" s="122"/>
      <c r="BC283" s="258">
        <v>1</v>
      </c>
      <c r="BD283" s="122"/>
      <c r="BE283" s="122"/>
      <c r="BF283" s="258">
        <v>1</v>
      </c>
      <c r="BG283" s="122"/>
      <c r="BH283" s="122"/>
      <c r="BI283" s="258">
        <v>1</v>
      </c>
      <c r="BJ283" s="122"/>
      <c r="BK283" s="256"/>
      <c r="BL283" s="258">
        <v>1</v>
      </c>
      <c r="BM283" s="122"/>
      <c r="BN283" s="122"/>
      <c r="BO283" s="258">
        <v>1</v>
      </c>
      <c r="BP283" s="122"/>
      <c r="BQ283" s="122"/>
      <c r="BR283" s="258">
        <v>1</v>
      </c>
      <c r="BS283" s="122"/>
      <c r="BT283" s="122"/>
      <c r="BU283" s="258">
        <v>1</v>
      </c>
      <c r="BV283" s="122"/>
      <c r="BW283" s="122"/>
      <c r="BX283" s="91"/>
    </row>
    <row r="284" spans="1:76" s="55" customFormat="1" ht="15" customHeight="1" x14ac:dyDescent="0.25">
      <c r="A284" s="195"/>
      <c r="B284" s="196"/>
      <c r="C284" s="195"/>
      <c r="D284" s="322"/>
      <c r="E284" s="323"/>
      <c r="F284" s="323"/>
      <c r="G284" s="323"/>
      <c r="H284" s="323"/>
      <c r="I284" s="323"/>
      <c r="J284" s="324"/>
      <c r="K284" s="122"/>
      <c r="L284" s="122"/>
      <c r="M284" s="122"/>
      <c r="N284" s="122"/>
      <c r="O284" s="122"/>
      <c r="P284" s="122"/>
      <c r="Q284" s="309" t="s">
        <v>159</v>
      </c>
      <c r="R284" s="310">
        <f>COUNT(R259:R278)</f>
        <v>0</v>
      </c>
      <c r="S284" s="310">
        <f>COUNT(S259:S278)</f>
        <v>0</v>
      </c>
      <c r="T284" s="118"/>
      <c r="U284" s="273" t="s">
        <v>155</v>
      </c>
      <c r="V284" s="122"/>
      <c r="W284" s="122"/>
      <c r="Y284" s="91"/>
      <c r="AO284" s="91"/>
      <c r="AP284" s="122"/>
      <c r="AQ284" s="122"/>
      <c r="AR284" s="122"/>
      <c r="AS284" s="256" t="s">
        <v>151</v>
      </c>
      <c r="AT284" s="261" t="e">
        <f>IF((0.67*AT285)&gt;AT279,"no","yes")</f>
        <v>#DIV/0!</v>
      </c>
      <c r="AU284" s="261" t="e">
        <f>IF((0.67*AU285)&gt;AU279,"no","yes")</f>
        <v>#DIV/0!</v>
      </c>
      <c r="AV284" s="256"/>
      <c r="AW284" s="261" t="e">
        <f>IF((0.67*AW285)&gt;AW279,"no","yes")</f>
        <v>#DIV/0!</v>
      </c>
      <c r="AX284" s="261" t="e">
        <f>IF((0.67*AX285)&gt;AX279,"no","yes")</f>
        <v>#DIV/0!</v>
      </c>
      <c r="AY284" s="122"/>
      <c r="AZ284" s="261" t="e">
        <f>IF((0.67*AZ285)&gt;AZ279,"no","yes")</f>
        <v>#DIV/0!</v>
      </c>
      <c r="BA284" s="261" t="e">
        <f>IF((0.67*BA285)&gt;BA279,"no","yes")</f>
        <v>#DIV/0!</v>
      </c>
      <c r="BB284" s="122"/>
      <c r="BC284" s="261" t="e">
        <f>IF((0.67*BC285)&gt;BC279,"no","yes")</f>
        <v>#DIV/0!</v>
      </c>
      <c r="BD284" s="261" t="e">
        <f>IF((0.67*BD285)&gt;BD279,"no","yes")</f>
        <v>#DIV/0!</v>
      </c>
      <c r="BE284" s="122"/>
      <c r="BF284" s="261" t="e">
        <f>IF((0.67*BF285)&gt;BF279,"no","yes")</f>
        <v>#DIV/0!</v>
      </c>
      <c r="BG284" s="261" t="e">
        <f>IF((0.67*BG285)&gt;BG279,"no","yes")</f>
        <v>#DIV/0!</v>
      </c>
      <c r="BH284" s="122"/>
      <c r="BI284" s="261" t="e">
        <f>IF((0.67*BI285)&gt;BI279,"no","yes")</f>
        <v>#DIV/0!</v>
      </c>
      <c r="BJ284" s="261" t="e">
        <f>IF((0.67*BJ285)&gt;BJ279,"no","yes")</f>
        <v>#DIV/0!</v>
      </c>
      <c r="BK284" s="133"/>
      <c r="BL284" s="261" t="e">
        <f>IF((0.67*BL285)&gt;BL279,"no","yes")</f>
        <v>#DIV/0!</v>
      </c>
      <c r="BM284" s="261" t="e">
        <f>IF((0.67*BM285)&gt;BM279,"no","yes")</f>
        <v>#DIV/0!</v>
      </c>
      <c r="BN284" s="122"/>
      <c r="BO284" s="261" t="e">
        <f>IF((0.67*BO285)&gt;BO279,"no","yes")</f>
        <v>#DIV/0!</v>
      </c>
      <c r="BP284" s="261" t="e">
        <f>IF((0.67*BP285)&gt;BP279,"no","yes")</f>
        <v>#DIV/0!</v>
      </c>
      <c r="BQ284" s="122"/>
      <c r="BR284" s="261" t="e">
        <f>IF((0.67*BR285)&gt;BR279,"no","yes")</f>
        <v>#DIV/0!</v>
      </c>
      <c r="BS284" s="261" t="e">
        <f>IF((0.67*BS285)&gt;BS279,"no","yes")</f>
        <v>#DIV/0!</v>
      </c>
      <c r="BT284" s="122"/>
      <c r="BU284" s="261" t="e">
        <f>IF((0.67*BU285)&gt;BU279,"no","yes")</f>
        <v>#DIV/0!</v>
      </c>
      <c r="BV284" s="261" t="e">
        <f>IF((0.67*BV285)&gt;BV279,"no","yes")</f>
        <v>#DIV/0!</v>
      </c>
      <c r="BW284" s="122"/>
      <c r="BX284" s="91"/>
    </row>
    <row r="285" spans="1:76" s="55" customFormat="1" ht="14.25" x14ac:dyDescent="0.2">
      <c r="B285" s="23"/>
      <c r="C285" s="195"/>
      <c r="D285" s="322"/>
      <c r="E285" s="323"/>
      <c r="F285" s="323"/>
      <c r="G285" s="323"/>
      <c r="H285" s="323"/>
      <c r="I285" s="323"/>
      <c r="J285" s="324"/>
      <c r="K285" s="122"/>
      <c r="L285" s="122"/>
      <c r="M285" s="122"/>
      <c r="N285" s="122"/>
      <c r="O285" s="122"/>
      <c r="P285" s="122"/>
      <c r="Q285" s="311"/>
      <c r="R285" s="122"/>
      <c r="S285" s="122"/>
      <c r="T285" s="122"/>
      <c r="U285" s="274"/>
      <c r="V285" s="275"/>
      <c r="W285" s="276"/>
      <c r="Y285" s="91"/>
      <c r="AO285" s="91"/>
      <c r="AP285" s="122"/>
      <c r="AQ285" s="122"/>
      <c r="AR285" s="122"/>
      <c r="AS285" s="256" t="s">
        <v>157</v>
      </c>
      <c r="AT285" s="261">
        <f>IF(AT286&gt;1,_xlfn.STDEV.S(AT259:AT278),0)</f>
        <v>0</v>
      </c>
      <c r="AU285" s="261">
        <f>IF(AU286&gt;1,_xlfn.STDEV.S(AU259:AU278),0)</f>
        <v>0</v>
      </c>
      <c r="AV285" s="122"/>
      <c r="AW285" s="261">
        <f t="shared" ref="AW285:AX285" si="211">IF(AW286&gt;1,_xlfn.STDEV.S(AW259:AW278),0)</f>
        <v>0</v>
      </c>
      <c r="AX285" s="261">
        <f t="shared" si="211"/>
        <v>0</v>
      </c>
      <c r="AY285" s="122"/>
      <c r="AZ285" s="261">
        <f t="shared" ref="AZ285:BA285" si="212">IF(AZ286&gt;1,_xlfn.STDEV.S(AZ259:AZ278),0)</f>
        <v>0</v>
      </c>
      <c r="BA285" s="261">
        <f t="shared" si="212"/>
        <v>0</v>
      </c>
      <c r="BB285" s="122"/>
      <c r="BC285" s="261">
        <f t="shared" ref="BC285:BD285" si="213">IF(BC286&gt;1,_xlfn.STDEV.S(BC259:BC278),0)</f>
        <v>0</v>
      </c>
      <c r="BD285" s="261">
        <f t="shared" si="213"/>
        <v>0</v>
      </c>
      <c r="BE285" s="122"/>
      <c r="BF285" s="261">
        <f t="shared" ref="BF285:BG285" si="214">IF(BF286&gt;1,_xlfn.STDEV.S(BF259:BF278),0)</f>
        <v>0</v>
      </c>
      <c r="BG285" s="261">
        <f t="shared" si="214"/>
        <v>0</v>
      </c>
      <c r="BH285" s="122"/>
      <c r="BI285" s="261">
        <f t="shared" ref="BI285:BJ285" si="215">IF(BI286&gt;1,_xlfn.STDEV.S(BI259:BI278),0)</f>
        <v>0</v>
      </c>
      <c r="BJ285" s="261">
        <f t="shared" si="215"/>
        <v>0</v>
      </c>
      <c r="BK285" s="122"/>
      <c r="BL285" s="261">
        <f t="shared" ref="BL285:BM285" si="216">IF(BL286&gt;1,_xlfn.STDEV.S(BL259:BL278),0)</f>
        <v>0</v>
      </c>
      <c r="BM285" s="261">
        <f t="shared" si="216"/>
        <v>0</v>
      </c>
      <c r="BN285" s="122"/>
      <c r="BO285" s="261">
        <f t="shared" ref="BO285:BP285" si="217">IF(BO286&gt;1,_xlfn.STDEV.S(BO259:BO278),0)</f>
        <v>0</v>
      </c>
      <c r="BP285" s="261">
        <f t="shared" si="217"/>
        <v>0</v>
      </c>
      <c r="BQ285" s="122"/>
      <c r="BR285" s="261">
        <f t="shared" ref="BR285:BS285" si="218">IF(BR286&gt;1,_xlfn.STDEV.S(BR259:BR278),0)</f>
        <v>0</v>
      </c>
      <c r="BS285" s="261">
        <f t="shared" si="218"/>
        <v>0</v>
      </c>
      <c r="BT285" s="122"/>
      <c r="BU285" s="261">
        <f t="shared" ref="BU285:BV285" si="219">IF(BU286&gt;1,_xlfn.STDEV.S(BU259:BU278),0)</f>
        <v>0</v>
      </c>
      <c r="BV285" s="261">
        <f t="shared" si="219"/>
        <v>0</v>
      </c>
      <c r="BW285" s="122"/>
      <c r="BX285" s="91"/>
    </row>
    <row r="286" spans="1:76" s="55" customFormat="1" x14ac:dyDescent="0.2">
      <c r="B286" s="23"/>
      <c r="C286" s="122"/>
      <c r="D286" s="325"/>
      <c r="E286" s="326"/>
      <c r="F286" s="326"/>
      <c r="G286" s="326"/>
      <c r="H286" s="326"/>
      <c r="I286" s="326"/>
      <c r="J286" s="327"/>
      <c r="Q286" s="81"/>
      <c r="R286" s="280" t="s">
        <v>158</v>
      </c>
      <c r="T286" s="122"/>
      <c r="U286" s="281"/>
      <c r="V286" s="282"/>
      <c r="W286" s="283"/>
      <c r="Y286" s="91"/>
      <c r="AO286" s="91"/>
      <c r="AP286" s="122"/>
      <c r="AQ286" s="122"/>
      <c r="AR286" s="122"/>
      <c r="AS286" s="133" t="s">
        <v>159</v>
      </c>
      <c r="AT286" s="284">
        <f>COUNT(AT259:AT278)</f>
        <v>0</v>
      </c>
      <c r="AU286" s="284">
        <f>COUNT(AU259:AU278)</f>
        <v>0</v>
      </c>
      <c r="AV286" s="122"/>
      <c r="AW286" s="284">
        <f t="shared" ref="AW286:AX286" si="220">COUNT(AW259:AW278)</f>
        <v>0</v>
      </c>
      <c r="AX286" s="284">
        <f t="shared" si="220"/>
        <v>0</v>
      </c>
      <c r="AY286" s="122"/>
      <c r="AZ286" s="284">
        <f t="shared" ref="AZ286:BA286" si="221">COUNT(AZ259:AZ278)</f>
        <v>0</v>
      </c>
      <c r="BA286" s="284">
        <f t="shared" si="221"/>
        <v>0</v>
      </c>
      <c r="BB286" s="122"/>
      <c r="BC286" s="284">
        <f t="shared" ref="BC286:BD286" si="222">COUNT(BC259:BC278)</f>
        <v>0</v>
      </c>
      <c r="BD286" s="284">
        <f t="shared" si="222"/>
        <v>0</v>
      </c>
      <c r="BE286" s="122"/>
      <c r="BF286" s="284">
        <f t="shared" ref="BF286:BG286" si="223">COUNT(BF259:BF278)</f>
        <v>0</v>
      </c>
      <c r="BG286" s="284">
        <f t="shared" si="223"/>
        <v>0</v>
      </c>
      <c r="BH286" s="122"/>
      <c r="BI286" s="284">
        <f t="shared" ref="BI286:BJ286" si="224">COUNT(BI259:BI278)</f>
        <v>0</v>
      </c>
      <c r="BJ286" s="284">
        <f t="shared" si="224"/>
        <v>0</v>
      </c>
      <c r="BK286" s="122"/>
      <c r="BL286" s="284">
        <f t="shared" ref="BL286:BM286" si="225">COUNT(BL259:BL278)</f>
        <v>0</v>
      </c>
      <c r="BM286" s="284">
        <f t="shared" si="225"/>
        <v>0</v>
      </c>
      <c r="BN286" s="122"/>
      <c r="BO286" s="284">
        <f t="shared" ref="BO286:BP286" si="226">COUNT(BO259:BO278)</f>
        <v>0</v>
      </c>
      <c r="BP286" s="284">
        <f t="shared" si="226"/>
        <v>0</v>
      </c>
      <c r="BQ286" s="122"/>
      <c r="BR286" s="284">
        <f t="shared" ref="BR286:BS286" si="227">COUNT(BR259:BR278)</f>
        <v>0</v>
      </c>
      <c r="BS286" s="284">
        <f t="shared" si="227"/>
        <v>0</v>
      </c>
      <c r="BT286" s="122"/>
      <c r="BU286" s="284">
        <f t="shared" ref="BU286:BV286" si="228">COUNT(BU259:BU278)</f>
        <v>0</v>
      </c>
      <c r="BV286" s="284">
        <f t="shared" si="228"/>
        <v>0</v>
      </c>
      <c r="BW286" s="122"/>
      <c r="BX286" s="91"/>
    </row>
    <row r="287" spans="1:76" s="55" customFormat="1" ht="14.25" x14ac:dyDescent="0.2">
      <c r="B287" s="23"/>
      <c r="C287" s="122"/>
      <c r="D287" s="314"/>
      <c r="E287" s="314"/>
      <c r="F287" s="314"/>
      <c r="G287" s="314"/>
      <c r="H287" s="314"/>
      <c r="I287" s="314"/>
      <c r="J287" s="314"/>
      <c r="Q287" s="81"/>
      <c r="R287" s="287" t="s">
        <v>149</v>
      </c>
      <c r="T287" s="122"/>
      <c r="U287" s="281"/>
      <c r="V287" s="282"/>
      <c r="W287" s="283"/>
      <c r="Y287" s="91"/>
      <c r="AO287" s="91"/>
      <c r="AP287" s="122"/>
      <c r="AQ287" s="122"/>
      <c r="AR287" s="122"/>
      <c r="AS287" s="133"/>
      <c r="AV287" s="133"/>
      <c r="AW287" s="195"/>
      <c r="AX287" s="195"/>
      <c r="AY287" s="122"/>
      <c r="AZ287" s="195"/>
      <c r="BA287" s="195"/>
      <c r="BB287" s="122"/>
      <c r="BC287" s="195"/>
      <c r="BD287" s="195"/>
      <c r="BE287" s="122"/>
      <c r="BF287" s="195"/>
      <c r="BG287" s="195"/>
      <c r="BH287" s="122"/>
      <c r="BI287" s="195"/>
      <c r="BJ287" s="195"/>
      <c r="BK287" s="122"/>
      <c r="BL287" s="195"/>
      <c r="BM287" s="195"/>
      <c r="BN287" s="122"/>
      <c r="BO287" s="195"/>
      <c r="BP287" s="195"/>
      <c r="BQ287" s="122"/>
      <c r="BR287" s="195"/>
      <c r="BS287" s="195"/>
      <c r="BT287" s="122"/>
      <c r="BU287" s="195"/>
      <c r="BV287" s="195"/>
      <c r="BX287" s="91"/>
    </row>
    <row r="288" spans="1:76" s="55" customFormat="1" ht="14.25" x14ac:dyDescent="0.2">
      <c r="B288" s="23"/>
      <c r="C288" s="122"/>
      <c r="D288" s="314"/>
      <c r="E288" s="314"/>
      <c r="F288" s="314"/>
      <c r="G288" s="314"/>
      <c r="H288" s="314"/>
      <c r="I288" s="314"/>
      <c r="J288" s="314"/>
      <c r="Q288" s="81"/>
      <c r="T288" s="122"/>
      <c r="U288" s="288"/>
      <c r="V288" s="289"/>
      <c r="W288" s="290"/>
      <c r="Y288" s="91"/>
      <c r="AO288" s="91"/>
      <c r="AP288" s="122"/>
      <c r="AQ288" s="122"/>
      <c r="AR288" s="122"/>
      <c r="AS288" s="133"/>
      <c r="AT288" s="133"/>
      <c r="AU288" s="133"/>
      <c r="AV288" s="133"/>
      <c r="BX288" s="91"/>
    </row>
    <row r="289" spans="1:76" s="55" customFormat="1" ht="18" x14ac:dyDescent="0.25">
      <c r="B289" s="23"/>
      <c r="Q289" s="81"/>
      <c r="T289" s="122"/>
      <c r="U289" s="122"/>
      <c r="V289" s="122"/>
      <c r="W289" s="122"/>
      <c r="Y289" s="91"/>
      <c r="AO289" s="296"/>
      <c r="BX289" s="296"/>
    </row>
    <row r="290" spans="1:76" s="55" customFormat="1" ht="14.25" x14ac:dyDescent="0.2">
      <c r="B290" s="23"/>
      <c r="Q290" s="81"/>
      <c r="Y290" s="91"/>
      <c r="AO290" s="91"/>
      <c r="BX290" s="91"/>
    </row>
    <row r="291" spans="1:76" s="55" customFormat="1" ht="14.25" x14ac:dyDescent="0.2">
      <c r="B291" s="23"/>
      <c r="Q291" s="81"/>
      <c r="Y291" s="91"/>
      <c r="AO291" s="91"/>
      <c r="BX291" s="91"/>
    </row>
    <row r="292" spans="1:76" s="139" customFormat="1" ht="18" x14ac:dyDescent="0.25">
      <c r="A292" s="188">
        <f>A256+1</f>
        <v>8</v>
      </c>
      <c r="B292" s="189"/>
      <c r="C292" s="293" t="s">
        <v>173</v>
      </c>
      <c r="D292" s="328"/>
      <c r="E292" s="328"/>
      <c r="F292" s="328"/>
      <c r="G292" s="191"/>
      <c r="J292" s="328"/>
      <c r="K292" s="328"/>
      <c r="Q292" s="316"/>
      <c r="R292" s="194" t="s">
        <v>93</v>
      </c>
      <c r="S292" s="194"/>
      <c r="T292" s="194"/>
      <c r="U292" s="194"/>
      <c r="AP292" s="295">
        <f>A292</f>
        <v>8</v>
      </c>
      <c r="AQ292" s="295" t="str">
        <f>C292</f>
        <v>CONVENTIONAL VARIABLE Operating Cost per Functional Unit</v>
      </c>
      <c r="AR292" s="296"/>
      <c r="AS292" s="296"/>
      <c r="AT292" s="296"/>
      <c r="AU292" s="296"/>
      <c r="AV292" s="296"/>
      <c r="AW292" s="296"/>
      <c r="AX292" s="296"/>
      <c r="AY292" s="296"/>
      <c r="AZ292" s="296"/>
      <c r="BA292" s="296"/>
      <c r="BB292" s="296"/>
      <c r="BC292" s="296"/>
      <c r="BD292" s="296"/>
      <c r="BE292" s="296"/>
      <c r="BF292" s="296"/>
      <c r="BG292" s="296"/>
      <c r="BH292" s="296"/>
      <c r="BI292" s="296"/>
      <c r="BJ292" s="296"/>
      <c r="BK292" s="296"/>
      <c r="BL292" s="296"/>
      <c r="BM292" s="296"/>
      <c r="BN292" s="296"/>
      <c r="BO292" s="296"/>
      <c r="BP292" s="296"/>
      <c r="BQ292" s="296"/>
      <c r="BR292" s="296"/>
      <c r="BS292" s="296"/>
      <c r="BT292" s="296"/>
      <c r="BU292" s="296"/>
      <c r="BV292" s="296"/>
      <c r="BW292" s="296"/>
    </row>
    <row r="293" spans="1:76" s="122" customFormat="1" x14ac:dyDescent="0.25">
      <c r="A293" s="195"/>
      <c r="B293" s="196"/>
      <c r="C293" s="195"/>
      <c r="D293" s="120"/>
      <c r="E293" s="120"/>
      <c r="F293" s="120"/>
      <c r="G293" s="120"/>
      <c r="J293" s="120"/>
      <c r="K293" s="120"/>
      <c r="Q293" s="311"/>
      <c r="Y293" s="139"/>
      <c r="AO293" s="139"/>
      <c r="AP293" s="28"/>
      <c r="AQ293" s="28"/>
      <c r="AR293" s="28"/>
      <c r="AS293" s="28"/>
      <c r="AT293" s="198" t="s">
        <v>171</v>
      </c>
      <c r="AU293" s="198"/>
      <c r="AV293" s="28"/>
      <c r="AW293" s="198" t="s">
        <v>96</v>
      </c>
      <c r="AX293" s="198"/>
      <c r="AY293" s="28"/>
      <c r="AZ293" s="198" t="s">
        <v>97</v>
      </c>
      <c r="BA293" s="198"/>
      <c r="BB293" s="28"/>
      <c r="BC293" s="198" t="s">
        <v>98</v>
      </c>
      <c r="BD293" s="198"/>
      <c r="BE293" s="28"/>
      <c r="BF293" s="198" t="s">
        <v>99</v>
      </c>
      <c r="BG293" s="198"/>
      <c r="BH293" s="28"/>
      <c r="BI293" s="198" t="s">
        <v>100</v>
      </c>
      <c r="BJ293" s="198"/>
      <c r="BK293" s="28"/>
      <c r="BL293" s="198" t="s">
        <v>101</v>
      </c>
      <c r="BM293" s="198"/>
      <c r="BN293" s="28"/>
      <c r="BO293" s="198" t="s">
        <v>102</v>
      </c>
      <c r="BP293" s="198"/>
      <c r="BQ293" s="28"/>
      <c r="BR293" s="198" t="s">
        <v>103</v>
      </c>
      <c r="BS293" s="198"/>
      <c r="BT293" s="28"/>
      <c r="BU293" s="198" t="s">
        <v>104</v>
      </c>
      <c r="BV293" s="198"/>
      <c r="BW293" s="28"/>
      <c r="BX293" s="139"/>
    </row>
    <row r="294" spans="1:76" s="122" customFormat="1" ht="30.75" thickBot="1" x14ac:dyDescent="0.3">
      <c r="A294" s="199" t="s">
        <v>105</v>
      </c>
      <c r="B294" s="200" t="s">
        <v>106</v>
      </c>
      <c r="C294" s="201" t="s">
        <v>107</v>
      </c>
      <c r="D294" s="202" t="s">
        <v>108</v>
      </c>
      <c r="E294" s="202" t="s">
        <v>109</v>
      </c>
      <c r="F294" s="201" t="s">
        <v>110</v>
      </c>
      <c r="G294" s="201" t="s">
        <v>111</v>
      </c>
      <c r="H294" s="202" t="s">
        <v>112</v>
      </c>
      <c r="I294" s="203" t="s">
        <v>113</v>
      </c>
      <c r="J294" s="204" t="s">
        <v>114</v>
      </c>
      <c r="K294" s="205" t="s">
        <v>115</v>
      </c>
      <c r="L294" s="302" t="s">
        <v>116</v>
      </c>
      <c r="M294" s="207" t="s">
        <v>117</v>
      </c>
      <c r="N294" s="208" t="s">
        <v>118</v>
      </c>
      <c r="O294" s="208" t="s">
        <v>119</v>
      </c>
      <c r="P294" s="210"/>
      <c r="Q294" s="211" t="s">
        <v>120</v>
      </c>
      <c r="R294" s="212" t="s">
        <v>121</v>
      </c>
      <c r="S294" s="212" t="s">
        <v>122</v>
      </c>
      <c r="T294" s="212" t="s">
        <v>123</v>
      </c>
      <c r="U294" s="213" t="s">
        <v>124</v>
      </c>
      <c r="V294" s="210"/>
      <c r="W294" s="210"/>
      <c r="Y294" s="139"/>
      <c r="AO294" s="139"/>
      <c r="AP294" s="210"/>
      <c r="AQ294" s="210"/>
      <c r="AR294" s="213" t="s">
        <v>125</v>
      </c>
      <c r="AS294" s="210"/>
      <c r="AT294" s="215" t="s">
        <v>121</v>
      </c>
      <c r="AU294" s="215" t="s">
        <v>122</v>
      </c>
      <c r="AV294" s="210"/>
      <c r="AW294" s="215" t="s">
        <v>121</v>
      </c>
      <c r="AX294" s="215" t="s">
        <v>122</v>
      </c>
      <c r="AY294" s="210"/>
      <c r="AZ294" s="215" t="s">
        <v>121</v>
      </c>
      <c r="BA294" s="215" t="s">
        <v>122</v>
      </c>
      <c r="BB294" s="210"/>
      <c r="BC294" s="215" t="s">
        <v>121</v>
      </c>
      <c r="BD294" s="215" t="s">
        <v>122</v>
      </c>
      <c r="BE294" s="210"/>
      <c r="BF294" s="215" t="s">
        <v>121</v>
      </c>
      <c r="BG294" s="215" t="s">
        <v>122</v>
      </c>
      <c r="BH294" s="210"/>
      <c r="BI294" s="215" t="s">
        <v>121</v>
      </c>
      <c r="BJ294" s="215" t="s">
        <v>122</v>
      </c>
      <c r="BK294" s="210"/>
      <c r="BL294" s="215" t="s">
        <v>121</v>
      </c>
      <c r="BM294" s="215" t="s">
        <v>122</v>
      </c>
      <c r="BN294" s="210"/>
      <c r="BO294" s="215" t="s">
        <v>121</v>
      </c>
      <c r="BP294" s="215" t="s">
        <v>122</v>
      </c>
      <c r="BQ294" s="210"/>
      <c r="BR294" s="215" t="s">
        <v>121</v>
      </c>
      <c r="BS294" s="215" t="s">
        <v>122</v>
      </c>
      <c r="BT294" s="210"/>
      <c r="BU294" s="215" t="s">
        <v>121</v>
      </c>
      <c r="BV294" s="215" t="s">
        <v>122</v>
      </c>
      <c r="BW294" s="210"/>
      <c r="BX294" s="139"/>
    </row>
    <row r="295" spans="1:76" s="122" customFormat="1" x14ac:dyDescent="0.25">
      <c r="A295" s="195">
        <v>1</v>
      </c>
      <c r="B295" s="216" t="str">
        <f t="shared" ref="B295:B314" si="229">CONCATENATE(E295,": ",C295)</f>
        <v>OECD90: IFCN 2014 Report</v>
      </c>
      <c r="C295" s="227" t="s">
        <v>174</v>
      </c>
      <c r="D295" s="227" t="s">
        <v>175</v>
      </c>
      <c r="E295" s="329" t="s">
        <v>96</v>
      </c>
      <c r="F295" s="330" t="s">
        <v>176</v>
      </c>
      <c r="G295" s="220" t="s">
        <v>26</v>
      </c>
      <c r="H295" s="221">
        <v>2013</v>
      </c>
      <c r="I295" s="331"/>
      <c r="J295" s="332">
        <v>29.89</v>
      </c>
      <c r="K295" s="333" t="s">
        <v>177</v>
      </c>
      <c r="L295" s="334">
        <f>(J295*$AB$11/3.2)</f>
        <v>9.5274374999999996</v>
      </c>
      <c r="M295" s="335" t="str">
        <f t="shared" ref="M295:M314" si="230">CONCATENATE("US$2014/ ",FunctionalUnitOfMeasure)</f>
        <v>US$2014/ kg of protein</v>
      </c>
      <c r="N295" s="227"/>
      <c r="O295" s="227" t="s">
        <v>178</v>
      </c>
      <c r="Q295" s="228"/>
      <c r="R295" s="231">
        <f>IF(Q295="Y","",IF(AND(L295="",J295=""),"",IF(L295="",J295,L295)))</f>
        <v>9.5274374999999996</v>
      </c>
      <c r="S295" s="230">
        <f t="shared" ref="S295:S314" si="231">IF(R295="","",IF($R$323="Y",T295,IF(R295&gt;=$R$315-$AA$35*$R$319,IF(R295&lt;=$R$315+$AA$35*$R$319,R295,""),"")))</f>
        <v>9.5274374999999996</v>
      </c>
      <c r="T295" s="231">
        <f>IF(OR(Q295="Y",IFERROR(R295&gt;R315+R319*$AA$35,0),IFERROR(R295&lt;R315-R319*$AA$35,0)),"",IFERROR(R295*N295,""))</f>
        <v>0</v>
      </c>
      <c r="U295" s="232" t="str">
        <f t="shared" ref="U295:U314" si="232">IF(AND(M295="",K295=""),"",IF(M295="",K295,M295))</f>
        <v>US$2014/ kg of protein</v>
      </c>
      <c r="V295" s="28"/>
      <c r="W295" s="28"/>
      <c r="Y295" s="139"/>
      <c r="AO295" s="139"/>
      <c r="AP295" s="28"/>
      <c r="AQ295" s="28"/>
      <c r="AR295" s="233" t="str">
        <f>$U295</f>
        <v>US$2014/ kg of protein</v>
      </c>
      <c r="AS295" s="28"/>
      <c r="AT295" s="304" t="str">
        <f>IF($E295=$AT$47,R295,"")</f>
        <v/>
      </c>
      <c r="AU295" s="304" t="str">
        <f>IF($E295=$AT$47,S295,"")</f>
        <v/>
      </c>
      <c r="AV295" s="28"/>
      <c r="AW295" s="304">
        <f t="shared" ref="AW295:AX314" si="233">IF($E295=$AW$83,R295,"")</f>
        <v>9.5274374999999996</v>
      </c>
      <c r="AX295" s="304">
        <f t="shared" si="233"/>
        <v>9.5274374999999996</v>
      </c>
      <c r="AY295" s="28"/>
      <c r="AZ295" s="304" t="str">
        <f t="shared" ref="AZ295:BA314" si="234">IF($E295=$AZ$83,R295,"")</f>
        <v/>
      </c>
      <c r="BA295" s="304" t="str">
        <f t="shared" si="234"/>
        <v/>
      </c>
      <c r="BB295" s="28"/>
      <c r="BC295" s="304" t="str">
        <f t="shared" ref="BC295:BD314" si="235">IF($E295=$BC$83,R295,"")</f>
        <v/>
      </c>
      <c r="BD295" s="304" t="str">
        <f t="shared" si="235"/>
        <v/>
      </c>
      <c r="BE295" s="28"/>
      <c r="BF295" s="304" t="str">
        <f t="shared" ref="BF295:BG314" si="236">IF($E295=$BF$83,R295,"")</f>
        <v/>
      </c>
      <c r="BG295" s="304" t="str">
        <f t="shared" si="236"/>
        <v/>
      </c>
      <c r="BH295" s="28"/>
      <c r="BI295" s="304" t="str">
        <f t="shared" ref="BI295:BJ314" si="237">IF($E295=$BI$83,R295,"")</f>
        <v/>
      </c>
      <c r="BJ295" s="304" t="str">
        <f t="shared" si="237"/>
        <v/>
      </c>
      <c r="BK295" s="28"/>
      <c r="BL295" s="304" t="str">
        <f t="shared" ref="BL295:BM314" si="238">IF($E295=$BL$83,R295,"")</f>
        <v/>
      </c>
      <c r="BM295" s="304" t="str">
        <f t="shared" si="238"/>
        <v/>
      </c>
      <c r="BN295" s="28"/>
      <c r="BO295" s="304" t="str">
        <f t="shared" ref="BO295:BP314" si="239">IF($E295=$BO$83,R295,"")</f>
        <v/>
      </c>
      <c r="BP295" s="304" t="str">
        <f t="shared" si="239"/>
        <v/>
      </c>
      <c r="BQ295" s="28"/>
      <c r="BR295" s="304" t="str">
        <f t="shared" ref="BR295:BS314" si="240">IF($E295=$BR$83,R295,"")</f>
        <v/>
      </c>
      <c r="BS295" s="304" t="str">
        <f t="shared" si="240"/>
        <v/>
      </c>
      <c r="BT295" s="28"/>
      <c r="BU295" s="304" t="str">
        <f t="shared" ref="BU295:BV314" si="241">IF($E295=$BU$83,R295,"")</f>
        <v/>
      </c>
      <c r="BV295" s="304" t="str">
        <f t="shared" si="241"/>
        <v/>
      </c>
      <c r="BW295" s="28"/>
      <c r="BX295" s="139"/>
    </row>
    <row r="296" spans="1:76" s="122" customFormat="1" x14ac:dyDescent="0.25">
      <c r="A296" s="195">
        <v>2</v>
      </c>
      <c r="B296" s="216" t="str">
        <f t="shared" si="229"/>
        <v>OECD90: IFCN 2014 Report</v>
      </c>
      <c r="C296" s="227" t="s">
        <v>174</v>
      </c>
      <c r="D296" s="227" t="s">
        <v>175</v>
      </c>
      <c r="E296" s="329" t="s">
        <v>96</v>
      </c>
      <c r="F296" s="330" t="s">
        <v>179</v>
      </c>
      <c r="G296" s="220" t="s">
        <v>26</v>
      </c>
      <c r="H296" s="221">
        <v>2013</v>
      </c>
      <c r="I296" s="331"/>
      <c r="J296" s="332">
        <v>28.05</v>
      </c>
      <c r="K296" s="333" t="s">
        <v>177</v>
      </c>
      <c r="L296" s="334">
        <f t="shared" ref="L296:L314" si="242">(J296*$AB$11/3.2)</f>
        <v>8.9409375000000004</v>
      </c>
      <c r="M296" s="335" t="str">
        <f t="shared" si="230"/>
        <v>US$2014/ kg of protein</v>
      </c>
      <c r="N296" s="227"/>
      <c r="O296" s="227" t="s">
        <v>178</v>
      </c>
      <c r="Q296" s="228"/>
      <c r="R296" s="231">
        <f t="shared" ref="R296:R314" si="243">IF(Q296="Y","",IF(AND(L296="",J296=""),"",IF(L296="",J296,L296)))</f>
        <v>8.9409375000000004</v>
      </c>
      <c r="S296" s="230">
        <f t="shared" si="231"/>
        <v>8.9409375000000004</v>
      </c>
      <c r="T296" s="231">
        <f>IF(OR(Q296="Y",IFERROR(R296&gt;R315+R319*$AA$35,0),IFERROR(R296&lt;R315-R319*$AA$35,0)),"",IFERROR(R296*N296,""))</f>
        <v>0</v>
      </c>
      <c r="U296" s="232" t="str">
        <f t="shared" si="232"/>
        <v>US$2014/ kg of protein</v>
      </c>
      <c r="V296" s="28"/>
      <c r="W296" s="28"/>
      <c r="Y296" s="139"/>
      <c r="AO296" s="139"/>
      <c r="AP296" s="28"/>
      <c r="AQ296" s="28"/>
      <c r="AR296" s="237"/>
      <c r="AS296" s="28"/>
      <c r="AT296" s="304" t="str">
        <f t="shared" ref="AT296:AU314" si="244">IF($E296=$AT$47,R296,"")</f>
        <v/>
      </c>
      <c r="AU296" s="304" t="str">
        <f t="shared" si="244"/>
        <v/>
      </c>
      <c r="AV296" s="28"/>
      <c r="AW296" s="304">
        <f t="shared" si="233"/>
        <v>8.9409375000000004</v>
      </c>
      <c r="AX296" s="304">
        <f t="shared" si="233"/>
        <v>8.9409375000000004</v>
      </c>
      <c r="AY296" s="28"/>
      <c r="AZ296" s="304" t="str">
        <f t="shared" si="234"/>
        <v/>
      </c>
      <c r="BA296" s="304" t="str">
        <f t="shared" si="234"/>
        <v/>
      </c>
      <c r="BB296" s="28"/>
      <c r="BC296" s="304" t="str">
        <f t="shared" si="235"/>
        <v/>
      </c>
      <c r="BD296" s="304" t="str">
        <f t="shared" si="235"/>
        <v/>
      </c>
      <c r="BE296" s="28"/>
      <c r="BF296" s="304" t="str">
        <f t="shared" si="236"/>
        <v/>
      </c>
      <c r="BG296" s="304" t="str">
        <f t="shared" si="236"/>
        <v/>
      </c>
      <c r="BH296" s="28"/>
      <c r="BI296" s="304" t="str">
        <f t="shared" si="237"/>
        <v/>
      </c>
      <c r="BJ296" s="304" t="str">
        <f t="shared" si="237"/>
        <v/>
      </c>
      <c r="BK296" s="28"/>
      <c r="BL296" s="304" t="str">
        <f t="shared" si="238"/>
        <v/>
      </c>
      <c r="BM296" s="304" t="str">
        <f t="shared" si="238"/>
        <v/>
      </c>
      <c r="BN296" s="28"/>
      <c r="BO296" s="304" t="str">
        <f t="shared" si="239"/>
        <v/>
      </c>
      <c r="BP296" s="304" t="str">
        <f t="shared" si="239"/>
        <v/>
      </c>
      <c r="BQ296" s="28"/>
      <c r="BR296" s="304" t="str">
        <f t="shared" si="240"/>
        <v/>
      </c>
      <c r="BS296" s="304" t="str">
        <f t="shared" si="240"/>
        <v/>
      </c>
      <c r="BT296" s="28"/>
      <c r="BU296" s="304" t="str">
        <f t="shared" si="241"/>
        <v/>
      </c>
      <c r="BV296" s="304" t="str">
        <f t="shared" si="241"/>
        <v/>
      </c>
      <c r="BW296" s="28"/>
      <c r="BX296" s="139"/>
    </row>
    <row r="297" spans="1:76" s="122" customFormat="1" x14ac:dyDescent="0.25">
      <c r="A297" s="195">
        <v>3</v>
      </c>
      <c r="B297" s="216" t="str">
        <f>CONCATENATE(E297,": ",C297)</f>
        <v>Middle East and Africa: IFCN 2014 Report</v>
      </c>
      <c r="C297" s="227" t="s">
        <v>174</v>
      </c>
      <c r="D297" s="227" t="s">
        <v>175</v>
      </c>
      <c r="E297" s="329" t="s">
        <v>99</v>
      </c>
      <c r="F297" s="330" t="s">
        <v>180</v>
      </c>
      <c r="G297" s="220" t="s">
        <v>26</v>
      </c>
      <c r="H297" s="221">
        <v>2013</v>
      </c>
      <c r="I297" s="331"/>
      <c r="J297" s="332">
        <v>39.75</v>
      </c>
      <c r="K297" s="333" t="s">
        <v>177</v>
      </c>
      <c r="L297" s="334">
        <f t="shared" si="242"/>
        <v>12.6703125</v>
      </c>
      <c r="M297" s="335" t="str">
        <f t="shared" si="230"/>
        <v>US$2014/ kg of protein</v>
      </c>
      <c r="N297" s="227"/>
      <c r="O297" s="227" t="s">
        <v>178</v>
      </c>
      <c r="Q297" s="228"/>
      <c r="R297" s="231">
        <f t="shared" si="243"/>
        <v>12.6703125</v>
      </c>
      <c r="S297" s="230">
        <f t="shared" si="231"/>
        <v>12.6703125</v>
      </c>
      <c r="T297" s="231">
        <f>IF(OR(Q297="Y",IFERROR(R297&gt;R315+R319*$AA$35,0),IFERROR(R297&lt;R315-R319*$AA$35,0)),"",IFERROR(R297*N297,""))</f>
        <v>0</v>
      </c>
      <c r="U297" s="232" t="str">
        <f t="shared" si="232"/>
        <v>US$2014/ kg of protein</v>
      </c>
      <c r="V297" s="28"/>
      <c r="W297" s="28"/>
      <c r="Y297" s="139"/>
      <c r="AO297" s="139"/>
      <c r="AP297" s="28"/>
      <c r="AQ297" s="28"/>
      <c r="AR297" s="237"/>
      <c r="AS297" s="28"/>
      <c r="AT297" s="304" t="str">
        <f t="shared" si="244"/>
        <v/>
      </c>
      <c r="AU297" s="304" t="str">
        <f t="shared" si="244"/>
        <v/>
      </c>
      <c r="AV297" s="28"/>
      <c r="AW297" s="304" t="str">
        <f t="shared" si="233"/>
        <v/>
      </c>
      <c r="AX297" s="304" t="str">
        <f t="shared" si="233"/>
        <v/>
      </c>
      <c r="AY297" s="28"/>
      <c r="AZ297" s="304" t="str">
        <f t="shared" si="234"/>
        <v/>
      </c>
      <c r="BA297" s="304" t="str">
        <f t="shared" si="234"/>
        <v/>
      </c>
      <c r="BB297" s="28"/>
      <c r="BC297" s="304" t="str">
        <f t="shared" si="235"/>
        <v/>
      </c>
      <c r="BD297" s="304" t="str">
        <f t="shared" si="235"/>
        <v/>
      </c>
      <c r="BE297" s="28"/>
      <c r="BF297" s="304">
        <f t="shared" si="236"/>
        <v>12.6703125</v>
      </c>
      <c r="BG297" s="304">
        <f t="shared" si="236"/>
        <v>12.6703125</v>
      </c>
      <c r="BH297" s="28"/>
      <c r="BI297" s="304" t="str">
        <f t="shared" si="237"/>
        <v/>
      </c>
      <c r="BJ297" s="304" t="str">
        <f t="shared" si="237"/>
        <v/>
      </c>
      <c r="BK297" s="28"/>
      <c r="BL297" s="304" t="str">
        <f t="shared" si="238"/>
        <v/>
      </c>
      <c r="BM297" s="304" t="str">
        <f t="shared" si="238"/>
        <v/>
      </c>
      <c r="BN297" s="28"/>
      <c r="BO297" s="304" t="str">
        <f t="shared" si="239"/>
        <v/>
      </c>
      <c r="BP297" s="304" t="str">
        <f t="shared" si="239"/>
        <v/>
      </c>
      <c r="BQ297" s="28"/>
      <c r="BR297" s="304" t="str">
        <f t="shared" si="240"/>
        <v/>
      </c>
      <c r="BS297" s="304" t="str">
        <f t="shared" si="240"/>
        <v/>
      </c>
      <c r="BT297" s="28"/>
      <c r="BU297" s="304" t="str">
        <f t="shared" si="241"/>
        <v/>
      </c>
      <c r="BV297" s="304" t="str">
        <f t="shared" si="241"/>
        <v/>
      </c>
      <c r="BW297" s="28"/>
      <c r="BX297" s="139"/>
    </row>
    <row r="298" spans="1:76" s="122" customFormat="1" x14ac:dyDescent="0.25">
      <c r="A298" s="195">
        <v>4</v>
      </c>
      <c r="B298" s="216" t="str">
        <f t="shared" si="229"/>
        <v>Middle East and Africa: IFCN 2014 Report</v>
      </c>
      <c r="C298" s="227" t="s">
        <v>174</v>
      </c>
      <c r="D298" s="227" t="s">
        <v>175</v>
      </c>
      <c r="E298" s="329" t="s">
        <v>99</v>
      </c>
      <c r="F298" s="330" t="s">
        <v>181</v>
      </c>
      <c r="G298" s="220" t="s">
        <v>26</v>
      </c>
      <c r="H298" s="221">
        <v>2013</v>
      </c>
      <c r="I298" s="331"/>
      <c r="J298" s="332">
        <v>19.52</v>
      </c>
      <c r="K298" s="333" t="s">
        <v>177</v>
      </c>
      <c r="L298" s="334">
        <f t="shared" si="242"/>
        <v>6.2219999999999995</v>
      </c>
      <c r="M298" s="335" t="str">
        <f t="shared" si="230"/>
        <v>US$2014/ kg of protein</v>
      </c>
      <c r="N298" s="227"/>
      <c r="O298" s="227" t="s">
        <v>178</v>
      </c>
      <c r="Q298" s="228"/>
      <c r="R298" s="231">
        <f t="shared" si="243"/>
        <v>6.2219999999999995</v>
      </c>
      <c r="S298" s="230">
        <f t="shared" si="231"/>
        <v>6.2219999999999995</v>
      </c>
      <c r="T298" s="231">
        <f>IF(OR(Q298="Y",IFERROR(R298&gt;R315+R319*$AA$35,0),IFERROR(R298&lt;R315-R319*$AA$35,0)),"",IFERROR(R298*N298,""))</f>
        <v>0</v>
      </c>
      <c r="U298" s="232" t="str">
        <f t="shared" si="232"/>
        <v>US$2014/ kg of protein</v>
      </c>
      <c r="V298" s="28"/>
      <c r="W298" s="28"/>
      <c r="Y298" s="139"/>
      <c r="AO298" s="139"/>
      <c r="AP298" s="28"/>
      <c r="AQ298" s="28"/>
      <c r="AR298" s="237"/>
      <c r="AS298" s="28"/>
      <c r="AT298" s="304" t="str">
        <f t="shared" si="244"/>
        <v/>
      </c>
      <c r="AU298" s="304" t="str">
        <f t="shared" si="244"/>
        <v/>
      </c>
      <c r="AV298" s="28"/>
      <c r="AW298" s="304" t="str">
        <f t="shared" si="233"/>
        <v/>
      </c>
      <c r="AX298" s="304" t="str">
        <f t="shared" si="233"/>
        <v/>
      </c>
      <c r="AY298" s="28"/>
      <c r="AZ298" s="304" t="str">
        <f t="shared" si="234"/>
        <v/>
      </c>
      <c r="BA298" s="304" t="str">
        <f t="shared" si="234"/>
        <v/>
      </c>
      <c r="BB298" s="28"/>
      <c r="BC298" s="304" t="str">
        <f t="shared" si="235"/>
        <v/>
      </c>
      <c r="BD298" s="304" t="str">
        <f t="shared" si="235"/>
        <v/>
      </c>
      <c r="BE298" s="28"/>
      <c r="BF298" s="304">
        <f t="shared" si="236"/>
        <v>6.2219999999999995</v>
      </c>
      <c r="BG298" s="304">
        <f t="shared" si="236"/>
        <v>6.2219999999999995</v>
      </c>
      <c r="BH298" s="28"/>
      <c r="BI298" s="304" t="str">
        <f t="shared" si="237"/>
        <v/>
      </c>
      <c r="BJ298" s="304" t="str">
        <f t="shared" si="237"/>
        <v/>
      </c>
      <c r="BK298" s="28"/>
      <c r="BL298" s="304" t="str">
        <f t="shared" si="238"/>
        <v/>
      </c>
      <c r="BM298" s="304" t="str">
        <f t="shared" si="238"/>
        <v/>
      </c>
      <c r="BN298" s="28"/>
      <c r="BO298" s="304" t="str">
        <f t="shared" si="239"/>
        <v/>
      </c>
      <c r="BP298" s="304" t="str">
        <f t="shared" si="239"/>
        <v/>
      </c>
      <c r="BQ298" s="28"/>
      <c r="BR298" s="304" t="str">
        <f t="shared" si="240"/>
        <v/>
      </c>
      <c r="BS298" s="304" t="str">
        <f t="shared" si="240"/>
        <v/>
      </c>
      <c r="BT298" s="28"/>
      <c r="BU298" s="304" t="str">
        <f t="shared" si="241"/>
        <v/>
      </c>
      <c r="BV298" s="304" t="str">
        <f t="shared" si="241"/>
        <v/>
      </c>
      <c r="BW298" s="28"/>
      <c r="BX298" s="139"/>
    </row>
    <row r="299" spans="1:76" s="122" customFormat="1" x14ac:dyDescent="0.25">
      <c r="A299" s="195">
        <v>5</v>
      </c>
      <c r="B299" s="216" t="str">
        <f t="shared" si="229"/>
        <v>Eastern Europe: IFCN 2014 Report</v>
      </c>
      <c r="C299" s="227" t="s">
        <v>174</v>
      </c>
      <c r="D299" s="227" t="s">
        <v>175</v>
      </c>
      <c r="E299" s="329" t="s">
        <v>97</v>
      </c>
      <c r="F299" s="330" t="s">
        <v>182</v>
      </c>
      <c r="G299" s="220" t="s">
        <v>26</v>
      </c>
      <c r="H299" s="221">
        <v>2013</v>
      </c>
      <c r="I299" s="331"/>
      <c r="J299" s="332">
        <v>21.84</v>
      </c>
      <c r="K299" s="333" t="s">
        <v>177</v>
      </c>
      <c r="L299" s="334">
        <f t="shared" si="242"/>
        <v>6.9615</v>
      </c>
      <c r="M299" s="335" t="str">
        <f t="shared" si="230"/>
        <v>US$2014/ kg of protein</v>
      </c>
      <c r="N299" s="227"/>
      <c r="O299" s="227" t="s">
        <v>178</v>
      </c>
      <c r="Q299" s="228"/>
      <c r="R299" s="231">
        <f t="shared" si="243"/>
        <v>6.9615</v>
      </c>
      <c r="S299" s="230">
        <f t="shared" si="231"/>
        <v>6.9615</v>
      </c>
      <c r="T299" s="231">
        <f>IF(OR(Q299="Y",IFERROR(R299&gt;R315+R319*$AA$35,0),IFERROR(R299&lt;R315-R319*$AA$35,0)),"",IFERROR(R299*N299,""))</f>
        <v>0</v>
      </c>
      <c r="U299" s="232" t="str">
        <f t="shared" si="232"/>
        <v>US$2014/ kg of protein</v>
      </c>
      <c r="V299" s="28"/>
      <c r="W299" s="28"/>
      <c r="Y299" s="139"/>
      <c r="AO299" s="139"/>
      <c r="AP299" s="28"/>
      <c r="AQ299" s="28"/>
      <c r="AR299" s="237"/>
      <c r="AS299" s="28"/>
      <c r="AT299" s="304" t="str">
        <f t="shared" si="244"/>
        <v/>
      </c>
      <c r="AU299" s="304" t="str">
        <f t="shared" si="244"/>
        <v/>
      </c>
      <c r="AV299" s="28"/>
      <c r="AW299" s="304" t="str">
        <f t="shared" si="233"/>
        <v/>
      </c>
      <c r="AX299" s="304" t="str">
        <f t="shared" si="233"/>
        <v/>
      </c>
      <c r="AY299" s="28"/>
      <c r="AZ299" s="304">
        <f t="shared" si="234"/>
        <v>6.9615</v>
      </c>
      <c r="BA299" s="304">
        <f t="shared" si="234"/>
        <v>6.9615</v>
      </c>
      <c r="BB299" s="28"/>
      <c r="BC299" s="304" t="str">
        <f t="shared" si="235"/>
        <v/>
      </c>
      <c r="BD299" s="304" t="str">
        <f t="shared" si="235"/>
        <v/>
      </c>
      <c r="BE299" s="28"/>
      <c r="BF299" s="304" t="str">
        <f t="shared" si="236"/>
        <v/>
      </c>
      <c r="BG299" s="304" t="str">
        <f t="shared" si="236"/>
        <v/>
      </c>
      <c r="BH299" s="28"/>
      <c r="BI299" s="304" t="str">
        <f t="shared" si="237"/>
        <v/>
      </c>
      <c r="BJ299" s="304" t="str">
        <f t="shared" si="237"/>
        <v/>
      </c>
      <c r="BK299" s="28"/>
      <c r="BL299" s="304" t="str">
        <f t="shared" si="238"/>
        <v/>
      </c>
      <c r="BM299" s="304" t="str">
        <f t="shared" si="238"/>
        <v/>
      </c>
      <c r="BN299" s="28"/>
      <c r="BO299" s="304" t="str">
        <f t="shared" si="239"/>
        <v/>
      </c>
      <c r="BP299" s="304" t="str">
        <f t="shared" si="239"/>
        <v/>
      </c>
      <c r="BQ299" s="28"/>
      <c r="BR299" s="304" t="str">
        <f t="shared" si="240"/>
        <v/>
      </c>
      <c r="BS299" s="304" t="str">
        <f t="shared" si="240"/>
        <v/>
      </c>
      <c r="BT299" s="28"/>
      <c r="BU299" s="304" t="str">
        <f t="shared" si="241"/>
        <v/>
      </c>
      <c r="BV299" s="304" t="str">
        <f t="shared" si="241"/>
        <v/>
      </c>
      <c r="BW299" s="28"/>
      <c r="BX299" s="139"/>
    </row>
    <row r="300" spans="1:76" s="122" customFormat="1" x14ac:dyDescent="0.25">
      <c r="A300" s="195">
        <v>6</v>
      </c>
      <c r="B300" s="216" t="str">
        <f t="shared" si="229"/>
        <v>Latin America: IFCN 2014 Report</v>
      </c>
      <c r="C300" s="227" t="s">
        <v>174</v>
      </c>
      <c r="D300" s="227" t="s">
        <v>175</v>
      </c>
      <c r="E300" s="329" t="s">
        <v>100</v>
      </c>
      <c r="F300" s="330" t="s">
        <v>183</v>
      </c>
      <c r="G300" s="220" t="s">
        <v>26</v>
      </c>
      <c r="H300" s="221">
        <v>2013</v>
      </c>
      <c r="I300" s="331"/>
      <c r="J300" s="332">
        <v>23.68</v>
      </c>
      <c r="K300" s="333" t="s">
        <v>177</v>
      </c>
      <c r="L300" s="334">
        <f t="shared" si="242"/>
        <v>7.548</v>
      </c>
      <c r="M300" s="335" t="str">
        <f t="shared" si="230"/>
        <v>US$2014/ kg of protein</v>
      </c>
      <c r="N300" s="227"/>
      <c r="O300" s="227" t="s">
        <v>178</v>
      </c>
      <c r="Q300" s="228"/>
      <c r="R300" s="231">
        <f t="shared" si="243"/>
        <v>7.548</v>
      </c>
      <c r="S300" s="230">
        <f t="shared" si="231"/>
        <v>7.548</v>
      </c>
      <c r="T300" s="231">
        <f>IF(OR(Q300="Y",IFERROR(R300&gt;R315+R319*$AA$35,0),IFERROR(R300&lt;R315-R319*$AA$35,0)),"",IFERROR(R300*N300,""))</f>
        <v>0</v>
      </c>
      <c r="U300" s="232" t="str">
        <f t="shared" si="232"/>
        <v>US$2014/ kg of protein</v>
      </c>
      <c r="V300" s="28"/>
      <c r="W300" s="28"/>
      <c r="Y300" s="139"/>
      <c r="AO300" s="139"/>
      <c r="AP300" s="28"/>
      <c r="AQ300" s="28"/>
      <c r="AR300" s="237"/>
      <c r="AS300" s="28"/>
      <c r="AT300" s="304" t="str">
        <f t="shared" si="244"/>
        <v/>
      </c>
      <c r="AU300" s="304" t="str">
        <f t="shared" si="244"/>
        <v/>
      </c>
      <c r="AV300" s="28"/>
      <c r="AW300" s="304" t="str">
        <f t="shared" si="233"/>
        <v/>
      </c>
      <c r="AX300" s="304" t="str">
        <f t="shared" si="233"/>
        <v/>
      </c>
      <c r="AY300" s="28"/>
      <c r="AZ300" s="304" t="str">
        <f t="shared" si="234"/>
        <v/>
      </c>
      <c r="BA300" s="304" t="str">
        <f t="shared" si="234"/>
        <v/>
      </c>
      <c r="BB300" s="28"/>
      <c r="BC300" s="304" t="str">
        <f t="shared" si="235"/>
        <v/>
      </c>
      <c r="BD300" s="304" t="str">
        <f t="shared" si="235"/>
        <v/>
      </c>
      <c r="BE300" s="28"/>
      <c r="BF300" s="304" t="str">
        <f t="shared" si="236"/>
        <v/>
      </c>
      <c r="BG300" s="304" t="str">
        <f t="shared" si="236"/>
        <v/>
      </c>
      <c r="BH300" s="28"/>
      <c r="BI300" s="304">
        <f t="shared" si="237"/>
        <v>7.548</v>
      </c>
      <c r="BJ300" s="304">
        <f t="shared" si="237"/>
        <v>7.548</v>
      </c>
      <c r="BK300" s="28"/>
      <c r="BL300" s="304" t="str">
        <f t="shared" si="238"/>
        <v/>
      </c>
      <c r="BM300" s="304" t="str">
        <f t="shared" si="238"/>
        <v/>
      </c>
      <c r="BN300" s="28"/>
      <c r="BO300" s="304" t="str">
        <f t="shared" si="239"/>
        <v/>
      </c>
      <c r="BP300" s="304" t="str">
        <f t="shared" si="239"/>
        <v/>
      </c>
      <c r="BQ300" s="28"/>
      <c r="BR300" s="304" t="str">
        <f t="shared" si="240"/>
        <v/>
      </c>
      <c r="BS300" s="304" t="str">
        <f t="shared" si="240"/>
        <v/>
      </c>
      <c r="BT300" s="28"/>
      <c r="BU300" s="304" t="str">
        <f t="shared" si="241"/>
        <v/>
      </c>
      <c r="BV300" s="304" t="str">
        <f t="shared" si="241"/>
        <v/>
      </c>
      <c r="BW300" s="28"/>
      <c r="BX300" s="139"/>
    </row>
    <row r="301" spans="1:76" s="122" customFormat="1" x14ac:dyDescent="0.25">
      <c r="A301" s="195">
        <v>7</v>
      </c>
      <c r="B301" s="216" t="str">
        <f t="shared" si="229"/>
        <v>Asia (Sans Japan): IFCN 2014 Report</v>
      </c>
      <c r="C301" s="227" t="s">
        <v>174</v>
      </c>
      <c r="D301" s="227" t="s">
        <v>175</v>
      </c>
      <c r="E301" s="329" t="s">
        <v>98</v>
      </c>
      <c r="F301" s="330" t="s">
        <v>184</v>
      </c>
      <c r="G301" s="220" t="s">
        <v>26</v>
      </c>
      <c r="H301" s="221">
        <v>2013</v>
      </c>
      <c r="I301" s="331"/>
      <c r="J301" s="332">
        <v>33.6</v>
      </c>
      <c r="K301" s="333" t="s">
        <v>177</v>
      </c>
      <c r="L301" s="334">
        <f t="shared" si="242"/>
        <v>10.71</v>
      </c>
      <c r="M301" s="335" t="str">
        <f t="shared" si="230"/>
        <v>US$2014/ kg of protein</v>
      </c>
      <c r="N301" s="227"/>
      <c r="O301" s="227" t="s">
        <v>178</v>
      </c>
      <c r="Q301" s="228"/>
      <c r="R301" s="231">
        <f t="shared" si="243"/>
        <v>10.71</v>
      </c>
      <c r="S301" s="230">
        <f t="shared" si="231"/>
        <v>10.71</v>
      </c>
      <c r="T301" s="231">
        <f>IF(OR(Q301="Y",IFERROR(R301&gt;R315+R319*$AA$35,0),IFERROR(R301&lt;R315-R319*$AA$35,0)),"",IFERROR(R301*N301,""))</f>
        <v>0</v>
      </c>
      <c r="U301" s="232" t="str">
        <f t="shared" si="232"/>
        <v>US$2014/ kg of protein</v>
      </c>
      <c r="V301" s="28"/>
      <c r="W301" s="28"/>
      <c r="Y301" s="139"/>
      <c r="AO301" s="139"/>
      <c r="AP301" s="28"/>
      <c r="AQ301" s="28"/>
      <c r="AR301" s="237"/>
      <c r="AS301" s="28"/>
      <c r="AT301" s="304" t="str">
        <f t="shared" si="244"/>
        <v/>
      </c>
      <c r="AU301" s="304" t="str">
        <f t="shared" si="244"/>
        <v/>
      </c>
      <c r="AV301" s="28"/>
      <c r="AW301" s="304" t="str">
        <f t="shared" si="233"/>
        <v/>
      </c>
      <c r="AX301" s="304" t="str">
        <f t="shared" si="233"/>
        <v/>
      </c>
      <c r="AY301" s="28"/>
      <c r="AZ301" s="304" t="str">
        <f t="shared" si="234"/>
        <v/>
      </c>
      <c r="BA301" s="304" t="str">
        <f t="shared" si="234"/>
        <v/>
      </c>
      <c r="BB301" s="28"/>
      <c r="BC301" s="304">
        <f t="shared" si="235"/>
        <v>10.71</v>
      </c>
      <c r="BD301" s="304">
        <f t="shared" si="235"/>
        <v>10.71</v>
      </c>
      <c r="BE301" s="28"/>
      <c r="BF301" s="304" t="str">
        <f t="shared" si="236"/>
        <v/>
      </c>
      <c r="BG301" s="304" t="str">
        <f t="shared" si="236"/>
        <v/>
      </c>
      <c r="BH301" s="28"/>
      <c r="BI301" s="304" t="str">
        <f t="shared" si="237"/>
        <v/>
      </c>
      <c r="BJ301" s="304" t="str">
        <f t="shared" si="237"/>
        <v/>
      </c>
      <c r="BK301" s="28"/>
      <c r="BL301" s="304" t="str">
        <f t="shared" si="238"/>
        <v/>
      </c>
      <c r="BM301" s="304" t="str">
        <f t="shared" si="238"/>
        <v/>
      </c>
      <c r="BN301" s="28"/>
      <c r="BO301" s="304" t="str">
        <f t="shared" si="239"/>
        <v/>
      </c>
      <c r="BP301" s="304" t="str">
        <f t="shared" si="239"/>
        <v/>
      </c>
      <c r="BQ301" s="28"/>
      <c r="BR301" s="304" t="str">
        <f t="shared" si="240"/>
        <v/>
      </c>
      <c r="BS301" s="304" t="str">
        <f t="shared" si="240"/>
        <v/>
      </c>
      <c r="BT301" s="28"/>
      <c r="BU301" s="304" t="str">
        <f t="shared" si="241"/>
        <v/>
      </c>
      <c r="BV301" s="304" t="str">
        <f t="shared" si="241"/>
        <v/>
      </c>
      <c r="BW301" s="28"/>
      <c r="BX301" s="139"/>
    </row>
    <row r="302" spans="1:76" s="122" customFormat="1" x14ac:dyDescent="0.25">
      <c r="A302" s="195">
        <v>8</v>
      </c>
      <c r="B302" s="216" t="str">
        <f t="shared" si="229"/>
        <v>OECD90: IFCN 2014 Report</v>
      </c>
      <c r="C302" s="227" t="s">
        <v>174</v>
      </c>
      <c r="D302" s="227" t="s">
        <v>175</v>
      </c>
      <c r="E302" s="329" t="s">
        <v>96</v>
      </c>
      <c r="F302" s="330" t="s">
        <v>185</v>
      </c>
      <c r="G302" s="220" t="s">
        <v>26</v>
      </c>
      <c r="H302" s="221">
        <v>2013</v>
      </c>
      <c r="I302" s="331"/>
      <c r="J302" s="332">
        <v>22.1</v>
      </c>
      <c r="K302" s="333" t="s">
        <v>177</v>
      </c>
      <c r="L302" s="334">
        <f t="shared" si="242"/>
        <v>7.0443750000000005</v>
      </c>
      <c r="M302" s="335" t="str">
        <f t="shared" si="230"/>
        <v>US$2014/ kg of protein</v>
      </c>
      <c r="N302" s="227"/>
      <c r="O302" s="227" t="s">
        <v>178</v>
      </c>
      <c r="Q302" s="228"/>
      <c r="R302" s="231">
        <f t="shared" si="243"/>
        <v>7.0443750000000005</v>
      </c>
      <c r="S302" s="230">
        <f t="shared" si="231"/>
        <v>7.0443750000000005</v>
      </c>
      <c r="T302" s="231">
        <f>IF(OR(Q302="Y",IFERROR(R302&gt;R315+R319*$AA$35,0),IFERROR(R302&lt;R315-R319*$AA$35,0)),"",IFERROR(R302*N302,""))</f>
        <v>0</v>
      </c>
      <c r="U302" s="232" t="str">
        <f t="shared" si="232"/>
        <v>US$2014/ kg of protein</v>
      </c>
      <c r="V302" s="28"/>
      <c r="W302" s="28"/>
      <c r="Y302" s="139"/>
      <c r="AO302" s="139"/>
      <c r="AP302" s="28"/>
      <c r="AQ302" s="28"/>
      <c r="AR302" s="237"/>
      <c r="AS302" s="28"/>
      <c r="AT302" s="304" t="str">
        <f t="shared" si="244"/>
        <v/>
      </c>
      <c r="AU302" s="304" t="str">
        <f t="shared" si="244"/>
        <v/>
      </c>
      <c r="AV302" s="28"/>
      <c r="AW302" s="304">
        <f t="shared" si="233"/>
        <v>7.0443750000000005</v>
      </c>
      <c r="AX302" s="304">
        <f t="shared" si="233"/>
        <v>7.0443750000000005</v>
      </c>
      <c r="AY302" s="28"/>
      <c r="AZ302" s="304" t="str">
        <f t="shared" si="234"/>
        <v/>
      </c>
      <c r="BA302" s="304" t="str">
        <f t="shared" si="234"/>
        <v/>
      </c>
      <c r="BB302" s="28"/>
      <c r="BC302" s="304" t="str">
        <f t="shared" si="235"/>
        <v/>
      </c>
      <c r="BD302" s="304" t="str">
        <f t="shared" si="235"/>
        <v/>
      </c>
      <c r="BE302" s="28"/>
      <c r="BF302" s="304" t="str">
        <f t="shared" si="236"/>
        <v/>
      </c>
      <c r="BG302" s="304" t="str">
        <f t="shared" si="236"/>
        <v/>
      </c>
      <c r="BH302" s="28"/>
      <c r="BI302" s="304" t="str">
        <f t="shared" si="237"/>
        <v/>
      </c>
      <c r="BJ302" s="304" t="str">
        <f t="shared" si="237"/>
        <v/>
      </c>
      <c r="BK302" s="28"/>
      <c r="BL302" s="304" t="str">
        <f t="shared" si="238"/>
        <v/>
      </c>
      <c r="BM302" s="304" t="str">
        <f t="shared" si="238"/>
        <v/>
      </c>
      <c r="BN302" s="28"/>
      <c r="BO302" s="304" t="str">
        <f t="shared" si="239"/>
        <v/>
      </c>
      <c r="BP302" s="304" t="str">
        <f t="shared" si="239"/>
        <v/>
      </c>
      <c r="BQ302" s="28"/>
      <c r="BR302" s="304" t="str">
        <f t="shared" si="240"/>
        <v/>
      </c>
      <c r="BS302" s="304" t="str">
        <f t="shared" si="240"/>
        <v/>
      </c>
      <c r="BT302" s="28"/>
      <c r="BU302" s="304" t="str">
        <f t="shared" si="241"/>
        <v/>
      </c>
      <c r="BV302" s="304" t="str">
        <f t="shared" si="241"/>
        <v/>
      </c>
      <c r="BW302" s="28"/>
      <c r="BX302" s="139"/>
    </row>
    <row r="303" spans="1:76" s="122" customFormat="1" x14ac:dyDescent="0.25">
      <c r="A303" s="195">
        <v>9</v>
      </c>
      <c r="B303" s="216" t="str">
        <f t="shared" si="229"/>
        <v>World: IFCN 2014 Report</v>
      </c>
      <c r="C303" s="227" t="s">
        <v>174</v>
      </c>
      <c r="D303" s="227" t="s">
        <v>175</v>
      </c>
      <c r="E303" s="329" t="s">
        <v>95</v>
      </c>
      <c r="F303" s="330" t="s">
        <v>95</v>
      </c>
      <c r="G303" s="220" t="s">
        <v>26</v>
      </c>
      <c r="H303" s="221">
        <v>2013</v>
      </c>
      <c r="I303" s="331"/>
      <c r="J303" s="332">
        <v>32.4</v>
      </c>
      <c r="K303" s="333" t="s">
        <v>177</v>
      </c>
      <c r="L303" s="334">
        <f t="shared" si="242"/>
        <v>10.327500000000001</v>
      </c>
      <c r="M303" s="335" t="str">
        <f t="shared" si="230"/>
        <v>US$2014/ kg of protein</v>
      </c>
      <c r="N303" s="227"/>
      <c r="O303" s="227" t="s">
        <v>186</v>
      </c>
      <c r="Q303" s="228"/>
      <c r="R303" s="231">
        <f t="shared" si="243"/>
        <v>10.327500000000001</v>
      </c>
      <c r="S303" s="230">
        <f t="shared" si="231"/>
        <v>10.327500000000001</v>
      </c>
      <c r="T303" s="231">
        <f>IF(OR(Q303="Y",IFERROR(R303&gt;R315+R319*$AA$35,0),IFERROR(R303&lt;R315-R319*$AA$35,0)),"",IFERROR(R303*N303,""))</f>
        <v>0</v>
      </c>
      <c r="U303" s="232" t="str">
        <f t="shared" si="232"/>
        <v>US$2014/ kg of protein</v>
      </c>
      <c r="V303" s="28"/>
      <c r="W303" s="28"/>
      <c r="Y303" s="139"/>
      <c r="AO303" s="139"/>
      <c r="AP303" s="28"/>
      <c r="AQ303" s="28"/>
      <c r="AR303" s="237"/>
      <c r="AS303" s="28"/>
      <c r="AT303" s="304">
        <f t="shared" si="244"/>
        <v>10.327500000000001</v>
      </c>
      <c r="AU303" s="304">
        <f t="shared" si="244"/>
        <v>10.327500000000001</v>
      </c>
      <c r="AV303" s="28"/>
      <c r="AW303" s="304" t="str">
        <f t="shared" si="233"/>
        <v/>
      </c>
      <c r="AX303" s="304" t="str">
        <f t="shared" si="233"/>
        <v/>
      </c>
      <c r="AY303" s="28"/>
      <c r="AZ303" s="304" t="str">
        <f t="shared" si="234"/>
        <v/>
      </c>
      <c r="BA303" s="304" t="str">
        <f t="shared" si="234"/>
        <v/>
      </c>
      <c r="BB303" s="28"/>
      <c r="BC303" s="304" t="str">
        <f t="shared" si="235"/>
        <v/>
      </c>
      <c r="BD303" s="304" t="str">
        <f t="shared" si="235"/>
        <v/>
      </c>
      <c r="BE303" s="28"/>
      <c r="BF303" s="304" t="str">
        <f t="shared" si="236"/>
        <v/>
      </c>
      <c r="BG303" s="304" t="str">
        <f t="shared" si="236"/>
        <v/>
      </c>
      <c r="BH303" s="28"/>
      <c r="BI303" s="304" t="str">
        <f t="shared" si="237"/>
        <v/>
      </c>
      <c r="BJ303" s="304" t="str">
        <f t="shared" si="237"/>
        <v/>
      </c>
      <c r="BK303" s="28"/>
      <c r="BL303" s="304" t="str">
        <f t="shared" si="238"/>
        <v/>
      </c>
      <c r="BM303" s="304" t="str">
        <f t="shared" si="238"/>
        <v/>
      </c>
      <c r="BN303" s="28"/>
      <c r="BO303" s="304" t="str">
        <f t="shared" si="239"/>
        <v/>
      </c>
      <c r="BP303" s="304" t="str">
        <f t="shared" si="239"/>
        <v/>
      </c>
      <c r="BQ303" s="28"/>
      <c r="BR303" s="304" t="str">
        <f t="shared" si="240"/>
        <v/>
      </c>
      <c r="BS303" s="304" t="str">
        <f t="shared" si="240"/>
        <v/>
      </c>
      <c r="BT303" s="28"/>
      <c r="BU303" s="304" t="str">
        <f t="shared" si="241"/>
        <v/>
      </c>
      <c r="BV303" s="304" t="str">
        <f t="shared" si="241"/>
        <v/>
      </c>
      <c r="BW303" s="28"/>
      <c r="BX303" s="139"/>
    </row>
    <row r="304" spans="1:76" s="122" customFormat="1" x14ac:dyDescent="0.25">
      <c r="A304" s="195">
        <v>10</v>
      </c>
      <c r="B304" s="216" t="str">
        <f t="shared" si="229"/>
        <v>OECD90: IFCN 2014 Report</v>
      </c>
      <c r="C304" s="227" t="s">
        <v>174</v>
      </c>
      <c r="D304" s="227" t="s">
        <v>175</v>
      </c>
      <c r="E304" s="329" t="s">
        <v>96</v>
      </c>
      <c r="F304" s="330" t="s">
        <v>187</v>
      </c>
      <c r="G304" s="220" t="s">
        <v>26</v>
      </c>
      <c r="H304" s="221">
        <v>2013</v>
      </c>
      <c r="I304" s="331"/>
      <c r="J304" s="332">
        <v>37.700000000000003</v>
      </c>
      <c r="K304" s="333" t="s">
        <v>177</v>
      </c>
      <c r="L304" s="334">
        <f t="shared" si="242"/>
        <v>12.016874999999999</v>
      </c>
      <c r="M304" s="335" t="str">
        <f t="shared" si="230"/>
        <v>US$2014/ kg of protein</v>
      </c>
      <c r="N304" s="227"/>
      <c r="O304" s="227" t="s">
        <v>186</v>
      </c>
      <c r="Q304" s="228"/>
      <c r="R304" s="231">
        <f t="shared" si="243"/>
        <v>12.016874999999999</v>
      </c>
      <c r="S304" s="230">
        <f t="shared" si="231"/>
        <v>12.016874999999999</v>
      </c>
      <c r="T304" s="231">
        <f>IF(OR(Q304="Y",IFERROR(R304&gt;R315+R319*$AA$35,0),IFERROR(R304&lt;R315-R319*$AA$35,0)),"",IFERROR(R304*N304,""))</f>
        <v>0</v>
      </c>
      <c r="U304" s="232" t="str">
        <f t="shared" si="232"/>
        <v>US$2014/ kg of protein</v>
      </c>
      <c r="V304" s="28"/>
      <c r="W304" s="28"/>
      <c r="Y304" s="139"/>
      <c r="AO304" s="139"/>
      <c r="AP304" s="28"/>
      <c r="AQ304" s="28"/>
      <c r="AR304" s="237"/>
      <c r="AS304" s="28"/>
      <c r="AT304" s="304" t="str">
        <f t="shared" si="244"/>
        <v/>
      </c>
      <c r="AU304" s="304" t="str">
        <f t="shared" si="244"/>
        <v/>
      </c>
      <c r="AV304" s="28"/>
      <c r="AW304" s="304">
        <f t="shared" si="233"/>
        <v>12.016874999999999</v>
      </c>
      <c r="AX304" s="304">
        <f t="shared" si="233"/>
        <v>12.016874999999999</v>
      </c>
      <c r="AY304" s="28"/>
      <c r="AZ304" s="304" t="str">
        <f t="shared" si="234"/>
        <v/>
      </c>
      <c r="BA304" s="304" t="str">
        <f t="shared" si="234"/>
        <v/>
      </c>
      <c r="BB304" s="28"/>
      <c r="BC304" s="304" t="str">
        <f t="shared" si="235"/>
        <v/>
      </c>
      <c r="BD304" s="304" t="str">
        <f t="shared" si="235"/>
        <v/>
      </c>
      <c r="BE304" s="28"/>
      <c r="BF304" s="304" t="str">
        <f t="shared" si="236"/>
        <v/>
      </c>
      <c r="BG304" s="304" t="str">
        <f t="shared" si="236"/>
        <v/>
      </c>
      <c r="BH304" s="28"/>
      <c r="BI304" s="304" t="str">
        <f t="shared" si="237"/>
        <v/>
      </c>
      <c r="BJ304" s="304" t="str">
        <f t="shared" si="237"/>
        <v/>
      </c>
      <c r="BK304" s="28"/>
      <c r="BL304" s="304" t="str">
        <f t="shared" si="238"/>
        <v/>
      </c>
      <c r="BM304" s="304" t="str">
        <f t="shared" si="238"/>
        <v/>
      </c>
      <c r="BN304" s="28"/>
      <c r="BO304" s="304" t="str">
        <f t="shared" si="239"/>
        <v/>
      </c>
      <c r="BP304" s="304" t="str">
        <f t="shared" si="239"/>
        <v/>
      </c>
      <c r="BQ304" s="28"/>
      <c r="BR304" s="304" t="str">
        <f t="shared" si="240"/>
        <v/>
      </c>
      <c r="BS304" s="304" t="str">
        <f t="shared" si="240"/>
        <v/>
      </c>
      <c r="BT304" s="28"/>
      <c r="BU304" s="304" t="str">
        <f t="shared" si="241"/>
        <v/>
      </c>
      <c r="BV304" s="304" t="str">
        <f t="shared" si="241"/>
        <v/>
      </c>
      <c r="BW304" s="28"/>
      <c r="BX304" s="139"/>
    </row>
    <row r="305" spans="1:76" s="122" customFormat="1" x14ac:dyDescent="0.25">
      <c r="A305" s="195">
        <v>11</v>
      </c>
      <c r="B305" s="216" t="str">
        <f t="shared" si="229"/>
        <v>Eastern Europe: IFCN 2014 Report</v>
      </c>
      <c r="C305" s="227" t="s">
        <v>174</v>
      </c>
      <c r="D305" s="227" t="s">
        <v>175</v>
      </c>
      <c r="E305" s="329" t="s">
        <v>97</v>
      </c>
      <c r="F305" s="330" t="s">
        <v>188</v>
      </c>
      <c r="G305" s="220" t="s">
        <v>26</v>
      </c>
      <c r="H305" s="221">
        <v>2013</v>
      </c>
      <c r="I305" s="331"/>
      <c r="J305" s="332">
        <v>35</v>
      </c>
      <c r="K305" s="333" t="s">
        <v>177</v>
      </c>
      <c r="L305" s="334">
        <f t="shared" si="242"/>
        <v>11.15625</v>
      </c>
      <c r="M305" s="335" t="str">
        <f t="shared" si="230"/>
        <v>US$2014/ kg of protein</v>
      </c>
      <c r="N305" s="227"/>
      <c r="O305" s="227" t="s">
        <v>186</v>
      </c>
      <c r="Q305" s="228"/>
      <c r="R305" s="231">
        <f t="shared" si="243"/>
        <v>11.15625</v>
      </c>
      <c r="S305" s="230">
        <f t="shared" si="231"/>
        <v>11.15625</v>
      </c>
      <c r="T305" s="231">
        <f>IF(OR(Q305="Y",IFERROR(R305&gt;R315+R319*$AA$35,0),IFERROR(R305&lt;R315-R319*$AA$35,0)),"",IFERROR(R305*N305,""))</f>
        <v>0</v>
      </c>
      <c r="U305" s="232" t="str">
        <f t="shared" si="232"/>
        <v>US$2014/ kg of protein</v>
      </c>
      <c r="V305" s="28"/>
      <c r="W305" s="28"/>
      <c r="Y305" s="139"/>
      <c r="AO305" s="139"/>
      <c r="AP305" s="28"/>
      <c r="AQ305" s="28"/>
      <c r="AR305" s="237"/>
      <c r="AS305" s="28"/>
      <c r="AT305" s="304" t="str">
        <f t="shared" si="244"/>
        <v/>
      </c>
      <c r="AU305" s="304" t="str">
        <f t="shared" si="244"/>
        <v/>
      </c>
      <c r="AV305" s="28"/>
      <c r="AW305" s="304" t="str">
        <f t="shared" si="233"/>
        <v/>
      </c>
      <c r="AX305" s="304" t="str">
        <f t="shared" si="233"/>
        <v/>
      </c>
      <c r="AY305" s="28"/>
      <c r="AZ305" s="304">
        <f t="shared" si="234"/>
        <v>11.15625</v>
      </c>
      <c r="BA305" s="304">
        <f t="shared" si="234"/>
        <v>11.15625</v>
      </c>
      <c r="BB305" s="28"/>
      <c r="BC305" s="304" t="str">
        <f t="shared" si="235"/>
        <v/>
      </c>
      <c r="BD305" s="304" t="str">
        <f t="shared" si="235"/>
        <v/>
      </c>
      <c r="BE305" s="28"/>
      <c r="BF305" s="304" t="str">
        <f t="shared" si="236"/>
        <v/>
      </c>
      <c r="BG305" s="304" t="str">
        <f t="shared" si="236"/>
        <v/>
      </c>
      <c r="BH305" s="28"/>
      <c r="BI305" s="304" t="str">
        <f t="shared" si="237"/>
        <v/>
      </c>
      <c r="BJ305" s="304" t="str">
        <f t="shared" si="237"/>
        <v/>
      </c>
      <c r="BK305" s="28"/>
      <c r="BL305" s="304" t="str">
        <f t="shared" si="238"/>
        <v/>
      </c>
      <c r="BM305" s="304" t="str">
        <f t="shared" si="238"/>
        <v/>
      </c>
      <c r="BN305" s="28"/>
      <c r="BO305" s="304" t="str">
        <f t="shared" si="239"/>
        <v/>
      </c>
      <c r="BP305" s="304" t="str">
        <f t="shared" si="239"/>
        <v/>
      </c>
      <c r="BQ305" s="28"/>
      <c r="BR305" s="304" t="str">
        <f t="shared" si="240"/>
        <v/>
      </c>
      <c r="BS305" s="304" t="str">
        <f t="shared" si="240"/>
        <v/>
      </c>
      <c r="BT305" s="28"/>
      <c r="BU305" s="304" t="str">
        <f t="shared" si="241"/>
        <v/>
      </c>
      <c r="BV305" s="304" t="str">
        <f t="shared" si="241"/>
        <v/>
      </c>
      <c r="BW305" s="28"/>
      <c r="BX305" s="139"/>
    </row>
    <row r="306" spans="1:76" s="122" customFormat="1" x14ac:dyDescent="0.25">
      <c r="A306" s="195">
        <v>12</v>
      </c>
      <c r="B306" s="216" t="str">
        <f t="shared" si="229"/>
        <v>Eastern Europe: IFCN 2014 Report</v>
      </c>
      <c r="C306" s="227" t="s">
        <v>174</v>
      </c>
      <c r="D306" s="227" t="s">
        <v>175</v>
      </c>
      <c r="E306" s="329" t="s">
        <v>97</v>
      </c>
      <c r="F306" s="330" t="s">
        <v>189</v>
      </c>
      <c r="G306" s="220" t="s">
        <v>26</v>
      </c>
      <c r="H306" s="221">
        <v>2013</v>
      </c>
      <c r="I306" s="331"/>
      <c r="J306" s="332">
        <v>24.9</v>
      </c>
      <c r="K306" s="333" t="s">
        <v>177</v>
      </c>
      <c r="L306" s="334">
        <f t="shared" si="242"/>
        <v>7.9368749999999997</v>
      </c>
      <c r="M306" s="335" t="str">
        <f t="shared" si="230"/>
        <v>US$2014/ kg of protein</v>
      </c>
      <c r="N306" s="227"/>
      <c r="O306" s="227" t="s">
        <v>186</v>
      </c>
      <c r="Q306" s="228"/>
      <c r="R306" s="231">
        <f t="shared" si="243"/>
        <v>7.9368749999999997</v>
      </c>
      <c r="S306" s="230">
        <f t="shared" si="231"/>
        <v>7.9368749999999997</v>
      </c>
      <c r="T306" s="231">
        <f>IF(OR(Q306="Y",IFERROR(R306&gt;R315+R319*$AA$35,0),IFERROR(R306&lt;R315-R319*$AA$35,0)),"",IFERROR(R306*N306,""))</f>
        <v>0</v>
      </c>
      <c r="U306" s="232" t="str">
        <f t="shared" si="232"/>
        <v>US$2014/ kg of protein</v>
      </c>
      <c r="V306" s="28"/>
      <c r="W306" s="28"/>
      <c r="Y306" s="139"/>
      <c r="AO306" s="139"/>
      <c r="AP306" s="28"/>
      <c r="AQ306" s="28"/>
      <c r="AR306" s="237"/>
      <c r="AS306" s="28"/>
      <c r="AT306" s="304" t="str">
        <f t="shared" si="244"/>
        <v/>
      </c>
      <c r="AU306" s="304" t="str">
        <f t="shared" si="244"/>
        <v/>
      </c>
      <c r="AV306" s="28"/>
      <c r="AW306" s="304" t="str">
        <f t="shared" si="233"/>
        <v/>
      </c>
      <c r="AX306" s="304" t="str">
        <f t="shared" si="233"/>
        <v/>
      </c>
      <c r="AY306" s="28"/>
      <c r="AZ306" s="304">
        <f t="shared" si="234"/>
        <v>7.9368749999999997</v>
      </c>
      <c r="BA306" s="304">
        <f t="shared" si="234"/>
        <v>7.9368749999999997</v>
      </c>
      <c r="BB306" s="28"/>
      <c r="BC306" s="304" t="str">
        <f t="shared" si="235"/>
        <v/>
      </c>
      <c r="BD306" s="304" t="str">
        <f t="shared" si="235"/>
        <v/>
      </c>
      <c r="BE306" s="28"/>
      <c r="BF306" s="304" t="str">
        <f t="shared" si="236"/>
        <v/>
      </c>
      <c r="BG306" s="304" t="str">
        <f t="shared" si="236"/>
        <v/>
      </c>
      <c r="BH306" s="28"/>
      <c r="BI306" s="304" t="str">
        <f t="shared" si="237"/>
        <v/>
      </c>
      <c r="BJ306" s="304" t="str">
        <f t="shared" si="237"/>
        <v/>
      </c>
      <c r="BK306" s="28"/>
      <c r="BL306" s="304" t="str">
        <f t="shared" si="238"/>
        <v/>
      </c>
      <c r="BM306" s="304" t="str">
        <f t="shared" si="238"/>
        <v/>
      </c>
      <c r="BN306" s="28"/>
      <c r="BO306" s="304" t="str">
        <f t="shared" si="239"/>
        <v/>
      </c>
      <c r="BP306" s="304" t="str">
        <f t="shared" si="239"/>
        <v/>
      </c>
      <c r="BQ306" s="28"/>
      <c r="BR306" s="304" t="str">
        <f t="shared" si="240"/>
        <v/>
      </c>
      <c r="BS306" s="304" t="str">
        <f t="shared" si="240"/>
        <v/>
      </c>
      <c r="BT306" s="28"/>
      <c r="BU306" s="304" t="str">
        <f t="shared" si="241"/>
        <v/>
      </c>
      <c r="BV306" s="304" t="str">
        <f t="shared" si="241"/>
        <v/>
      </c>
      <c r="BW306" s="28"/>
      <c r="BX306" s="139"/>
    </row>
    <row r="307" spans="1:76" s="122" customFormat="1" x14ac:dyDescent="0.25">
      <c r="A307" s="195">
        <v>13</v>
      </c>
      <c r="B307" s="216" t="str">
        <f t="shared" si="229"/>
        <v>OECD90: IFCN 2014 Report</v>
      </c>
      <c r="C307" s="227" t="s">
        <v>174</v>
      </c>
      <c r="D307" s="227" t="s">
        <v>175</v>
      </c>
      <c r="E307" s="329" t="s">
        <v>96</v>
      </c>
      <c r="F307" s="330" t="s">
        <v>104</v>
      </c>
      <c r="G307" s="220" t="s">
        <v>26</v>
      </c>
      <c r="H307" s="221">
        <v>2013</v>
      </c>
      <c r="I307" s="331"/>
      <c r="J307" s="332">
        <v>32.1</v>
      </c>
      <c r="K307" s="333" t="s">
        <v>177</v>
      </c>
      <c r="L307" s="334">
        <f t="shared" si="242"/>
        <v>10.231875</v>
      </c>
      <c r="M307" s="335" t="str">
        <f t="shared" si="230"/>
        <v>US$2014/ kg of protein</v>
      </c>
      <c r="N307" s="227"/>
      <c r="O307" s="227" t="s">
        <v>186</v>
      </c>
      <c r="Q307" s="228"/>
      <c r="R307" s="231">
        <f t="shared" si="243"/>
        <v>10.231875</v>
      </c>
      <c r="S307" s="230">
        <f t="shared" si="231"/>
        <v>10.231875</v>
      </c>
      <c r="T307" s="231">
        <f>IF(OR(Q307="Y",IFERROR(R307&gt;R315+R319*$AA$35,0),IFERROR(R307&lt;R315-R319*$AA$35,0)),"",IFERROR(R307*N307,""))</f>
        <v>0</v>
      </c>
      <c r="U307" s="232" t="str">
        <f t="shared" si="232"/>
        <v>US$2014/ kg of protein</v>
      </c>
      <c r="V307" s="28"/>
      <c r="W307" s="28"/>
      <c r="Y307" s="139"/>
      <c r="AO307" s="139"/>
      <c r="AP307" s="28"/>
      <c r="AQ307" s="28"/>
      <c r="AR307" s="237"/>
      <c r="AS307" s="28"/>
      <c r="AT307" s="304" t="str">
        <f t="shared" si="244"/>
        <v/>
      </c>
      <c r="AU307" s="304" t="str">
        <f t="shared" si="244"/>
        <v/>
      </c>
      <c r="AV307" s="28"/>
      <c r="AW307" s="304">
        <f t="shared" si="233"/>
        <v>10.231875</v>
      </c>
      <c r="AX307" s="304">
        <f t="shared" si="233"/>
        <v>10.231875</v>
      </c>
      <c r="AY307" s="28"/>
      <c r="AZ307" s="304" t="str">
        <f t="shared" si="234"/>
        <v/>
      </c>
      <c r="BA307" s="304" t="str">
        <f t="shared" si="234"/>
        <v/>
      </c>
      <c r="BB307" s="28"/>
      <c r="BC307" s="304" t="str">
        <f t="shared" si="235"/>
        <v/>
      </c>
      <c r="BD307" s="304" t="str">
        <f t="shared" si="235"/>
        <v/>
      </c>
      <c r="BE307" s="28"/>
      <c r="BF307" s="304" t="str">
        <f t="shared" si="236"/>
        <v/>
      </c>
      <c r="BG307" s="304" t="str">
        <f t="shared" si="236"/>
        <v/>
      </c>
      <c r="BH307" s="28"/>
      <c r="BI307" s="304" t="str">
        <f t="shared" si="237"/>
        <v/>
      </c>
      <c r="BJ307" s="304" t="str">
        <f t="shared" si="237"/>
        <v/>
      </c>
      <c r="BK307" s="28"/>
      <c r="BL307" s="304" t="str">
        <f t="shared" si="238"/>
        <v/>
      </c>
      <c r="BM307" s="304" t="str">
        <f t="shared" si="238"/>
        <v/>
      </c>
      <c r="BN307" s="28"/>
      <c r="BO307" s="304" t="str">
        <f t="shared" si="239"/>
        <v/>
      </c>
      <c r="BP307" s="304" t="str">
        <f t="shared" si="239"/>
        <v/>
      </c>
      <c r="BQ307" s="28"/>
      <c r="BR307" s="304" t="str">
        <f t="shared" si="240"/>
        <v/>
      </c>
      <c r="BS307" s="304" t="str">
        <f t="shared" si="240"/>
        <v/>
      </c>
      <c r="BT307" s="28"/>
      <c r="BU307" s="304" t="str">
        <f t="shared" si="241"/>
        <v/>
      </c>
      <c r="BV307" s="304" t="str">
        <f t="shared" si="241"/>
        <v/>
      </c>
      <c r="BW307" s="28"/>
      <c r="BX307" s="139"/>
    </row>
    <row r="308" spans="1:76" s="122" customFormat="1" x14ac:dyDescent="0.25">
      <c r="A308" s="195">
        <v>14</v>
      </c>
      <c r="B308" s="216" t="str">
        <f t="shared" si="229"/>
        <v>Latin America: IFCN 2014 Report</v>
      </c>
      <c r="C308" s="227" t="s">
        <v>174</v>
      </c>
      <c r="D308" s="227" t="s">
        <v>175</v>
      </c>
      <c r="E308" s="329" t="s">
        <v>100</v>
      </c>
      <c r="F308" s="330" t="s">
        <v>190</v>
      </c>
      <c r="G308" s="220" t="s">
        <v>26</v>
      </c>
      <c r="H308" s="221">
        <v>2013</v>
      </c>
      <c r="I308" s="331"/>
      <c r="J308" s="332">
        <v>22.1</v>
      </c>
      <c r="K308" s="333" t="s">
        <v>177</v>
      </c>
      <c r="L308" s="334">
        <f t="shared" si="242"/>
        <v>7.0443750000000005</v>
      </c>
      <c r="M308" s="335" t="str">
        <f t="shared" si="230"/>
        <v>US$2014/ kg of protein</v>
      </c>
      <c r="N308" s="227"/>
      <c r="O308" s="227" t="s">
        <v>186</v>
      </c>
      <c r="Q308" s="228"/>
      <c r="R308" s="231">
        <f t="shared" si="243"/>
        <v>7.0443750000000005</v>
      </c>
      <c r="S308" s="230">
        <f t="shared" si="231"/>
        <v>7.0443750000000005</v>
      </c>
      <c r="T308" s="231">
        <f>IF(OR(Q308="Y",IFERROR(R308&gt;R315+R319*$AA$35,0),IFERROR(R308&lt;R315-R319*$AA$35,0)),"",IFERROR(R308*N308,""))</f>
        <v>0</v>
      </c>
      <c r="U308" s="232" t="str">
        <f t="shared" si="232"/>
        <v>US$2014/ kg of protein</v>
      </c>
      <c r="V308" s="28"/>
      <c r="W308" s="28"/>
      <c r="Y308" s="139"/>
      <c r="AO308" s="139"/>
      <c r="AP308" s="28"/>
      <c r="AQ308" s="28"/>
      <c r="AR308" s="237"/>
      <c r="AS308" s="28"/>
      <c r="AT308" s="304" t="str">
        <f t="shared" si="244"/>
        <v/>
      </c>
      <c r="AU308" s="304" t="str">
        <f t="shared" si="244"/>
        <v/>
      </c>
      <c r="AV308" s="28"/>
      <c r="AW308" s="304" t="str">
        <f t="shared" si="233"/>
        <v/>
      </c>
      <c r="AX308" s="304" t="str">
        <f t="shared" si="233"/>
        <v/>
      </c>
      <c r="AY308" s="28"/>
      <c r="AZ308" s="304" t="str">
        <f t="shared" si="234"/>
        <v/>
      </c>
      <c r="BA308" s="304" t="str">
        <f t="shared" si="234"/>
        <v/>
      </c>
      <c r="BB308" s="28"/>
      <c r="BC308" s="304" t="str">
        <f t="shared" si="235"/>
        <v/>
      </c>
      <c r="BD308" s="304" t="str">
        <f t="shared" si="235"/>
        <v/>
      </c>
      <c r="BE308" s="28"/>
      <c r="BF308" s="304" t="str">
        <f t="shared" si="236"/>
        <v/>
      </c>
      <c r="BG308" s="304" t="str">
        <f t="shared" si="236"/>
        <v/>
      </c>
      <c r="BH308" s="28"/>
      <c r="BI308" s="304">
        <f t="shared" si="237"/>
        <v>7.0443750000000005</v>
      </c>
      <c r="BJ308" s="304">
        <f t="shared" si="237"/>
        <v>7.0443750000000005</v>
      </c>
      <c r="BK308" s="28"/>
      <c r="BL308" s="304" t="str">
        <f t="shared" si="238"/>
        <v/>
      </c>
      <c r="BM308" s="304" t="str">
        <f t="shared" si="238"/>
        <v/>
      </c>
      <c r="BN308" s="28"/>
      <c r="BO308" s="304" t="str">
        <f t="shared" si="239"/>
        <v/>
      </c>
      <c r="BP308" s="304" t="str">
        <f t="shared" si="239"/>
        <v/>
      </c>
      <c r="BQ308" s="28"/>
      <c r="BR308" s="304" t="str">
        <f t="shared" si="240"/>
        <v/>
      </c>
      <c r="BS308" s="304" t="str">
        <f t="shared" si="240"/>
        <v/>
      </c>
      <c r="BT308" s="28"/>
      <c r="BU308" s="304" t="str">
        <f t="shared" si="241"/>
        <v/>
      </c>
      <c r="BV308" s="304" t="str">
        <f t="shared" si="241"/>
        <v/>
      </c>
      <c r="BW308" s="28"/>
      <c r="BX308" s="139"/>
    </row>
    <row r="309" spans="1:76" s="122" customFormat="1" x14ac:dyDescent="0.25">
      <c r="A309" s="195">
        <v>15</v>
      </c>
      <c r="B309" s="216" t="str">
        <f t="shared" si="229"/>
        <v>Latin America: IFCN 2014 Report</v>
      </c>
      <c r="C309" s="227" t="s">
        <v>174</v>
      </c>
      <c r="D309" s="227" t="s">
        <v>175</v>
      </c>
      <c r="E309" s="329" t="s">
        <v>100</v>
      </c>
      <c r="F309" s="330" t="s">
        <v>191</v>
      </c>
      <c r="G309" s="220" t="s">
        <v>26</v>
      </c>
      <c r="H309" s="221">
        <v>2013</v>
      </c>
      <c r="I309" s="331"/>
      <c r="J309" s="332">
        <v>24.4</v>
      </c>
      <c r="K309" s="333" t="s">
        <v>177</v>
      </c>
      <c r="L309" s="334">
        <f t="shared" si="242"/>
        <v>7.777499999999999</v>
      </c>
      <c r="M309" s="335" t="str">
        <f t="shared" si="230"/>
        <v>US$2014/ kg of protein</v>
      </c>
      <c r="N309" s="227"/>
      <c r="O309" s="227" t="s">
        <v>186</v>
      </c>
      <c r="Q309" s="228"/>
      <c r="R309" s="231">
        <f t="shared" si="243"/>
        <v>7.777499999999999</v>
      </c>
      <c r="S309" s="230">
        <f t="shared" si="231"/>
        <v>7.777499999999999</v>
      </c>
      <c r="T309" s="231">
        <f>IF(OR(Q309="Y",IFERROR(R309&gt;R315+R319*$AA$35,0),IFERROR(R309&lt;R315-R319*$AA$35,0)),"",IFERROR(R309*N309,""))</f>
        <v>0</v>
      </c>
      <c r="U309" s="232" t="str">
        <f t="shared" si="232"/>
        <v>US$2014/ kg of protein</v>
      </c>
      <c r="V309" s="28"/>
      <c r="W309" s="28"/>
      <c r="Y309" s="139"/>
      <c r="AO309" s="139"/>
      <c r="AP309" s="28"/>
      <c r="AQ309" s="28"/>
      <c r="AR309" s="237"/>
      <c r="AS309" s="28"/>
      <c r="AT309" s="304" t="str">
        <f t="shared" si="244"/>
        <v/>
      </c>
      <c r="AU309" s="304" t="str">
        <f t="shared" si="244"/>
        <v/>
      </c>
      <c r="AV309" s="28"/>
      <c r="AW309" s="304" t="str">
        <f t="shared" si="233"/>
        <v/>
      </c>
      <c r="AX309" s="304" t="str">
        <f t="shared" si="233"/>
        <v/>
      </c>
      <c r="AY309" s="28"/>
      <c r="AZ309" s="304" t="str">
        <f t="shared" si="234"/>
        <v/>
      </c>
      <c r="BA309" s="304" t="str">
        <f t="shared" si="234"/>
        <v/>
      </c>
      <c r="BB309" s="28"/>
      <c r="BC309" s="304" t="str">
        <f t="shared" si="235"/>
        <v/>
      </c>
      <c r="BD309" s="304" t="str">
        <f t="shared" si="235"/>
        <v/>
      </c>
      <c r="BE309" s="28"/>
      <c r="BF309" s="304" t="str">
        <f t="shared" si="236"/>
        <v/>
      </c>
      <c r="BG309" s="304" t="str">
        <f t="shared" si="236"/>
        <v/>
      </c>
      <c r="BH309" s="28"/>
      <c r="BI309" s="304">
        <f t="shared" si="237"/>
        <v>7.777499999999999</v>
      </c>
      <c r="BJ309" s="304">
        <f t="shared" si="237"/>
        <v>7.777499999999999</v>
      </c>
      <c r="BK309" s="28"/>
      <c r="BL309" s="304" t="str">
        <f t="shared" si="238"/>
        <v/>
      </c>
      <c r="BM309" s="304" t="str">
        <f t="shared" si="238"/>
        <v/>
      </c>
      <c r="BN309" s="28"/>
      <c r="BO309" s="304" t="str">
        <f t="shared" si="239"/>
        <v/>
      </c>
      <c r="BP309" s="304" t="str">
        <f t="shared" si="239"/>
        <v/>
      </c>
      <c r="BQ309" s="28"/>
      <c r="BR309" s="304" t="str">
        <f t="shared" si="240"/>
        <v/>
      </c>
      <c r="BS309" s="304" t="str">
        <f t="shared" si="240"/>
        <v/>
      </c>
      <c r="BT309" s="28"/>
      <c r="BU309" s="304" t="str">
        <f t="shared" si="241"/>
        <v/>
      </c>
      <c r="BV309" s="304" t="str">
        <f t="shared" si="241"/>
        <v/>
      </c>
      <c r="BW309" s="28"/>
      <c r="BX309" s="139"/>
    </row>
    <row r="310" spans="1:76" s="122" customFormat="1" x14ac:dyDescent="0.25">
      <c r="A310" s="195">
        <v>16</v>
      </c>
      <c r="B310" s="216" t="str">
        <f t="shared" si="229"/>
        <v>OECD90: IFCN 2014 Report</v>
      </c>
      <c r="C310" s="227" t="s">
        <v>174</v>
      </c>
      <c r="D310" s="227" t="s">
        <v>175</v>
      </c>
      <c r="E310" s="329" t="s">
        <v>96</v>
      </c>
      <c r="F310" s="330" t="s">
        <v>192</v>
      </c>
      <c r="G310" s="220" t="s">
        <v>26</v>
      </c>
      <c r="H310" s="221">
        <v>2013</v>
      </c>
      <c r="I310" s="331"/>
      <c r="J310" s="332">
        <v>39.6</v>
      </c>
      <c r="K310" s="333" t="s">
        <v>177</v>
      </c>
      <c r="L310" s="334">
        <f t="shared" si="242"/>
        <v>12.6225</v>
      </c>
      <c r="M310" s="335" t="str">
        <f t="shared" si="230"/>
        <v>US$2014/ kg of protein</v>
      </c>
      <c r="N310" s="227"/>
      <c r="O310" s="227" t="s">
        <v>186</v>
      </c>
      <c r="Q310" s="228"/>
      <c r="R310" s="231">
        <f t="shared" si="243"/>
        <v>12.6225</v>
      </c>
      <c r="S310" s="230">
        <f t="shared" si="231"/>
        <v>12.6225</v>
      </c>
      <c r="T310" s="231">
        <f>IF(OR(Q310="Y",IFERROR(R310&gt;R315+R319*$AA$35,0),IFERROR(R310&lt;R315-R319*$AA$35,0)),"",IFERROR(R310*N310,""))</f>
        <v>0</v>
      </c>
      <c r="U310" s="232" t="str">
        <f t="shared" si="232"/>
        <v>US$2014/ kg of protein</v>
      </c>
      <c r="V310" s="28"/>
      <c r="W310" s="28"/>
      <c r="Y310" s="139"/>
      <c r="AO310" s="139"/>
      <c r="AP310" s="28"/>
      <c r="AQ310" s="28"/>
      <c r="AR310" s="237"/>
      <c r="AS310" s="28"/>
      <c r="AT310" s="304" t="str">
        <f t="shared" si="244"/>
        <v/>
      </c>
      <c r="AU310" s="304" t="str">
        <f t="shared" si="244"/>
        <v/>
      </c>
      <c r="AV310" s="28"/>
      <c r="AW310" s="304">
        <f t="shared" si="233"/>
        <v>12.6225</v>
      </c>
      <c r="AX310" s="304">
        <f t="shared" si="233"/>
        <v>12.6225</v>
      </c>
      <c r="AY310" s="28"/>
      <c r="AZ310" s="304" t="str">
        <f t="shared" si="234"/>
        <v/>
      </c>
      <c r="BA310" s="304" t="str">
        <f t="shared" si="234"/>
        <v/>
      </c>
      <c r="BB310" s="28"/>
      <c r="BC310" s="304" t="str">
        <f t="shared" si="235"/>
        <v/>
      </c>
      <c r="BD310" s="304" t="str">
        <f t="shared" si="235"/>
        <v/>
      </c>
      <c r="BE310" s="28"/>
      <c r="BF310" s="304" t="str">
        <f t="shared" si="236"/>
        <v/>
      </c>
      <c r="BG310" s="304" t="str">
        <f t="shared" si="236"/>
        <v/>
      </c>
      <c r="BH310" s="28"/>
      <c r="BI310" s="304" t="str">
        <f t="shared" si="237"/>
        <v/>
      </c>
      <c r="BJ310" s="304" t="str">
        <f t="shared" si="237"/>
        <v/>
      </c>
      <c r="BK310" s="28"/>
      <c r="BL310" s="304" t="str">
        <f t="shared" si="238"/>
        <v/>
      </c>
      <c r="BM310" s="304" t="str">
        <f t="shared" si="238"/>
        <v/>
      </c>
      <c r="BN310" s="28"/>
      <c r="BO310" s="304" t="str">
        <f t="shared" si="239"/>
        <v/>
      </c>
      <c r="BP310" s="304" t="str">
        <f t="shared" si="239"/>
        <v/>
      </c>
      <c r="BQ310" s="28"/>
      <c r="BR310" s="304" t="str">
        <f t="shared" si="240"/>
        <v/>
      </c>
      <c r="BS310" s="304" t="str">
        <f t="shared" si="240"/>
        <v/>
      </c>
      <c r="BT310" s="28"/>
      <c r="BU310" s="304" t="str">
        <f t="shared" si="241"/>
        <v/>
      </c>
      <c r="BV310" s="304" t="str">
        <f t="shared" si="241"/>
        <v/>
      </c>
      <c r="BW310" s="28"/>
      <c r="BX310" s="139"/>
    </row>
    <row r="311" spans="1:76" s="122" customFormat="1" x14ac:dyDescent="0.25">
      <c r="A311" s="195">
        <v>17</v>
      </c>
      <c r="B311" s="216" t="str">
        <f t="shared" si="229"/>
        <v>Asia (Sans Japan): IFCN 2014 Report</v>
      </c>
      <c r="C311" s="227" t="s">
        <v>174</v>
      </c>
      <c r="D311" s="227" t="s">
        <v>175</v>
      </c>
      <c r="E311" s="329" t="s">
        <v>98</v>
      </c>
      <c r="F311" s="330" t="s">
        <v>101</v>
      </c>
      <c r="G311" s="220" t="s">
        <v>26</v>
      </c>
      <c r="H311" s="221">
        <v>2013</v>
      </c>
      <c r="I311" s="331"/>
      <c r="J311" s="332">
        <v>48.6</v>
      </c>
      <c r="K311" s="333" t="s">
        <v>177</v>
      </c>
      <c r="L311" s="334">
        <f t="shared" si="242"/>
        <v>15.491250000000001</v>
      </c>
      <c r="M311" s="335" t="str">
        <f t="shared" si="230"/>
        <v>US$2014/ kg of protein</v>
      </c>
      <c r="N311" s="227"/>
      <c r="O311" s="227" t="s">
        <v>186</v>
      </c>
      <c r="Q311" s="228"/>
      <c r="R311" s="231">
        <f t="shared" si="243"/>
        <v>15.491250000000001</v>
      </c>
      <c r="S311" s="230">
        <f t="shared" si="231"/>
        <v>15.491250000000001</v>
      </c>
      <c r="T311" s="231">
        <f>IF(OR(Q311="Y",IFERROR(R311&gt;R315+R319*$AA$35,0),IFERROR(R311&lt;R315-R319*$AA$35,0)),"",IFERROR(R311*N311,""))</f>
        <v>0</v>
      </c>
      <c r="U311" s="232" t="str">
        <f t="shared" si="232"/>
        <v>US$2014/ kg of protein</v>
      </c>
      <c r="V311" s="28"/>
      <c r="W311" s="28"/>
      <c r="Y311" s="139"/>
      <c r="AO311" s="139"/>
      <c r="AP311" s="28"/>
      <c r="AQ311" s="28"/>
      <c r="AR311" s="237"/>
      <c r="AS311" s="28"/>
      <c r="AT311" s="304" t="str">
        <f t="shared" si="244"/>
        <v/>
      </c>
      <c r="AU311" s="304" t="str">
        <f t="shared" si="244"/>
        <v/>
      </c>
      <c r="AV311" s="28"/>
      <c r="AW311" s="304" t="str">
        <f t="shared" si="233"/>
        <v/>
      </c>
      <c r="AX311" s="304" t="str">
        <f t="shared" si="233"/>
        <v/>
      </c>
      <c r="AY311" s="28"/>
      <c r="AZ311" s="304" t="str">
        <f t="shared" si="234"/>
        <v/>
      </c>
      <c r="BA311" s="304" t="str">
        <f t="shared" si="234"/>
        <v/>
      </c>
      <c r="BB311" s="28"/>
      <c r="BC311" s="304">
        <f t="shared" si="235"/>
        <v>15.491250000000001</v>
      </c>
      <c r="BD311" s="304">
        <f t="shared" si="235"/>
        <v>15.491250000000001</v>
      </c>
      <c r="BE311" s="28"/>
      <c r="BF311" s="304" t="str">
        <f t="shared" si="236"/>
        <v/>
      </c>
      <c r="BG311" s="304" t="str">
        <f t="shared" si="236"/>
        <v/>
      </c>
      <c r="BH311" s="28"/>
      <c r="BI311" s="304" t="str">
        <f t="shared" si="237"/>
        <v/>
      </c>
      <c r="BJ311" s="304" t="str">
        <f t="shared" si="237"/>
        <v/>
      </c>
      <c r="BK311" s="28"/>
      <c r="BL311" s="304" t="str">
        <f t="shared" si="238"/>
        <v/>
      </c>
      <c r="BM311" s="304" t="str">
        <f t="shared" si="238"/>
        <v/>
      </c>
      <c r="BN311" s="28"/>
      <c r="BO311" s="304" t="str">
        <f t="shared" si="239"/>
        <v/>
      </c>
      <c r="BP311" s="304" t="str">
        <f t="shared" si="239"/>
        <v/>
      </c>
      <c r="BQ311" s="28"/>
      <c r="BR311" s="304" t="str">
        <f t="shared" si="240"/>
        <v/>
      </c>
      <c r="BS311" s="304" t="str">
        <f t="shared" si="240"/>
        <v/>
      </c>
      <c r="BT311" s="28"/>
      <c r="BU311" s="304" t="str">
        <f t="shared" si="241"/>
        <v/>
      </c>
      <c r="BV311" s="304" t="str">
        <f t="shared" si="241"/>
        <v/>
      </c>
      <c r="BW311" s="28"/>
      <c r="BX311" s="139"/>
    </row>
    <row r="312" spans="1:76" s="122" customFormat="1" x14ac:dyDescent="0.25">
      <c r="A312" s="195">
        <v>18</v>
      </c>
      <c r="B312" s="216" t="str">
        <f t="shared" si="229"/>
        <v>Asia (Sans Japan): IFCN 2014 Report</v>
      </c>
      <c r="C312" s="227" t="s">
        <v>174</v>
      </c>
      <c r="D312" s="227" t="s">
        <v>175</v>
      </c>
      <c r="E312" s="329" t="s">
        <v>98</v>
      </c>
      <c r="F312" s="330" t="s">
        <v>102</v>
      </c>
      <c r="G312" s="220" t="s">
        <v>26</v>
      </c>
      <c r="H312" s="221">
        <v>2013</v>
      </c>
      <c r="I312" s="331"/>
      <c r="J312" s="332">
        <v>34.4</v>
      </c>
      <c r="K312" s="333" t="s">
        <v>177</v>
      </c>
      <c r="L312" s="334">
        <f t="shared" si="242"/>
        <v>10.965</v>
      </c>
      <c r="M312" s="335" t="str">
        <f t="shared" si="230"/>
        <v>US$2014/ kg of protein</v>
      </c>
      <c r="N312" s="227"/>
      <c r="O312" s="227" t="s">
        <v>186</v>
      </c>
      <c r="Q312" s="228"/>
      <c r="R312" s="231">
        <f t="shared" si="243"/>
        <v>10.965</v>
      </c>
      <c r="S312" s="230">
        <f t="shared" si="231"/>
        <v>10.965</v>
      </c>
      <c r="T312" s="231">
        <f>IF(OR(Q312="Y",IFERROR(R312&gt;R315+R319*$AA$35,0),IFERROR(R312&lt;R315-R319*$AA$35,0)),"",IFERROR(R312*N312,""))</f>
        <v>0</v>
      </c>
      <c r="U312" s="232" t="str">
        <f t="shared" si="232"/>
        <v>US$2014/ kg of protein</v>
      </c>
      <c r="V312" s="28"/>
      <c r="W312" s="28"/>
      <c r="Y312" s="139"/>
      <c r="AO312" s="139"/>
      <c r="AP312" s="28"/>
      <c r="AQ312" s="28"/>
      <c r="AR312" s="237"/>
      <c r="AS312" s="28"/>
      <c r="AT312" s="304" t="str">
        <f t="shared" si="244"/>
        <v/>
      </c>
      <c r="AU312" s="304" t="str">
        <f t="shared" si="244"/>
        <v/>
      </c>
      <c r="AV312" s="28"/>
      <c r="AW312" s="304" t="str">
        <f t="shared" si="233"/>
        <v/>
      </c>
      <c r="AX312" s="304" t="str">
        <f t="shared" si="233"/>
        <v/>
      </c>
      <c r="AY312" s="28"/>
      <c r="AZ312" s="304" t="str">
        <f t="shared" si="234"/>
        <v/>
      </c>
      <c r="BA312" s="304" t="str">
        <f t="shared" si="234"/>
        <v/>
      </c>
      <c r="BB312" s="28"/>
      <c r="BC312" s="304">
        <f t="shared" si="235"/>
        <v>10.965</v>
      </c>
      <c r="BD312" s="304">
        <f t="shared" si="235"/>
        <v>10.965</v>
      </c>
      <c r="BE312" s="28"/>
      <c r="BF312" s="304" t="str">
        <f t="shared" si="236"/>
        <v/>
      </c>
      <c r="BG312" s="304" t="str">
        <f t="shared" si="236"/>
        <v/>
      </c>
      <c r="BH312" s="28"/>
      <c r="BI312" s="304" t="str">
        <f t="shared" si="237"/>
        <v/>
      </c>
      <c r="BJ312" s="304" t="str">
        <f t="shared" si="237"/>
        <v/>
      </c>
      <c r="BK312" s="28"/>
      <c r="BL312" s="304" t="str">
        <f t="shared" si="238"/>
        <v/>
      </c>
      <c r="BM312" s="304" t="str">
        <f t="shared" si="238"/>
        <v/>
      </c>
      <c r="BN312" s="28"/>
      <c r="BO312" s="304" t="str">
        <f t="shared" si="239"/>
        <v/>
      </c>
      <c r="BP312" s="304" t="str">
        <f t="shared" si="239"/>
        <v/>
      </c>
      <c r="BQ312" s="28"/>
      <c r="BR312" s="304" t="str">
        <f t="shared" si="240"/>
        <v/>
      </c>
      <c r="BS312" s="304" t="str">
        <f t="shared" si="240"/>
        <v/>
      </c>
      <c r="BT312" s="28"/>
      <c r="BU312" s="304" t="str">
        <f t="shared" si="241"/>
        <v/>
      </c>
      <c r="BV312" s="304" t="str">
        <f t="shared" si="241"/>
        <v/>
      </c>
      <c r="BW312" s="28"/>
      <c r="BX312" s="139"/>
    </row>
    <row r="313" spans="1:76" s="122" customFormat="1" x14ac:dyDescent="0.25">
      <c r="A313" s="195">
        <v>19</v>
      </c>
      <c r="B313" s="216" t="str">
        <f t="shared" si="229"/>
        <v>Middle East and Africa: IFCN 2014 Report</v>
      </c>
      <c r="C313" s="227" t="s">
        <v>174</v>
      </c>
      <c r="D313" s="227" t="s">
        <v>175</v>
      </c>
      <c r="E313" s="219" t="s">
        <v>99</v>
      </c>
      <c r="F313" s="219" t="s">
        <v>193</v>
      </c>
      <c r="G313" s="220" t="s">
        <v>26</v>
      </c>
      <c r="H313" s="221">
        <v>2013</v>
      </c>
      <c r="I313" s="331"/>
      <c r="J313" s="336">
        <v>15.5</v>
      </c>
      <c r="K313" s="333" t="s">
        <v>177</v>
      </c>
      <c r="L313" s="334">
        <f t="shared" si="242"/>
        <v>4.9406249999999998</v>
      </c>
      <c r="M313" s="335" t="str">
        <f t="shared" si="230"/>
        <v>US$2014/ kg of protein</v>
      </c>
      <c r="N313" s="227"/>
      <c r="O313" s="227" t="s">
        <v>186</v>
      </c>
      <c r="Q313" s="228"/>
      <c r="R313" s="231">
        <f t="shared" si="243"/>
        <v>4.9406249999999998</v>
      </c>
      <c r="S313" s="230">
        <f t="shared" si="231"/>
        <v>4.9406249999999998</v>
      </c>
      <c r="T313" s="231">
        <f>IF(OR(Q313="Y",IFERROR(R313&gt;R315+R319*$AA$35,0),IFERROR(R313&lt;R315-R319*$AA$35,0)),"",IFERROR(R313*N313,""))</f>
        <v>0</v>
      </c>
      <c r="U313" s="232" t="str">
        <f t="shared" si="232"/>
        <v>US$2014/ kg of protein</v>
      </c>
      <c r="V313" s="28"/>
      <c r="W313" s="28"/>
      <c r="Y313" s="139"/>
      <c r="AO313" s="139"/>
      <c r="AP313" s="28"/>
      <c r="AQ313" s="28"/>
      <c r="AR313" s="237"/>
      <c r="AS313" s="28"/>
      <c r="AT313" s="304" t="str">
        <f t="shared" si="244"/>
        <v/>
      </c>
      <c r="AU313" s="304" t="str">
        <f t="shared" si="244"/>
        <v/>
      </c>
      <c r="AV313" s="28"/>
      <c r="AW313" s="304" t="str">
        <f t="shared" si="233"/>
        <v/>
      </c>
      <c r="AX313" s="304" t="str">
        <f t="shared" si="233"/>
        <v/>
      </c>
      <c r="AY313" s="28"/>
      <c r="AZ313" s="304" t="str">
        <f t="shared" si="234"/>
        <v/>
      </c>
      <c r="BA313" s="304" t="str">
        <f t="shared" si="234"/>
        <v/>
      </c>
      <c r="BB313" s="28"/>
      <c r="BC313" s="304" t="str">
        <f t="shared" si="235"/>
        <v/>
      </c>
      <c r="BD313" s="304" t="str">
        <f t="shared" si="235"/>
        <v/>
      </c>
      <c r="BE313" s="28"/>
      <c r="BF313" s="304">
        <f t="shared" si="236"/>
        <v>4.9406249999999998</v>
      </c>
      <c r="BG313" s="304">
        <f t="shared" si="236"/>
        <v>4.9406249999999998</v>
      </c>
      <c r="BH313" s="28"/>
      <c r="BI313" s="304" t="str">
        <f t="shared" si="237"/>
        <v/>
      </c>
      <c r="BJ313" s="304" t="str">
        <f t="shared" si="237"/>
        <v/>
      </c>
      <c r="BK313" s="28"/>
      <c r="BL313" s="304" t="str">
        <f t="shared" si="238"/>
        <v/>
      </c>
      <c r="BM313" s="304" t="str">
        <f t="shared" si="238"/>
        <v/>
      </c>
      <c r="BN313" s="28"/>
      <c r="BO313" s="304" t="str">
        <f t="shared" si="239"/>
        <v/>
      </c>
      <c r="BP313" s="304" t="str">
        <f t="shared" si="239"/>
        <v/>
      </c>
      <c r="BQ313" s="28"/>
      <c r="BR313" s="304" t="str">
        <f t="shared" si="240"/>
        <v/>
      </c>
      <c r="BS313" s="304" t="str">
        <f t="shared" si="240"/>
        <v/>
      </c>
      <c r="BT313" s="28"/>
      <c r="BU313" s="304" t="str">
        <f t="shared" si="241"/>
        <v/>
      </c>
      <c r="BV313" s="304" t="str">
        <f t="shared" si="241"/>
        <v/>
      </c>
      <c r="BW313" s="28"/>
      <c r="BX313" s="139"/>
    </row>
    <row r="314" spans="1:76" s="122" customFormat="1" x14ac:dyDescent="0.25">
      <c r="A314" s="195">
        <v>20</v>
      </c>
      <c r="B314" s="216" t="str">
        <f t="shared" si="229"/>
        <v>OECD90: IFCN 2014 Report</v>
      </c>
      <c r="C314" s="227" t="s">
        <v>174</v>
      </c>
      <c r="D314" s="227" t="s">
        <v>175</v>
      </c>
      <c r="E314" s="219" t="s">
        <v>96</v>
      </c>
      <c r="F314" s="219" t="s">
        <v>194</v>
      </c>
      <c r="G314" s="220" t="s">
        <v>26</v>
      </c>
      <c r="H314" s="221">
        <v>2013</v>
      </c>
      <c r="I314" s="331"/>
      <c r="J314" s="336">
        <v>69.400000000000006</v>
      </c>
      <c r="K314" s="333" t="s">
        <v>177</v>
      </c>
      <c r="L314" s="334">
        <f t="shared" si="242"/>
        <v>22.121250000000003</v>
      </c>
      <c r="M314" s="335" t="str">
        <f t="shared" si="230"/>
        <v>US$2014/ kg of protein</v>
      </c>
      <c r="N314" s="227"/>
      <c r="O314" s="227" t="s">
        <v>186</v>
      </c>
      <c r="Q314" s="228"/>
      <c r="R314" s="231">
        <f t="shared" si="243"/>
        <v>22.121250000000003</v>
      </c>
      <c r="S314" s="230" t="str">
        <f t="shared" si="231"/>
        <v/>
      </c>
      <c r="T314" s="231" t="str">
        <f>IF(OR(Q314="Y",IFERROR(R314&gt;R315+R319*$AA$35,0),IFERROR(R314&lt;R315-R319*$AA$35,0)),"",IFERROR(R314*N314,""))</f>
        <v/>
      </c>
      <c r="U314" s="232" t="str">
        <f t="shared" si="232"/>
        <v>US$2014/ kg of protein</v>
      </c>
      <c r="V314" s="28"/>
      <c r="W314" s="28"/>
      <c r="Y314" s="139"/>
      <c r="AO314" s="139"/>
      <c r="AP314" s="28"/>
      <c r="AQ314" s="28"/>
      <c r="AR314" s="237"/>
      <c r="AS314" s="28"/>
      <c r="AT314" s="304" t="str">
        <f t="shared" si="244"/>
        <v/>
      </c>
      <c r="AU314" s="304" t="str">
        <f t="shared" si="244"/>
        <v/>
      </c>
      <c r="AV314" s="28"/>
      <c r="AW314" s="304">
        <f t="shared" si="233"/>
        <v>22.121250000000003</v>
      </c>
      <c r="AX314" s="304" t="str">
        <f t="shared" si="233"/>
        <v/>
      </c>
      <c r="AY314" s="28"/>
      <c r="AZ314" s="304" t="str">
        <f t="shared" si="234"/>
        <v/>
      </c>
      <c r="BA314" s="304" t="str">
        <f t="shared" si="234"/>
        <v/>
      </c>
      <c r="BB314" s="28"/>
      <c r="BC314" s="304" t="str">
        <f t="shared" si="235"/>
        <v/>
      </c>
      <c r="BD314" s="304" t="str">
        <f t="shared" si="235"/>
        <v/>
      </c>
      <c r="BE314" s="28"/>
      <c r="BF314" s="304" t="str">
        <f t="shared" si="236"/>
        <v/>
      </c>
      <c r="BG314" s="304" t="str">
        <f t="shared" si="236"/>
        <v/>
      </c>
      <c r="BH314" s="28"/>
      <c r="BI314" s="304" t="str">
        <f t="shared" si="237"/>
        <v/>
      </c>
      <c r="BJ314" s="304" t="str">
        <f t="shared" si="237"/>
        <v/>
      </c>
      <c r="BK314" s="28"/>
      <c r="BL314" s="304" t="str">
        <f t="shared" si="238"/>
        <v/>
      </c>
      <c r="BM314" s="304" t="str">
        <f t="shared" si="238"/>
        <v/>
      </c>
      <c r="BN314" s="28"/>
      <c r="BO314" s="304" t="str">
        <f t="shared" si="239"/>
        <v/>
      </c>
      <c r="BP314" s="304" t="str">
        <f t="shared" si="239"/>
        <v/>
      </c>
      <c r="BQ314" s="28"/>
      <c r="BR314" s="304" t="str">
        <f t="shared" si="240"/>
        <v/>
      </c>
      <c r="BS314" s="304" t="str">
        <f t="shared" si="240"/>
        <v/>
      </c>
      <c r="BT314" s="28"/>
      <c r="BU314" s="304" t="str">
        <f t="shared" si="241"/>
        <v/>
      </c>
      <c r="BV314" s="304" t="str">
        <f t="shared" si="241"/>
        <v/>
      </c>
      <c r="BW314" s="28"/>
      <c r="BX314" s="139"/>
    </row>
    <row r="315" spans="1:76" s="122" customFormat="1" x14ac:dyDescent="0.25">
      <c r="A315" s="195"/>
      <c r="B315" s="244" t="s">
        <v>163</v>
      </c>
      <c r="C315" s="199"/>
      <c r="D315" s="199"/>
      <c r="E315" s="199"/>
      <c r="F315" s="199"/>
      <c r="H315" s="28"/>
      <c r="I315" s="245"/>
      <c r="L315" s="122" t="s">
        <v>134</v>
      </c>
      <c r="Q315" s="305" t="s">
        <v>136</v>
      </c>
      <c r="R315" s="246">
        <f>AVERAGE(R295:R314)</f>
        <v>10.112821875000002</v>
      </c>
      <c r="S315" s="247">
        <f>IF(R323="Y",SUM(S295:S314)/SUMPRODUCT(N295:N314,--ISNUMBER(S295:S314)),AVERAGE(S295:S314))</f>
        <v>9.4807993421052643</v>
      </c>
      <c r="T315" s="248" t="e">
        <f>SUM(T295:T314)/SUMPRODUCT(N295:N314,--ISNUMBER(T295:T314))</f>
        <v>#DIV/0!</v>
      </c>
      <c r="U315" s="28"/>
      <c r="V315" s="28"/>
      <c r="W315" s="28"/>
      <c r="Y315" s="249"/>
      <c r="AO315" s="139"/>
      <c r="AP315" s="28"/>
      <c r="AQ315" s="28"/>
      <c r="AR315" s="28"/>
      <c r="AS315" s="245" t="s">
        <v>136</v>
      </c>
      <c r="AT315" s="307">
        <f>AVERAGE(AT295:AT314)</f>
        <v>10.327500000000001</v>
      </c>
      <c r="AU315" s="307">
        <f>SUM(AU295:AU314)/COUNTIF(AU295:AU314,"&gt;0")</f>
        <v>10.327500000000001</v>
      </c>
      <c r="AV315" s="245"/>
      <c r="AW315" s="307">
        <f>AVERAGE(AW295:AW314)</f>
        <v>11.786464285714288</v>
      </c>
      <c r="AX315" s="307">
        <f>SUM(AX295:AX314)/COUNTIF(AX295:AX314,"&gt;0")</f>
        <v>10.064000000000002</v>
      </c>
      <c r="AY315" s="28"/>
      <c r="AZ315" s="307">
        <f>AVERAGE(AZ295:AZ314)</f>
        <v>8.6848749999999999</v>
      </c>
      <c r="BA315" s="307">
        <f>SUM(BA295:BA314)/COUNTIF(BA295:BA314,"&gt;0")</f>
        <v>8.6848749999999999</v>
      </c>
      <c r="BB315" s="28"/>
      <c r="BC315" s="307">
        <f>AVERAGE(BC295:BC314)</f>
        <v>12.388750000000002</v>
      </c>
      <c r="BD315" s="307">
        <f>SUM(BD295:BD314)/COUNTIF(BD295:BD314,"&gt;0")</f>
        <v>12.388750000000002</v>
      </c>
      <c r="BE315" s="28"/>
      <c r="BF315" s="307">
        <f>AVERAGE(BF295:BF314)</f>
        <v>7.9443124999999997</v>
      </c>
      <c r="BG315" s="307">
        <f>SUM(BG295:BG314)/COUNTIF(BG295:BG314,"&gt;0")</f>
        <v>7.9443124999999997</v>
      </c>
      <c r="BH315" s="28"/>
      <c r="BI315" s="307">
        <f>AVERAGE(BI295:BI314)</f>
        <v>7.4566249999999998</v>
      </c>
      <c r="BJ315" s="307">
        <f>SUM(BJ295:BJ314)/COUNTIF(BJ295:BJ314,"&gt;0")</f>
        <v>7.4566249999999998</v>
      </c>
      <c r="BK315" s="245"/>
      <c r="BL315" s="307" t="e">
        <f>AVERAGE(BL295:BL314)</f>
        <v>#DIV/0!</v>
      </c>
      <c r="BM315" s="307" t="e">
        <f>SUM(BM295:BM314)/COUNTIF(BM295:BM314,"&gt;0")</f>
        <v>#DIV/0!</v>
      </c>
      <c r="BN315" s="28"/>
      <c r="BO315" s="307" t="e">
        <f>AVERAGE(BO295:BO314)</f>
        <v>#DIV/0!</v>
      </c>
      <c r="BP315" s="307" t="e">
        <f>SUM(BP295:BP314)/COUNTIF(BP295:BP314,"&gt;0")</f>
        <v>#DIV/0!</v>
      </c>
      <c r="BQ315" s="28"/>
      <c r="BR315" s="307" t="e">
        <f>AVERAGE(BR295:BR314)</f>
        <v>#DIV/0!</v>
      </c>
      <c r="BS315" s="307" t="e">
        <f>SUM(BS295:BS314)/COUNTIF(BS295:BS314,"&gt;0")</f>
        <v>#DIV/0!</v>
      </c>
      <c r="BT315" s="28"/>
      <c r="BU315" s="307" t="e">
        <f>AVERAGE(BU295:BU314)</f>
        <v>#DIV/0!</v>
      </c>
      <c r="BV315" s="307" t="e">
        <f>SUM(BV295:BV314)/COUNTIF(BV295:BV314,"&gt;0")</f>
        <v>#DIV/0!</v>
      </c>
      <c r="BW315" s="28"/>
      <c r="BX315" s="139"/>
    </row>
    <row r="316" spans="1:76" s="122" customFormat="1" ht="15" customHeight="1" x14ac:dyDescent="0.25">
      <c r="A316" s="195"/>
      <c r="B316" s="244" t="s">
        <v>164</v>
      </c>
      <c r="C316" s="199" t="s">
        <v>139</v>
      </c>
      <c r="D316" s="252" t="s">
        <v>195</v>
      </c>
      <c r="E316" s="253"/>
      <c r="F316" s="253"/>
      <c r="G316" s="253"/>
      <c r="H316" s="253"/>
      <c r="I316" s="253"/>
      <c r="J316" s="254"/>
      <c r="Q316" s="306" t="s">
        <v>144</v>
      </c>
      <c r="R316" s="257">
        <f>R315+U316*R319</f>
        <v>13.958261945905909</v>
      </c>
      <c r="S316" s="257">
        <f>S315+U316*S319</f>
        <v>12.159613696822559</v>
      </c>
      <c r="T316" s="257" t="e">
        <f>T315+U316*T319</f>
        <v>#DIV/0!</v>
      </c>
      <c r="U316" s="258">
        <v>1</v>
      </c>
      <c r="V316" s="122" t="s">
        <v>142</v>
      </c>
      <c r="W316" s="28"/>
      <c r="X316" s="259" t="s">
        <v>143</v>
      </c>
      <c r="Y316" s="260"/>
      <c r="AO316" s="139"/>
      <c r="AP316" s="28"/>
      <c r="AQ316" s="28"/>
      <c r="AR316" s="28"/>
      <c r="AS316" s="256" t="s">
        <v>144</v>
      </c>
      <c r="AT316" s="261">
        <f>AT315+(AT321*AT318)</f>
        <v>10.327500000000001</v>
      </c>
      <c r="AU316" s="261">
        <f>AU315+(AU321*AT318)</f>
        <v>10.327500000000001</v>
      </c>
      <c r="AV316" s="256"/>
      <c r="AW316" s="261">
        <f>AW315+(AW321*AW318)</f>
        <v>16.713671471682805</v>
      </c>
      <c r="AX316" s="261">
        <f>AX315+(AX321*AW318)</f>
        <v>12.116078403335862</v>
      </c>
      <c r="AY316" s="28"/>
      <c r="AZ316" s="261">
        <f>AZ315+(AZ321*AZ318)</f>
        <v>10.880008228445368</v>
      </c>
      <c r="BA316" s="261">
        <f>BA315+(BA321*AZ318)</f>
        <v>10.880008228445368</v>
      </c>
      <c r="BB316" s="28"/>
      <c r="BC316" s="261">
        <f>BC315+(BC321*BC318)</f>
        <v>15.078617271353732</v>
      </c>
      <c r="BD316" s="261">
        <f>BD315+(BD321*BC318)</f>
        <v>15.078617271353732</v>
      </c>
      <c r="BE316" s="28"/>
      <c r="BF316" s="261">
        <f>BF315+(BF321*BF318)</f>
        <v>12.086991279806156</v>
      </c>
      <c r="BG316" s="261">
        <f>BG315+(BG321*BF318)</f>
        <v>12.086991279806156</v>
      </c>
      <c r="BH316" s="28"/>
      <c r="BI316" s="261">
        <f>BI315+(BI321*BI318)</f>
        <v>7.8316318124381201</v>
      </c>
      <c r="BJ316" s="261">
        <f>BJ315+(BJ321*BI318)</f>
        <v>7.8316318124381201</v>
      </c>
      <c r="BK316" s="256"/>
      <c r="BL316" s="261" t="e">
        <f>BL315+(BL321*BL318)</f>
        <v>#DIV/0!</v>
      </c>
      <c r="BM316" s="261" t="e">
        <f>BM315+(BM321*BL318)</f>
        <v>#DIV/0!</v>
      </c>
      <c r="BN316" s="28"/>
      <c r="BO316" s="261" t="e">
        <f>BO315+(BO321*BO318)</f>
        <v>#DIV/0!</v>
      </c>
      <c r="BP316" s="261" t="e">
        <f>BP315+(BP321*BO318)</f>
        <v>#DIV/0!</v>
      </c>
      <c r="BQ316" s="28"/>
      <c r="BR316" s="261" t="e">
        <f>BR315+(BR321*BR318)</f>
        <v>#DIV/0!</v>
      </c>
      <c r="BS316" s="261" t="e">
        <f>BS315+(BS321*BR318)</f>
        <v>#DIV/0!</v>
      </c>
      <c r="BT316" s="28"/>
      <c r="BU316" s="261" t="e">
        <f>BU315+(BU321*BU318)</f>
        <v>#DIV/0!</v>
      </c>
      <c r="BV316" s="261" t="e">
        <f>BV315+(BV321*BU318)</f>
        <v>#DIV/0!</v>
      </c>
      <c r="BW316" s="28"/>
      <c r="BX316" s="139"/>
    </row>
    <row r="317" spans="1:76" s="122" customFormat="1" x14ac:dyDescent="0.25">
      <c r="A317" s="195"/>
      <c r="B317" s="244" t="s">
        <v>165</v>
      </c>
      <c r="C317" s="195"/>
      <c r="D317" s="263"/>
      <c r="E317" s="264"/>
      <c r="F317" s="264"/>
      <c r="G317" s="264"/>
      <c r="H317" s="264"/>
      <c r="I317" s="264"/>
      <c r="J317" s="265"/>
      <c r="K317" s="28"/>
      <c r="L317" s="28"/>
      <c r="Q317" s="306" t="s">
        <v>150</v>
      </c>
      <c r="R317" s="257">
        <f>IF($X317="Y",MIN(R295:R314),R315-$U317*R319)</f>
        <v>6.2673818040940947</v>
      </c>
      <c r="S317" s="257">
        <f t="shared" ref="S317:T317" si="245">IF($X317="Y",MIN(S295:S314),S315-$U317*S319)</f>
        <v>6.8019849873879696</v>
      </c>
      <c r="T317" s="257" t="e">
        <f t="shared" si="245"/>
        <v>#DIV/0!</v>
      </c>
      <c r="U317" s="258">
        <v>1</v>
      </c>
      <c r="V317" s="122" t="s">
        <v>148</v>
      </c>
      <c r="W317" s="28"/>
      <c r="X317" s="266" t="s">
        <v>149</v>
      </c>
      <c r="Y317" s="260"/>
      <c r="AO317" s="139"/>
      <c r="AP317" s="28"/>
      <c r="AQ317" s="28"/>
      <c r="AR317" s="28"/>
      <c r="AS317" s="256" t="s">
        <v>150</v>
      </c>
      <c r="AT317" s="261">
        <f>AT315-(AT321*AT319)</f>
        <v>10.327500000000001</v>
      </c>
      <c r="AU317" s="261">
        <f>AU315-(AU321*AT319)</f>
        <v>10.327500000000001</v>
      </c>
      <c r="AV317" s="256"/>
      <c r="AW317" s="261">
        <f>AW315-(AW321*AW319)</f>
        <v>6.8592570997457729</v>
      </c>
      <c r="AX317" s="261">
        <f>AX315-(AX321*AW319)</f>
        <v>8.0119215966641413</v>
      </c>
      <c r="AY317" s="28"/>
      <c r="AZ317" s="261">
        <f>AZ315-(AZ321*AZ319)</f>
        <v>6.4897417715546322</v>
      </c>
      <c r="BA317" s="261">
        <f>BA315-(BA321*AZ319)</f>
        <v>6.4897417715546322</v>
      </c>
      <c r="BB317" s="28"/>
      <c r="BC317" s="261">
        <f>BC315-(BC321*BC319)</f>
        <v>9.6988827286462715</v>
      </c>
      <c r="BD317" s="261">
        <f>BD315-(BD321*BC319)</f>
        <v>9.6988827286462715</v>
      </c>
      <c r="BE317" s="28"/>
      <c r="BF317" s="261">
        <f>BF315-(BF321*BF319)</f>
        <v>3.801633720193843</v>
      </c>
      <c r="BG317" s="261">
        <f>BG315-(BG321*BF319)</f>
        <v>3.801633720193843</v>
      </c>
      <c r="BH317" s="28"/>
      <c r="BI317" s="261">
        <f>BI315-(BI321*BI319)</f>
        <v>7.0816181875618796</v>
      </c>
      <c r="BJ317" s="261">
        <f>BJ315-(BJ321*BI319)</f>
        <v>7.0816181875618796</v>
      </c>
      <c r="BK317" s="256"/>
      <c r="BL317" s="261" t="e">
        <f>BL315-(BL321*BL319)</f>
        <v>#DIV/0!</v>
      </c>
      <c r="BM317" s="261" t="e">
        <f>BM315-(BM321*BL319)</f>
        <v>#DIV/0!</v>
      </c>
      <c r="BN317" s="28"/>
      <c r="BO317" s="261" t="e">
        <f>BO315-(BO321*BO319)</f>
        <v>#DIV/0!</v>
      </c>
      <c r="BP317" s="261" t="e">
        <f>BP315-(BP321*BO319)</f>
        <v>#DIV/0!</v>
      </c>
      <c r="BQ317" s="28"/>
      <c r="BR317" s="261" t="e">
        <f>BR315-(BR321*BR319)</f>
        <v>#DIV/0!</v>
      </c>
      <c r="BS317" s="261" t="e">
        <f>BS315-(BS321*BR319)</f>
        <v>#DIV/0!</v>
      </c>
      <c r="BT317" s="28"/>
      <c r="BU317" s="261" t="e">
        <f>BU315-(BU321*BU319)</f>
        <v>#DIV/0!</v>
      </c>
      <c r="BV317" s="261" t="e">
        <f>BV315-(BV321*BU319)</f>
        <v>#DIV/0!</v>
      </c>
      <c r="BW317" s="28"/>
      <c r="BX317" s="139"/>
    </row>
    <row r="318" spans="1:76" s="122" customFormat="1" ht="14.25" x14ac:dyDescent="0.2">
      <c r="A318" s="195"/>
      <c r="B318" s="196"/>
      <c r="C318" s="195"/>
      <c r="D318" s="263"/>
      <c r="E318" s="264"/>
      <c r="F318" s="264"/>
      <c r="G318" s="264"/>
      <c r="H318" s="264"/>
      <c r="I318" s="264"/>
      <c r="J318" s="265"/>
      <c r="Q318" s="306" t="s">
        <v>151</v>
      </c>
      <c r="R318" s="257" t="str">
        <f>IF((0.67*R319)&gt;R315,"no","yes")</f>
        <v>yes</v>
      </c>
      <c r="S318" s="257" t="str">
        <f>IF((0.67*S319)&gt;S315,"no","yes")</f>
        <v>yes</v>
      </c>
      <c r="T318" s="257" t="e">
        <f>IF((0.67*T319)&gt;T315,"no","yes")</f>
        <v>#DIV/0!</v>
      </c>
      <c r="Y318" s="260"/>
      <c r="AO318" s="139"/>
      <c r="AR318" s="267" t="s">
        <v>152</v>
      </c>
      <c r="AS318" s="268"/>
      <c r="AT318" s="258">
        <v>1</v>
      </c>
      <c r="AV318" s="308"/>
      <c r="AW318" s="258">
        <v>1</v>
      </c>
      <c r="AZ318" s="258">
        <v>1</v>
      </c>
      <c r="BC318" s="258">
        <v>1</v>
      </c>
      <c r="BF318" s="258">
        <v>1</v>
      </c>
      <c r="BI318" s="258">
        <v>1</v>
      </c>
      <c r="BK318" s="256"/>
      <c r="BL318" s="258">
        <v>1</v>
      </c>
      <c r="BO318" s="258">
        <v>1</v>
      </c>
      <c r="BR318" s="258">
        <v>1</v>
      </c>
      <c r="BU318" s="258">
        <v>1</v>
      </c>
      <c r="BX318" s="139"/>
    </row>
    <row r="319" spans="1:76" s="122" customFormat="1" ht="28.5" x14ac:dyDescent="0.2">
      <c r="A319" s="270" t="e">
        <f ca="1">HYPERLINK("#"&amp;"'"&amp;A$1&amp;"'!a1","Back to top")</f>
        <v>#VALUE!</v>
      </c>
      <c r="B319" s="271"/>
      <c r="C319" s="195"/>
      <c r="D319" s="263"/>
      <c r="E319" s="264"/>
      <c r="F319" s="264"/>
      <c r="G319" s="264"/>
      <c r="H319" s="264"/>
      <c r="I319" s="264"/>
      <c r="J319" s="265"/>
      <c r="Q319" s="306" t="s">
        <v>157</v>
      </c>
      <c r="R319" s="257">
        <f>IF(COUNT(R295:R314)&gt;1,_xlfn.STDEV.S(R295:R314),0)</f>
        <v>3.8454400709059069</v>
      </c>
      <c r="S319" s="257">
        <f t="array" ref="S319">IF(R323="Y",SQRT(SUM(IFERROR(N295:N314*(R295:R314-(S315))^2,0))/((COUNT(S295:S314)-1)/COUNT(S295:S314)*SUMPRODUCT(N295:N314,--ISNUMBER(S295:S314)))),_xlfn.STDEV.S(S295:S314))</f>
        <v>2.6788143547172947</v>
      </c>
      <c r="T319" s="257" t="e">
        <f t="array" ref="T319">SQRT(SUM(IFERROR(N295:N314*(R295:R314-(T315))^2,0))/((COUNT(T295:T314)-1)/COUNT(T295:T314)*SUMPRODUCT(N295:N314,--ISNUMBER(T295:T314))))</f>
        <v>#DIV/0!</v>
      </c>
      <c r="Y319" s="260"/>
      <c r="AO319" s="139"/>
      <c r="AR319" s="267"/>
      <c r="AS319" s="268"/>
      <c r="AT319" s="258">
        <v>1</v>
      </c>
      <c r="AV319" s="308"/>
      <c r="AW319" s="258">
        <v>1</v>
      </c>
      <c r="AZ319" s="258">
        <v>1</v>
      </c>
      <c r="BC319" s="258">
        <v>1</v>
      </c>
      <c r="BF319" s="258">
        <v>1</v>
      </c>
      <c r="BI319" s="258">
        <v>1</v>
      </c>
      <c r="BK319" s="256"/>
      <c r="BL319" s="258">
        <v>1</v>
      </c>
      <c r="BO319" s="258">
        <v>1</v>
      </c>
      <c r="BR319" s="258">
        <v>1</v>
      </c>
      <c r="BU319" s="258">
        <v>1</v>
      </c>
      <c r="BX319" s="139"/>
    </row>
    <row r="320" spans="1:76" s="122" customFormat="1" ht="15" customHeight="1" x14ac:dyDescent="0.25">
      <c r="A320" s="195"/>
      <c r="B320" s="196"/>
      <c r="C320" s="195"/>
      <c r="D320" s="263"/>
      <c r="E320" s="264"/>
      <c r="F320" s="264"/>
      <c r="G320" s="264"/>
      <c r="H320" s="264"/>
      <c r="I320" s="264"/>
      <c r="J320" s="265"/>
      <c r="Q320" s="309" t="s">
        <v>159</v>
      </c>
      <c r="R320" s="310">
        <f>COUNT(R295:R314)</f>
        <v>20</v>
      </c>
      <c r="S320" s="310">
        <f>COUNT(S295:S314)</f>
        <v>19</v>
      </c>
      <c r="T320" s="118"/>
      <c r="U320" s="273" t="s">
        <v>155</v>
      </c>
      <c r="Y320" s="139"/>
      <c r="AO320" s="139"/>
      <c r="AS320" s="256" t="s">
        <v>151</v>
      </c>
      <c r="AT320" s="261" t="str">
        <f>IF((0.67*AT321)&gt;AT315,"no","yes")</f>
        <v>yes</v>
      </c>
      <c r="AU320" s="261" t="str">
        <f>IF((0.67*AU321)&gt;AU315,"no","yes")</f>
        <v>yes</v>
      </c>
      <c r="AV320" s="256"/>
      <c r="AW320" s="261" t="str">
        <f>IF((0.67*AW321)&gt;AW315,"no","yes")</f>
        <v>yes</v>
      </c>
      <c r="AX320" s="261" t="str">
        <f>IF((0.67*AX321)&gt;AX315,"no","yes")</f>
        <v>yes</v>
      </c>
      <c r="AZ320" s="261" t="str">
        <f>IF((0.67*AZ321)&gt;AZ315,"no","yes")</f>
        <v>yes</v>
      </c>
      <c r="BA320" s="261" t="str">
        <f>IF((0.67*BA321)&gt;BA315,"no","yes")</f>
        <v>yes</v>
      </c>
      <c r="BC320" s="261" t="str">
        <f>IF((0.67*BC321)&gt;BC315,"no","yes")</f>
        <v>yes</v>
      </c>
      <c r="BD320" s="261" t="str">
        <f>IF((0.67*BD321)&gt;BD315,"no","yes")</f>
        <v>yes</v>
      </c>
      <c r="BF320" s="261" t="str">
        <f>IF((0.67*BF321)&gt;BF315,"no","yes")</f>
        <v>yes</v>
      </c>
      <c r="BG320" s="261" t="str">
        <f>IF((0.67*BG321)&gt;BG315,"no","yes")</f>
        <v>yes</v>
      </c>
      <c r="BI320" s="261" t="str">
        <f>IF((0.67*BI321)&gt;BI315,"no","yes")</f>
        <v>yes</v>
      </c>
      <c r="BJ320" s="261" t="str">
        <f>IF((0.67*BJ321)&gt;BJ315,"no","yes")</f>
        <v>yes</v>
      </c>
      <c r="BK320" s="133"/>
      <c r="BL320" s="261" t="e">
        <f>IF((0.67*BL321)&gt;BL315,"no","yes")</f>
        <v>#DIV/0!</v>
      </c>
      <c r="BM320" s="261" t="e">
        <f>IF((0.67*BM321)&gt;BM315,"no","yes")</f>
        <v>#DIV/0!</v>
      </c>
      <c r="BO320" s="261" t="e">
        <f>IF((0.67*BO321)&gt;BO315,"no","yes")</f>
        <v>#DIV/0!</v>
      </c>
      <c r="BP320" s="261" t="e">
        <f>IF((0.67*BP321)&gt;BP315,"no","yes")</f>
        <v>#DIV/0!</v>
      </c>
      <c r="BR320" s="261" t="e">
        <f>IF((0.67*BR321)&gt;BR315,"no","yes")</f>
        <v>#DIV/0!</v>
      </c>
      <c r="BS320" s="261" t="e">
        <f>IF((0.67*BS321)&gt;BS315,"no","yes")</f>
        <v>#DIV/0!</v>
      </c>
      <c r="BU320" s="261" t="e">
        <f>IF((0.67*BU321)&gt;BU315,"no","yes")</f>
        <v>#DIV/0!</v>
      </c>
      <c r="BV320" s="261" t="e">
        <f>IF((0.67*BV321)&gt;BV315,"no","yes")</f>
        <v>#DIV/0!</v>
      </c>
      <c r="BX320" s="139"/>
    </row>
    <row r="321" spans="1:76" s="122" customFormat="1" ht="14.25" x14ac:dyDescent="0.2">
      <c r="A321" s="195"/>
      <c r="B321" s="196"/>
      <c r="C321" s="195"/>
      <c r="D321" s="263"/>
      <c r="E321" s="264"/>
      <c r="F321" s="264"/>
      <c r="G321" s="264"/>
      <c r="H321" s="264"/>
      <c r="I321" s="264"/>
      <c r="J321" s="265"/>
      <c r="Q321" s="311"/>
      <c r="R321" s="118"/>
      <c r="S321" s="118"/>
      <c r="T321" s="118"/>
      <c r="U321" s="274"/>
      <c r="V321" s="275"/>
      <c r="W321" s="276"/>
      <c r="Y321" s="139"/>
      <c r="AO321" s="139"/>
      <c r="AS321" s="256" t="s">
        <v>157</v>
      </c>
      <c r="AT321" s="261">
        <f>IF(AT322&gt;1,_xlfn.STDEV.S(AT295:AT314),0)</f>
        <v>0</v>
      </c>
      <c r="AU321" s="261">
        <f>IF(AU322&gt;1,_xlfn.STDEV.S(AU295:AU314),0)</f>
        <v>0</v>
      </c>
      <c r="AW321" s="261">
        <f t="shared" ref="AW321:AX321" si="246">IF(AW322&gt;1,_xlfn.STDEV.S(AW295:AW314),0)</f>
        <v>4.9272071859685154</v>
      </c>
      <c r="AX321" s="261">
        <f t="shared" si="246"/>
        <v>2.0520784033358597</v>
      </c>
      <c r="AZ321" s="261">
        <f t="shared" ref="AZ321:BA321" si="247">IF(AZ322&gt;1,_xlfn.STDEV.S(AZ295:AZ314),0)</f>
        <v>2.1951332284453677</v>
      </c>
      <c r="BA321" s="261">
        <f t="shared" si="247"/>
        <v>2.1951332284453677</v>
      </c>
      <c r="BC321" s="261">
        <f t="shared" ref="BC321:BD321" si="248">IF(BC322&gt;1,_xlfn.STDEV.S(BC295:BC314),0)</f>
        <v>2.6898672713537293</v>
      </c>
      <c r="BD321" s="261">
        <f t="shared" si="248"/>
        <v>2.6898672713537293</v>
      </c>
      <c r="BF321" s="261">
        <f t="shared" ref="BF321:BG321" si="249">IF(BF322&gt;1,_xlfn.STDEV.S(BF295:BF314),0)</f>
        <v>4.1426787798061566</v>
      </c>
      <c r="BG321" s="261">
        <f t="shared" si="249"/>
        <v>4.1426787798061566</v>
      </c>
      <c r="BI321" s="261">
        <f t="shared" ref="BI321:BJ321" si="250">IF(BI322&gt;1,_xlfn.STDEV.S(BI295:BI314),0)</f>
        <v>0.37500681243812017</v>
      </c>
      <c r="BJ321" s="261">
        <f t="shared" si="250"/>
        <v>0.37500681243812017</v>
      </c>
      <c r="BL321" s="261">
        <f t="shared" ref="BL321:BM321" si="251">IF(BL322&gt;1,_xlfn.STDEV.S(BL295:BL314),0)</f>
        <v>0</v>
      </c>
      <c r="BM321" s="261">
        <f t="shared" si="251"/>
        <v>0</v>
      </c>
      <c r="BO321" s="261">
        <f t="shared" ref="BO321:BP321" si="252">IF(BO322&gt;1,_xlfn.STDEV.S(BO295:BO314),0)</f>
        <v>0</v>
      </c>
      <c r="BP321" s="261">
        <f t="shared" si="252"/>
        <v>0</v>
      </c>
      <c r="BR321" s="261">
        <f t="shared" ref="BR321:BS321" si="253">IF(BR322&gt;1,_xlfn.STDEV.S(BR295:BR314),0)</f>
        <v>0</v>
      </c>
      <c r="BS321" s="261">
        <f t="shared" si="253"/>
        <v>0</v>
      </c>
      <c r="BU321" s="261">
        <f t="shared" ref="BU321:BV321" si="254">IF(BU322&gt;1,_xlfn.STDEV.S(BU295:BU314),0)</f>
        <v>0</v>
      </c>
      <c r="BV321" s="261">
        <f t="shared" si="254"/>
        <v>0</v>
      </c>
      <c r="BX321" s="139"/>
    </row>
    <row r="322" spans="1:76" s="122" customFormat="1" x14ac:dyDescent="0.2">
      <c r="A322" s="195"/>
      <c r="B322" s="196"/>
      <c r="C322" s="195"/>
      <c r="D322" s="277"/>
      <c r="E322" s="278"/>
      <c r="F322" s="278"/>
      <c r="G322" s="278"/>
      <c r="H322" s="278"/>
      <c r="I322" s="278"/>
      <c r="J322" s="279"/>
      <c r="Q322" s="311"/>
      <c r="R322" s="280" t="s">
        <v>158</v>
      </c>
      <c r="U322" s="281"/>
      <c r="V322" s="282"/>
      <c r="W322" s="283"/>
      <c r="Y322" s="139"/>
      <c r="AO322" s="139"/>
      <c r="AS322" s="133" t="s">
        <v>159</v>
      </c>
      <c r="AT322" s="284">
        <f>COUNT(AT295:AT314)</f>
        <v>1</v>
      </c>
      <c r="AU322" s="284">
        <f>COUNT(AU295:AU314)</f>
        <v>1</v>
      </c>
      <c r="AW322" s="284">
        <f t="shared" ref="AW322:AX322" si="255">COUNT(AW295:AW314)</f>
        <v>7</v>
      </c>
      <c r="AX322" s="284">
        <f t="shared" si="255"/>
        <v>6</v>
      </c>
      <c r="AZ322" s="284">
        <f t="shared" ref="AZ322:BA322" si="256">COUNT(AZ295:AZ314)</f>
        <v>3</v>
      </c>
      <c r="BA322" s="284">
        <f t="shared" si="256"/>
        <v>3</v>
      </c>
      <c r="BC322" s="284">
        <f t="shared" ref="BC322:BD322" si="257">COUNT(BC295:BC314)</f>
        <v>3</v>
      </c>
      <c r="BD322" s="284">
        <f t="shared" si="257"/>
        <v>3</v>
      </c>
      <c r="BF322" s="284">
        <f t="shared" ref="BF322:BG322" si="258">COUNT(BF295:BF314)</f>
        <v>3</v>
      </c>
      <c r="BG322" s="284">
        <f t="shared" si="258"/>
        <v>3</v>
      </c>
      <c r="BI322" s="284">
        <f t="shared" ref="BI322:BJ322" si="259">COUNT(BI295:BI314)</f>
        <v>3</v>
      </c>
      <c r="BJ322" s="284">
        <f t="shared" si="259"/>
        <v>3</v>
      </c>
      <c r="BL322" s="284">
        <f t="shared" ref="BL322:BM322" si="260">COUNT(BL295:BL314)</f>
        <v>0</v>
      </c>
      <c r="BM322" s="284">
        <f t="shared" si="260"/>
        <v>0</v>
      </c>
      <c r="BO322" s="284">
        <f t="shared" ref="BO322:BP322" si="261">COUNT(BO295:BO314)</f>
        <v>0</v>
      </c>
      <c r="BP322" s="284">
        <f t="shared" si="261"/>
        <v>0</v>
      </c>
      <c r="BR322" s="284">
        <f t="shared" ref="BR322:BS322" si="262">COUNT(BR295:BR314)</f>
        <v>0</v>
      </c>
      <c r="BS322" s="284">
        <f t="shared" si="262"/>
        <v>0</v>
      </c>
      <c r="BU322" s="284">
        <f t="shared" ref="BU322:BV322" si="263">COUNT(BU295:BU314)</f>
        <v>0</v>
      </c>
      <c r="BV322" s="284">
        <f t="shared" si="263"/>
        <v>0</v>
      </c>
      <c r="BX322" s="139"/>
    </row>
    <row r="323" spans="1:76" s="122" customFormat="1" ht="14.25" x14ac:dyDescent="0.2">
      <c r="A323" s="195"/>
      <c r="B323" s="196"/>
      <c r="C323" s="195"/>
      <c r="Q323" s="311"/>
      <c r="R323" s="287" t="s">
        <v>149</v>
      </c>
      <c r="U323" s="281"/>
      <c r="V323" s="282"/>
      <c r="W323" s="283"/>
      <c r="Y323" s="139"/>
      <c r="AO323" s="139"/>
      <c r="AS323" s="195"/>
      <c r="AT323" s="195"/>
      <c r="AU323" s="195"/>
      <c r="AV323" s="195"/>
      <c r="BX323" s="139"/>
    </row>
    <row r="324" spans="1:76" s="122" customFormat="1" ht="14.25" x14ac:dyDescent="0.2">
      <c r="A324" s="195"/>
      <c r="B324" s="196"/>
      <c r="C324" s="195"/>
      <c r="Q324" s="311"/>
      <c r="U324" s="288"/>
      <c r="V324" s="289"/>
      <c r="W324" s="290"/>
      <c r="Y324" s="139"/>
      <c r="AO324" s="139"/>
      <c r="AS324" s="195"/>
      <c r="AT324" s="195"/>
      <c r="AU324" s="195"/>
      <c r="AV324" s="195"/>
      <c r="BX324" s="139"/>
    </row>
    <row r="325" spans="1:76" s="55" customFormat="1" ht="18" x14ac:dyDescent="0.25">
      <c r="B325" s="23"/>
      <c r="C325" s="122"/>
      <c r="Q325" s="81"/>
      <c r="T325" s="122"/>
      <c r="U325" s="122"/>
      <c r="V325" s="122"/>
      <c r="W325" s="122"/>
      <c r="Y325" s="91"/>
      <c r="AO325" s="296"/>
      <c r="BX325" s="296"/>
    </row>
    <row r="326" spans="1:76" s="55" customFormat="1" ht="14.25" x14ac:dyDescent="0.2">
      <c r="B326" s="23"/>
      <c r="Q326" s="81"/>
      <c r="Y326" s="91"/>
      <c r="AO326" s="91"/>
      <c r="BX326" s="91"/>
    </row>
    <row r="327" spans="1:76" s="55" customFormat="1" ht="14.25" x14ac:dyDescent="0.2">
      <c r="B327" s="23"/>
      <c r="Q327" s="81"/>
      <c r="Y327" s="91"/>
      <c r="AO327" s="91"/>
      <c r="BX327" s="91"/>
    </row>
    <row r="328" spans="1:76" s="139" customFormat="1" ht="18" x14ac:dyDescent="0.25">
      <c r="A328" s="188">
        <f>A292+1</f>
        <v>9</v>
      </c>
      <c r="B328" s="189"/>
      <c r="C328" s="293" t="s">
        <v>196</v>
      </c>
      <c r="D328" s="191"/>
      <c r="E328" s="191"/>
      <c r="F328" s="191"/>
      <c r="G328" s="191"/>
      <c r="H328" s="192"/>
      <c r="I328" s="192"/>
      <c r="J328" s="191"/>
      <c r="K328" s="191"/>
      <c r="L328" s="192"/>
      <c r="M328" s="192"/>
      <c r="N328" s="192"/>
      <c r="O328" s="192"/>
      <c r="P328" s="192"/>
      <c r="Q328" s="294"/>
      <c r="R328" s="194" t="s">
        <v>93</v>
      </c>
      <c r="S328" s="194"/>
      <c r="T328" s="194"/>
      <c r="U328" s="194"/>
      <c r="V328" s="192"/>
      <c r="W328" s="192"/>
      <c r="AP328" s="295">
        <f>A328</f>
        <v>9</v>
      </c>
      <c r="AQ328" s="295" t="str">
        <f>C328</f>
        <v xml:space="preserve">SOLUTION VARIABLE Operating Cost per Functional Unit </v>
      </c>
      <c r="AR328" s="296"/>
      <c r="AS328" s="296"/>
      <c r="AT328" s="296"/>
      <c r="AU328" s="296"/>
      <c r="AV328" s="296"/>
      <c r="AW328" s="296"/>
      <c r="AX328" s="296"/>
      <c r="AY328" s="296"/>
      <c r="AZ328" s="296"/>
      <c r="BA328" s="296"/>
      <c r="BB328" s="296"/>
      <c r="BC328" s="296"/>
      <c r="BD328" s="296"/>
      <c r="BE328" s="296"/>
      <c r="BF328" s="296"/>
      <c r="BG328" s="296"/>
      <c r="BH328" s="296"/>
      <c r="BI328" s="296"/>
      <c r="BJ328" s="296"/>
      <c r="BK328" s="296"/>
      <c r="BL328" s="296"/>
      <c r="BM328" s="296"/>
      <c r="BN328" s="296"/>
      <c r="BO328" s="296"/>
      <c r="BP328" s="296"/>
      <c r="BQ328" s="296"/>
      <c r="BR328" s="296"/>
      <c r="BS328" s="296"/>
      <c r="BT328" s="296"/>
      <c r="BU328" s="296"/>
      <c r="BV328" s="296"/>
      <c r="BW328" s="296"/>
    </row>
    <row r="329" spans="1:76" s="122" customFormat="1" x14ac:dyDescent="0.25">
      <c r="A329" s="195"/>
      <c r="B329" s="196"/>
      <c r="C329" s="195"/>
      <c r="D329" s="120"/>
      <c r="E329" s="120"/>
      <c r="F329" s="120"/>
      <c r="G329" s="120"/>
      <c r="J329" s="120"/>
      <c r="K329" s="120"/>
      <c r="Q329" s="311"/>
      <c r="Y329" s="139"/>
      <c r="AO329" s="139"/>
      <c r="AP329" s="28"/>
      <c r="AQ329" s="28"/>
      <c r="AR329" s="28"/>
      <c r="AS329" s="28"/>
      <c r="AT329" s="198" t="s">
        <v>171</v>
      </c>
      <c r="AU329" s="198"/>
      <c r="AV329" s="28"/>
      <c r="AW329" s="198" t="s">
        <v>96</v>
      </c>
      <c r="AX329" s="198"/>
      <c r="AY329" s="28"/>
      <c r="AZ329" s="198" t="s">
        <v>97</v>
      </c>
      <c r="BA329" s="198"/>
      <c r="BB329" s="28"/>
      <c r="BC329" s="198" t="s">
        <v>98</v>
      </c>
      <c r="BD329" s="198"/>
      <c r="BE329" s="28"/>
      <c r="BF329" s="198" t="s">
        <v>99</v>
      </c>
      <c r="BG329" s="198"/>
      <c r="BH329" s="28"/>
      <c r="BI329" s="198" t="s">
        <v>100</v>
      </c>
      <c r="BJ329" s="198"/>
      <c r="BK329" s="28"/>
      <c r="BL329" s="198" t="s">
        <v>101</v>
      </c>
      <c r="BM329" s="198"/>
      <c r="BN329" s="28"/>
      <c r="BO329" s="198" t="s">
        <v>102</v>
      </c>
      <c r="BP329" s="198"/>
      <c r="BQ329" s="28"/>
      <c r="BR329" s="198" t="s">
        <v>103</v>
      </c>
      <c r="BS329" s="198"/>
      <c r="BT329" s="28"/>
      <c r="BU329" s="198" t="s">
        <v>104</v>
      </c>
      <c r="BV329" s="198"/>
      <c r="BW329" s="28"/>
      <c r="BX329" s="139"/>
    </row>
    <row r="330" spans="1:76" s="122" customFormat="1" ht="30.75" thickBot="1" x14ac:dyDescent="0.3">
      <c r="A330" s="199" t="s">
        <v>105</v>
      </c>
      <c r="B330" s="200" t="s">
        <v>106</v>
      </c>
      <c r="C330" s="201" t="s">
        <v>107</v>
      </c>
      <c r="D330" s="202" t="s">
        <v>108</v>
      </c>
      <c r="E330" s="202" t="s">
        <v>109</v>
      </c>
      <c r="F330" s="201" t="s">
        <v>110</v>
      </c>
      <c r="G330" s="201" t="s">
        <v>111</v>
      </c>
      <c r="H330" s="202" t="s">
        <v>112</v>
      </c>
      <c r="I330" s="203" t="s">
        <v>113</v>
      </c>
      <c r="J330" s="204" t="s">
        <v>114</v>
      </c>
      <c r="K330" s="205" t="s">
        <v>115</v>
      </c>
      <c r="L330" s="302" t="s">
        <v>116</v>
      </c>
      <c r="M330" s="207" t="s">
        <v>117</v>
      </c>
      <c r="N330" s="208" t="s">
        <v>118</v>
      </c>
      <c r="O330" s="208" t="s">
        <v>119</v>
      </c>
      <c r="P330" s="210"/>
      <c r="Q330" s="211" t="s">
        <v>120</v>
      </c>
      <c r="R330" s="212" t="s">
        <v>121</v>
      </c>
      <c r="S330" s="212" t="s">
        <v>122</v>
      </c>
      <c r="T330" s="212" t="s">
        <v>123</v>
      </c>
      <c r="U330" s="213" t="s">
        <v>124</v>
      </c>
      <c r="V330" s="210"/>
      <c r="W330" s="210"/>
      <c r="Y330" s="139"/>
      <c r="AO330" s="139"/>
      <c r="AP330" s="210"/>
      <c r="AQ330" s="210"/>
      <c r="AR330" s="213" t="s">
        <v>125</v>
      </c>
      <c r="AS330" s="210"/>
      <c r="AT330" s="215" t="s">
        <v>121</v>
      </c>
      <c r="AU330" s="215" t="s">
        <v>122</v>
      </c>
      <c r="AV330" s="210"/>
      <c r="AW330" s="215" t="s">
        <v>121</v>
      </c>
      <c r="AX330" s="215" t="s">
        <v>122</v>
      </c>
      <c r="AY330" s="210"/>
      <c r="AZ330" s="215" t="s">
        <v>121</v>
      </c>
      <c r="BA330" s="215" t="s">
        <v>122</v>
      </c>
      <c r="BB330" s="210"/>
      <c r="BC330" s="215" t="s">
        <v>121</v>
      </c>
      <c r="BD330" s="215" t="s">
        <v>122</v>
      </c>
      <c r="BE330" s="210"/>
      <c r="BF330" s="215" t="s">
        <v>121</v>
      </c>
      <c r="BG330" s="215" t="s">
        <v>122</v>
      </c>
      <c r="BH330" s="210"/>
      <c r="BI330" s="215" t="s">
        <v>121</v>
      </c>
      <c r="BJ330" s="215" t="s">
        <v>122</v>
      </c>
      <c r="BK330" s="210"/>
      <c r="BL330" s="215" t="s">
        <v>121</v>
      </c>
      <c r="BM330" s="215" t="s">
        <v>122</v>
      </c>
      <c r="BN330" s="210"/>
      <c r="BO330" s="215" t="s">
        <v>121</v>
      </c>
      <c r="BP330" s="215" t="s">
        <v>122</v>
      </c>
      <c r="BQ330" s="210"/>
      <c r="BR330" s="215" t="s">
        <v>121</v>
      </c>
      <c r="BS330" s="215" t="s">
        <v>122</v>
      </c>
      <c r="BT330" s="210"/>
      <c r="BU330" s="215" t="s">
        <v>121</v>
      </c>
      <c r="BV330" s="215" t="s">
        <v>122</v>
      </c>
      <c r="BW330" s="210"/>
      <c r="BX330" s="139"/>
    </row>
    <row r="331" spans="1:76" s="122" customFormat="1" x14ac:dyDescent="0.25">
      <c r="A331" s="195">
        <v>1</v>
      </c>
      <c r="B331" s="216" t="str">
        <f t="shared" ref="B331:B432" si="264">CONCATENATE(E331,": ",C331)</f>
        <v>OECD90: Richardson. 2018. Cow Methane Emissions Reduced by Swiss Company Agolin</v>
      </c>
      <c r="C331" s="219" t="s">
        <v>197</v>
      </c>
      <c r="D331" s="219" t="s">
        <v>198</v>
      </c>
      <c r="E331" s="219" t="s">
        <v>96</v>
      </c>
      <c r="F331" s="219" t="s">
        <v>199</v>
      </c>
      <c r="G331" s="220" t="s">
        <v>29</v>
      </c>
      <c r="H331" s="221">
        <v>2018</v>
      </c>
      <c r="I331" s="220"/>
      <c r="J331" s="336">
        <v>0.03</v>
      </c>
      <c r="K331" s="223" t="s">
        <v>200</v>
      </c>
      <c r="L331" s="334">
        <f>(J331*$AE$6*$AB$6)/(31.52*0.032)</f>
        <v>3.311650435824675E-2</v>
      </c>
      <c r="M331" s="335" t="str">
        <f t="shared" ref="M331:M432" si="265">CONCATENATE("US$2014/ ",FunctionalUnitOfMeasure)</f>
        <v>US$2014/ kg of protein</v>
      </c>
      <c r="N331" s="227"/>
      <c r="O331" s="227" t="s">
        <v>201</v>
      </c>
      <c r="Q331" s="228"/>
      <c r="R331" s="231">
        <f>IF(Q331="Y","",IF(AND(L331="",J331=""),"",IF(L331="",J331,L331)))</f>
        <v>3.311650435824675E-2</v>
      </c>
      <c r="S331" s="230">
        <f t="shared" ref="S331:S394" si="266">IF(R331="","",IF($R$441="Y",T331,IF(R331&gt;=$R$433-$AA$35*$R$437,IF(R331&lt;=$R$433+$AA$35*$R$437,R331,""),"")))</f>
        <v>3.311650435824675E-2</v>
      </c>
      <c r="T331" s="231">
        <f>IF(OR(Q331="Y",IFERROR(R331&gt;R433+R437*$AA$35,0),IFERROR(R331&lt;R433-R437*$AA$35,0)),"",IFERROR(R331*N331,""))</f>
        <v>0</v>
      </c>
      <c r="U331" s="232" t="str">
        <f t="shared" ref="U331:U394" si="267">IF(AND(M331="",K331=""),"",IF(M331="",K331,M331))</f>
        <v>US$2014/ kg of protein</v>
      </c>
      <c r="V331" s="28"/>
      <c r="W331" s="28"/>
      <c r="Y331" s="139"/>
      <c r="AO331" s="139"/>
      <c r="AP331" s="28"/>
      <c r="AQ331" s="28"/>
      <c r="AR331" s="233" t="str">
        <f>$U331</f>
        <v>US$2014/ kg of protein</v>
      </c>
      <c r="AS331" s="28"/>
      <c r="AT331" s="304" t="str">
        <f>IF($E331=$AT$47,R331,"")</f>
        <v/>
      </c>
      <c r="AU331" s="304" t="str">
        <f>IF($E331=$AT$47,S331,"")</f>
        <v/>
      </c>
      <c r="AV331" s="28"/>
      <c r="AW331" s="304">
        <f t="shared" ref="AW331:AX346" si="268">IF($E331=$AW$83,R331,"")</f>
        <v>3.311650435824675E-2</v>
      </c>
      <c r="AX331" s="304">
        <f t="shared" si="268"/>
        <v>3.311650435824675E-2</v>
      </c>
      <c r="AY331" s="28"/>
      <c r="AZ331" s="304" t="str">
        <f t="shared" ref="AZ331:BA346" si="269">IF($E331=$AZ$83,R331,"")</f>
        <v/>
      </c>
      <c r="BA331" s="304" t="str">
        <f t="shared" si="269"/>
        <v/>
      </c>
      <c r="BB331" s="28"/>
      <c r="BC331" s="304" t="str">
        <f t="shared" ref="BC331:BD346" si="270">IF($E331=$BC$83,R331,"")</f>
        <v/>
      </c>
      <c r="BD331" s="304" t="str">
        <f t="shared" si="270"/>
        <v/>
      </c>
      <c r="BE331" s="28"/>
      <c r="BF331" s="304" t="str">
        <f t="shared" ref="BF331:BG346" si="271">IF($E331=$BF$83,R331,"")</f>
        <v/>
      </c>
      <c r="BG331" s="304" t="str">
        <f t="shared" si="271"/>
        <v/>
      </c>
      <c r="BH331" s="28"/>
      <c r="BI331" s="304" t="str">
        <f t="shared" ref="BI331:BJ346" si="272">IF($E331=$BI$83,R331,"")</f>
        <v/>
      </c>
      <c r="BJ331" s="304" t="str">
        <f t="shared" si="272"/>
        <v/>
      </c>
      <c r="BK331" s="28"/>
      <c r="BL331" s="304" t="str">
        <f t="shared" ref="BL331:BM346" si="273">IF($E331=$BL$83,R331,"")</f>
        <v/>
      </c>
      <c r="BM331" s="304" t="str">
        <f t="shared" si="273"/>
        <v/>
      </c>
      <c r="BN331" s="28"/>
      <c r="BO331" s="304" t="str">
        <f t="shared" ref="BO331:BP346" si="274">IF($E331=$BO$83,R331,"")</f>
        <v/>
      </c>
      <c r="BP331" s="304" t="str">
        <f t="shared" si="274"/>
        <v/>
      </c>
      <c r="BQ331" s="28"/>
      <c r="BR331" s="304" t="str">
        <f t="shared" ref="BR331:BS346" si="275">IF($E331=$BR$83,R331,"")</f>
        <v/>
      </c>
      <c r="BS331" s="304" t="str">
        <f t="shared" si="275"/>
        <v/>
      </c>
      <c r="BT331" s="28"/>
      <c r="BU331" s="304" t="str">
        <f t="shared" ref="BU331:BV346" si="276">IF($E331=$BU$83,R331,"")</f>
        <v/>
      </c>
      <c r="BV331" s="304" t="str">
        <f t="shared" si="276"/>
        <v/>
      </c>
      <c r="BW331" s="28"/>
      <c r="BX331" s="139"/>
    </row>
    <row r="332" spans="1:76" s="122" customFormat="1" x14ac:dyDescent="0.25">
      <c r="A332" s="195">
        <v>2</v>
      </c>
      <c r="B332" s="216" t="str">
        <f t="shared" si="264"/>
        <v>OECD90: Buza. 2014. Evaluating the effect of ration composition on income over feed costs and milk yield</v>
      </c>
      <c r="C332" s="219" t="s">
        <v>202</v>
      </c>
      <c r="D332" s="219" t="s">
        <v>203</v>
      </c>
      <c r="E332" s="219" t="s">
        <v>96</v>
      </c>
      <c r="F332" s="219" t="s">
        <v>204</v>
      </c>
      <c r="G332" s="220" t="s">
        <v>24</v>
      </c>
      <c r="H332" s="221">
        <v>2012</v>
      </c>
      <c r="I332" s="220"/>
      <c r="J332" s="222">
        <v>5.63</v>
      </c>
      <c r="K332" s="333" t="s">
        <v>205</v>
      </c>
      <c r="L332" s="337">
        <f>(J332*$AB$12)/(31.52*0.032)</f>
        <v>5.7492266814720807</v>
      </c>
      <c r="M332" s="335" t="str">
        <f t="shared" si="265"/>
        <v>US$2014/ kg of protein</v>
      </c>
      <c r="N332" s="227"/>
      <c r="O332" s="227" t="s">
        <v>201</v>
      </c>
      <c r="Q332" s="228"/>
      <c r="R332" s="231">
        <f t="shared" ref="R332:R395" si="277">IF(Q332="Y","",IF(AND(L332="",J332=""),"",IF(L332="",J332,L332)))</f>
        <v>5.7492266814720807</v>
      </c>
      <c r="S332" s="230">
        <f t="shared" si="266"/>
        <v>5.7492266814720807</v>
      </c>
      <c r="T332" s="231">
        <f>IF(OR(Q332="Y",IFERROR(R332&gt;R433+R437*$AA$35,0),IFERROR(R332&lt;R433-R437*$AA$35,0)),"",IFERROR(R332*N332,""))</f>
        <v>0</v>
      </c>
      <c r="U332" s="232" t="str">
        <f t="shared" si="267"/>
        <v>US$2014/ kg of protein</v>
      </c>
      <c r="V332" s="28"/>
      <c r="W332" s="28"/>
      <c r="Y332" s="139"/>
      <c r="AO332" s="139"/>
      <c r="AP332" s="28"/>
      <c r="AQ332" s="28"/>
      <c r="AR332" s="237"/>
      <c r="AS332" s="28"/>
      <c r="AT332" s="304" t="str">
        <f t="shared" ref="AT332:AU347" si="278">IF($E332=$AT$47,R332,"")</f>
        <v/>
      </c>
      <c r="AU332" s="304" t="str">
        <f t="shared" si="278"/>
        <v/>
      </c>
      <c r="AV332" s="28"/>
      <c r="AW332" s="304">
        <f t="shared" si="268"/>
        <v>5.7492266814720807</v>
      </c>
      <c r="AX332" s="304">
        <f t="shared" si="268"/>
        <v>5.7492266814720807</v>
      </c>
      <c r="AY332" s="28"/>
      <c r="AZ332" s="304" t="str">
        <f t="shared" si="269"/>
        <v/>
      </c>
      <c r="BA332" s="304" t="str">
        <f t="shared" si="269"/>
        <v/>
      </c>
      <c r="BB332" s="28"/>
      <c r="BC332" s="304" t="str">
        <f t="shared" si="270"/>
        <v/>
      </c>
      <c r="BD332" s="304" t="str">
        <f t="shared" si="270"/>
        <v/>
      </c>
      <c r="BE332" s="28"/>
      <c r="BF332" s="304" t="str">
        <f t="shared" si="271"/>
        <v/>
      </c>
      <c r="BG332" s="304" t="str">
        <f t="shared" si="271"/>
        <v/>
      </c>
      <c r="BH332" s="28"/>
      <c r="BI332" s="304" t="str">
        <f t="shared" si="272"/>
        <v/>
      </c>
      <c r="BJ332" s="304" t="str">
        <f t="shared" si="272"/>
        <v/>
      </c>
      <c r="BK332" s="28"/>
      <c r="BL332" s="304" t="str">
        <f t="shared" si="273"/>
        <v/>
      </c>
      <c r="BM332" s="304" t="str">
        <f t="shared" si="273"/>
        <v/>
      </c>
      <c r="BN332" s="28"/>
      <c r="BO332" s="304" t="str">
        <f t="shared" si="274"/>
        <v/>
      </c>
      <c r="BP332" s="304" t="str">
        <f t="shared" si="274"/>
        <v/>
      </c>
      <c r="BQ332" s="28"/>
      <c r="BR332" s="304" t="str">
        <f t="shared" si="275"/>
        <v/>
      </c>
      <c r="BS332" s="304" t="str">
        <f t="shared" si="275"/>
        <v/>
      </c>
      <c r="BT332" s="28"/>
      <c r="BU332" s="304" t="str">
        <f t="shared" si="276"/>
        <v/>
      </c>
      <c r="BV332" s="304" t="str">
        <f t="shared" si="276"/>
        <v/>
      </c>
      <c r="BW332" s="28"/>
      <c r="BX332" s="139"/>
    </row>
    <row r="333" spans="1:76" s="122" customFormat="1" x14ac:dyDescent="0.25">
      <c r="A333" s="195">
        <v>3</v>
      </c>
      <c r="B333" s="216" t="str">
        <f>CONCATENATE(E333,": ",C333)</f>
        <v>OECD90: Buza. 2014. Evaluating the effect of ration composition on income over feed costs and milk yield</v>
      </c>
      <c r="C333" s="219" t="s">
        <v>202</v>
      </c>
      <c r="D333" s="219" t="s">
        <v>203</v>
      </c>
      <c r="E333" s="219" t="s">
        <v>96</v>
      </c>
      <c r="F333" s="219" t="s">
        <v>204</v>
      </c>
      <c r="G333" s="220" t="s">
        <v>24</v>
      </c>
      <c r="H333" s="221">
        <v>2012</v>
      </c>
      <c r="I333" s="240"/>
      <c r="J333" s="338">
        <v>2.92</v>
      </c>
      <c r="K333" s="333" t="s">
        <v>205</v>
      </c>
      <c r="L333" s="337">
        <f t="shared" ref="L333" si="279">(J333*$AB$12)/(31.52*0.032)</f>
        <v>2.9818369289340101</v>
      </c>
      <c r="M333" s="335" t="str">
        <f t="shared" si="265"/>
        <v>US$2014/ kg of protein</v>
      </c>
      <c r="N333" s="227"/>
      <c r="O333" s="227" t="s">
        <v>201</v>
      </c>
      <c r="Q333" s="228"/>
      <c r="R333" s="231">
        <f t="shared" si="277"/>
        <v>2.9818369289340101</v>
      </c>
      <c r="S333" s="230">
        <f t="shared" si="266"/>
        <v>2.9818369289340101</v>
      </c>
      <c r="T333" s="231">
        <f>IF(OR(Q333="Y",IFERROR(R333&gt;R433+R437*$AA$35,0),IFERROR(R333&lt;R433-R437*$AA$35,0)),"",IFERROR(R333*N333,""))</f>
        <v>0</v>
      </c>
      <c r="U333" s="232" t="str">
        <f t="shared" si="267"/>
        <v>US$2014/ kg of protein</v>
      </c>
      <c r="V333" s="28"/>
      <c r="W333" s="28"/>
      <c r="Y333" s="139"/>
      <c r="AO333" s="139"/>
      <c r="AP333" s="28"/>
      <c r="AQ333" s="28"/>
      <c r="AR333" s="237"/>
      <c r="AS333" s="28"/>
      <c r="AT333" s="304" t="str">
        <f t="shared" si="278"/>
        <v/>
      </c>
      <c r="AU333" s="304" t="str">
        <f t="shared" si="278"/>
        <v/>
      </c>
      <c r="AV333" s="28"/>
      <c r="AW333" s="304">
        <f t="shared" si="268"/>
        <v>2.9818369289340101</v>
      </c>
      <c r="AX333" s="304">
        <f t="shared" si="268"/>
        <v>2.9818369289340101</v>
      </c>
      <c r="AY333" s="28"/>
      <c r="AZ333" s="304" t="str">
        <f t="shared" si="269"/>
        <v/>
      </c>
      <c r="BA333" s="304" t="str">
        <f t="shared" si="269"/>
        <v/>
      </c>
      <c r="BB333" s="28"/>
      <c r="BC333" s="304" t="str">
        <f t="shared" si="270"/>
        <v/>
      </c>
      <c r="BD333" s="304" t="str">
        <f t="shared" si="270"/>
        <v/>
      </c>
      <c r="BE333" s="28"/>
      <c r="BF333" s="304" t="str">
        <f t="shared" si="271"/>
        <v/>
      </c>
      <c r="BG333" s="304" t="str">
        <f t="shared" si="271"/>
        <v/>
      </c>
      <c r="BH333" s="28"/>
      <c r="BI333" s="304" t="str">
        <f t="shared" si="272"/>
        <v/>
      </c>
      <c r="BJ333" s="304" t="str">
        <f t="shared" si="272"/>
        <v/>
      </c>
      <c r="BK333" s="28"/>
      <c r="BL333" s="304" t="str">
        <f t="shared" si="273"/>
        <v/>
      </c>
      <c r="BM333" s="304" t="str">
        <f t="shared" si="273"/>
        <v/>
      </c>
      <c r="BN333" s="28"/>
      <c r="BO333" s="304" t="str">
        <f t="shared" si="274"/>
        <v/>
      </c>
      <c r="BP333" s="304" t="str">
        <f t="shared" si="274"/>
        <v/>
      </c>
      <c r="BQ333" s="28"/>
      <c r="BR333" s="304" t="str">
        <f t="shared" si="275"/>
        <v/>
      </c>
      <c r="BS333" s="304" t="str">
        <f t="shared" si="275"/>
        <v/>
      </c>
      <c r="BT333" s="28"/>
      <c r="BU333" s="304" t="str">
        <f t="shared" si="276"/>
        <v/>
      </c>
      <c r="BV333" s="304" t="str">
        <f t="shared" si="276"/>
        <v/>
      </c>
      <c r="BW333" s="28"/>
      <c r="BX333" s="139"/>
    </row>
    <row r="334" spans="1:76" s="122" customFormat="1" x14ac:dyDescent="0.25">
      <c r="A334" s="195">
        <v>4</v>
      </c>
      <c r="B334" s="216" t="str">
        <f t="shared" si="264"/>
        <v>OECD90: Buza. 2014. Evaluating the effect of ration composition on income over feed costs and milk yield</v>
      </c>
      <c r="C334" s="219" t="s">
        <v>202</v>
      </c>
      <c r="D334" s="219" t="s">
        <v>203</v>
      </c>
      <c r="E334" s="219" t="s">
        <v>96</v>
      </c>
      <c r="F334" s="219" t="s">
        <v>204</v>
      </c>
      <c r="G334" s="220" t="s">
        <v>24</v>
      </c>
      <c r="H334" s="221">
        <v>2012</v>
      </c>
      <c r="I334" s="240"/>
      <c r="J334" s="338">
        <v>9.1999999999999993</v>
      </c>
      <c r="K334" s="333" t="s">
        <v>205</v>
      </c>
      <c r="L334" s="337">
        <f>(J334*$AB$12)/(31.52*0.032)</f>
        <v>9.3948286802030445</v>
      </c>
      <c r="M334" s="335" t="str">
        <f t="shared" si="265"/>
        <v>US$2014/ kg of protein</v>
      </c>
      <c r="N334" s="227"/>
      <c r="O334" s="227" t="s">
        <v>201</v>
      </c>
      <c r="Q334" s="228"/>
      <c r="R334" s="231">
        <f t="shared" si="277"/>
        <v>9.3948286802030445</v>
      </c>
      <c r="S334" s="230">
        <f t="shared" si="266"/>
        <v>9.3948286802030445</v>
      </c>
      <c r="T334" s="231">
        <f>IF(OR(Q334="Y",IFERROR(R334&gt;R433+R437*$AA$35,0),IFERROR(R334&lt;R433-R437*$AA$35,0)),"",IFERROR(R334*N334,""))</f>
        <v>0</v>
      </c>
      <c r="U334" s="232" t="str">
        <f t="shared" si="267"/>
        <v>US$2014/ kg of protein</v>
      </c>
      <c r="V334" s="28"/>
      <c r="W334" s="28"/>
      <c r="Y334" s="139"/>
      <c r="AO334" s="139"/>
      <c r="AP334" s="28"/>
      <c r="AQ334" s="28"/>
      <c r="AR334" s="237"/>
      <c r="AS334" s="28"/>
      <c r="AT334" s="304" t="str">
        <f t="shared" si="278"/>
        <v/>
      </c>
      <c r="AU334" s="304" t="str">
        <f t="shared" si="278"/>
        <v/>
      </c>
      <c r="AV334" s="28"/>
      <c r="AW334" s="304">
        <f t="shared" si="268"/>
        <v>9.3948286802030445</v>
      </c>
      <c r="AX334" s="304">
        <f t="shared" si="268"/>
        <v>9.3948286802030445</v>
      </c>
      <c r="AY334" s="28"/>
      <c r="AZ334" s="304" t="str">
        <f t="shared" si="269"/>
        <v/>
      </c>
      <c r="BA334" s="304" t="str">
        <f t="shared" si="269"/>
        <v/>
      </c>
      <c r="BB334" s="28"/>
      <c r="BC334" s="304" t="str">
        <f t="shared" si="270"/>
        <v/>
      </c>
      <c r="BD334" s="304" t="str">
        <f t="shared" si="270"/>
        <v/>
      </c>
      <c r="BE334" s="28"/>
      <c r="BF334" s="304" t="str">
        <f t="shared" si="271"/>
        <v/>
      </c>
      <c r="BG334" s="304" t="str">
        <f t="shared" si="271"/>
        <v/>
      </c>
      <c r="BH334" s="28"/>
      <c r="BI334" s="304" t="str">
        <f t="shared" si="272"/>
        <v/>
      </c>
      <c r="BJ334" s="304" t="str">
        <f t="shared" si="272"/>
        <v/>
      </c>
      <c r="BK334" s="28"/>
      <c r="BL334" s="304" t="str">
        <f t="shared" si="273"/>
        <v/>
      </c>
      <c r="BM334" s="304" t="str">
        <f t="shared" si="273"/>
        <v/>
      </c>
      <c r="BN334" s="28"/>
      <c r="BO334" s="304" t="str">
        <f t="shared" si="274"/>
        <v/>
      </c>
      <c r="BP334" s="304" t="str">
        <f t="shared" si="274"/>
        <v/>
      </c>
      <c r="BQ334" s="28"/>
      <c r="BR334" s="304" t="str">
        <f t="shared" si="275"/>
        <v/>
      </c>
      <c r="BS334" s="304" t="str">
        <f t="shared" si="275"/>
        <v/>
      </c>
      <c r="BT334" s="28"/>
      <c r="BU334" s="304" t="str">
        <f t="shared" si="276"/>
        <v/>
      </c>
      <c r="BV334" s="304" t="str">
        <f t="shared" si="276"/>
        <v/>
      </c>
      <c r="BW334" s="28"/>
      <c r="BX334" s="139"/>
    </row>
    <row r="335" spans="1:76" s="122" customFormat="1" x14ac:dyDescent="0.25">
      <c r="A335" s="195">
        <v>5</v>
      </c>
      <c r="B335" s="216" t="str">
        <f t="shared" si="264"/>
        <v>OECD90: USDA, Milk Cost of Production</v>
      </c>
      <c r="C335" s="219" t="s">
        <v>206</v>
      </c>
      <c r="D335" s="219" t="s">
        <v>207</v>
      </c>
      <c r="E335" s="219" t="s">
        <v>96</v>
      </c>
      <c r="F335" s="219" t="s">
        <v>104</v>
      </c>
      <c r="G335" s="220" t="s">
        <v>26</v>
      </c>
      <c r="H335" s="221">
        <v>2019</v>
      </c>
      <c r="I335" s="220"/>
      <c r="J335" s="336">
        <v>5.26</v>
      </c>
      <c r="K335" s="223" t="s">
        <v>208</v>
      </c>
      <c r="L335" s="337">
        <f>(J335*$AB$5)/(100*0.453*0.032)</f>
        <v>3.3600379254966883</v>
      </c>
      <c r="M335" s="335" t="str">
        <f t="shared" si="265"/>
        <v>US$2014/ kg of protein</v>
      </c>
      <c r="N335" s="238"/>
      <c r="O335" s="227" t="s">
        <v>209</v>
      </c>
      <c r="Q335" s="228"/>
      <c r="R335" s="231">
        <f t="shared" si="277"/>
        <v>3.3600379254966883</v>
      </c>
      <c r="S335" s="230">
        <f t="shared" si="266"/>
        <v>3.3600379254966883</v>
      </c>
      <c r="T335" s="231">
        <f>IF(OR(Q335="Y",IFERROR(R335&gt;R433+R437*$AA$35,0),IFERROR(R335&lt;R433-R437*$AA$35,0)),"",IFERROR(R335*N335,""))</f>
        <v>0</v>
      </c>
      <c r="U335" s="232" t="str">
        <f t="shared" si="267"/>
        <v>US$2014/ kg of protein</v>
      </c>
      <c r="V335" s="28"/>
      <c r="W335" s="28"/>
      <c r="Y335" s="139"/>
      <c r="AO335" s="139"/>
      <c r="AP335" s="28"/>
      <c r="AQ335" s="28"/>
      <c r="AR335" s="237"/>
      <c r="AS335" s="28"/>
      <c r="AT335" s="304" t="str">
        <f t="shared" si="278"/>
        <v/>
      </c>
      <c r="AU335" s="304" t="str">
        <f t="shared" si="278"/>
        <v/>
      </c>
      <c r="AV335" s="28"/>
      <c r="AW335" s="304">
        <f t="shared" si="268"/>
        <v>3.3600379254966883</v>
      </c>
      <c r="AX335" s="304">
        <f t="shared" si="268"/>
        <v>3.3600379254966883</v>
      </c>
      <c r="AY335" s="28"/>
      <c r="AZ335" s="304" t="str">
        <f t="shared" si="269"/>
        <v/>
      </c>
      <c r="BA335" s="304" t="str">
        <f t="shared" si="269"/>
        <v/>
      </c>
      <c r="BB335" s="28"/>
      <c r="BC335" s="304" t="str">
        <f t="shared" si="270"/>
        <v/>
      </c>
      <c r="BD335" s="304" t="str">
        <f t="shared" si="270"/>
        <v/>
      </c>
      <c r="BE335" s="28"/>
      <c r="BF335" s="304" t="str">
        <f t="shared" si="271"/>
        <v/>
      </c>
      <c r="BG335" s="304" t="str">
        <f t="shared" si="271"/>
        <v/>
      </c>
      <c r="BH335" s="28"/>
      <c r="BI335" s="304" t="str">
        <f t="shared" si="272"/>
        <v/>
      </c>
      <c r="BJ335" s="304" t="str">
        <f t="shared" si="272"/>
        <v/>
      </c>
      <c r="BK335" s="28"/>
      <c r="BL335" s="304" t="str">
        <f t="shared" si="273"/>
        <v/>
      </c>
      <c r="BM335" s="304" t="str">
        <f t="shared" si="273"/>
        <v/>
      </c>
      <c r="BN335" s="28"/>
      <c r="BO335" s="304" t="str">
        <f t="shared" si="274"/>
        <v/>
      </c>
      <c r="BP335" s="304" t="str">
        <f t="shared" si="274"/>
        <v/>
      </c>
      <c r="BQ335" s="28"/>
      <c r="BR335" s="304" t="str">
        <f t="shared" si="275"/>
        <v/>
      </c>
      <c r="BS335" s="304" t="str">
        <f t="shared" si="275"/>
        <v/>
      </c>
      <c r="BT335" s="28"/>
      <c r="BU335" s="304" t="str">
        <f t="shared" si="276"/>
        <v/>
      </c>
      <c r="BV335" s="304" t="str">
        <f t="shared" si="276"/>
        <v/>
      </c>
      <c r="BW335" s="28"/>
      <c r="BX335" s="139"/>
    </row>
    <row r="336" spans="1:76" s="122" customFormat="1" x14ac:dyDescent="0.25">
      <c r="A336" s="195">
        <v>6</v>
      </c>
      <c r="B336" s="216" t="str">
        <f t="shared" si="264"/>
        <v>OECD90: USDA, Milk Cost of Production</v>
      </c>
      <c r="C336" s="219" t="s">
        <v>206</v>
      </c>
      <c r="D336" s="219" t="s">
        <v>207</v>
      </c>
      <c r="E336" s="219" t="s">
        <v>96</v>
      </c>
      <c r="F336" s="219" t="s">
        <v>104</v>
      </c>
      <c r="G336" s="220" t="s">
        <v>26</v>
      </c>
      <c r="H336" s="221">
        <v>2019</v>
      </c>
      <c r="I336" s="220"/>
      <c r="J336" s="336">
        <v>7.52</v>
      </c>
      <c r="K336" s="223" t="s">
        <v>208</v>
      </c>
      <c r="L336" s="337">
        <f t="shared" ref="L336:L348" si="280">(J336*$AB$5)/(100*0.453*0.032)</f>
        <v>4.8037044105960254</v>
      </c>
      <c r="M336" s="335" t="str">
        <f t="shared" si="265"/>
        <v>US$2014/ kg of protein</v>
      </c>
      <c r="N336" s="238"/>
      <c r="O336" s="227" t="s">
        <v>210</v>
      </c>
      <c r="Q336" s="228"/>
      <c r="R336" s="231">
        <f t="shared" si="277"/>
        <v>4.8037044105960254</v>
      </c>
      <c r="S336" s="230">
        <f t="shared" si="266"/>
        <v>4.8037044105960254</v>
      </c>
      <c r="T336" s="231">
        <f>IF(OR(Q336="Y",IFERROR(R336&gt;R433+R437*$AA$35,0),IFERROR(R336&lt;R433-R437*$AA$35,0)),"",IFERROR(R336*N336,""))</f>
        <v>0</v>
      </c>
      <c r="U336" s="232" t="str">
        <f t="shared" si="267"/>
        <v>US$2014/ kg of protein</v>
      </c>
      <c r="V336" s="28"/>
      <c r="W336" s="28"/>
      <c r="Y336" s="139"/>
      <c r="AO336" s="139"/>
      <c r="AP336" s="28"/>
      <c r="AQ336" s="28"/>
      <c r="AR336" s="237"/>
      <c r="AS336" s="28"/>
      <c r="AT336" s="304" t="str">
        <f t="shared" si="278"/>
        <v/>
      </c>
      <c r="AU336" s="304" t="str">
        <f t="shared" si="278"/>
        <v/>
      </c>
      <c r="AV336" s="28"/>
      <c r="AW336" s="304">
        <f t="shared" si="268"/>
        <v>4.8037044105960254</v>
      </c>
      <c r="AX336" s="304">
        <f t="shared" si="268"/>
        <v>4.8037044105960254</v>
      </c>
      <c r="AY336" s="28"/>
      <c r="AZ336" s="304" t="str">
        <f t="shared" si="269"/>
        <v/>
      </c>
      <c r="BA336" s="304" t="str">
        <f t="shared" si="269"/>
        <v/>
      </c>
      <c r="BB336" s="28"/>
      <c r="BC336" s="304" t="str">
        <f t="shared" si="270"/>
        <v/>
      </c>
      <c r="BD336" s="304" t="str">
        <f t="shared" si="270"/>
        <v/>
      </c>
      <c r="BE336" s="28"/>
      <c r="BF336" s="304" t="str">
        <f t="shared" si="271"/>
        <v/>
      </c>
      <c r="BG336" s="304" t="str">
        <f t="shared" si="271"/>
        <v/>
      </c>
      <c r="BH336" s="28"/>
      <c r="BI336" s="304" t="str">
        <f t="shared" si="272"/>
        <v/>
      </c>
      <c r="BJ336" s="304" t="str">
        <f t="shared" si="272"/>
        <v/>
      </c>
      <c r="BK336" s="28"/>
      <c r="BL336" s="304" t="str">
        <f t="shared" si="273"/>
        <v/>
      </c>
      <c r="BM336" s="304" t="str">
        <f t="shared" si="273"/>
        <v/>
      </c>
      <c r="BN336" s="28"/>
      <c r="BO336" s="304" t="str">
        <f t="shared" si="274"/>
        <v/>
      </c>
      <c r="BP336" s="304" t="str">
        <f t="shared" si="274"/>
        <v/>
      </c>
      <c r="BQ336" s="28"/>
      <c r="BR336" s="304" t="str">
        <f t="shared" si="275"/>
        <v/>
      </c>
      <c r="BS336" s="304" t="str">
        <f t="shared" si="275"/>
        <v/>
      </c>
      <c r="BT336" s="28"/>
      <c r="BU336" s="304" t="str">
        <f t="shared" si="276"/>
        <v/>
      </c>
      <c r="BV336" s="304" t="str">
        <f t="shared" si="276"/>
        <v/>
      </c>
      <c r="BW336" s="28"/>
      <c r="BX336" s="139"/>
    </row>
    <row r="337" spans="1:76" s="122" customFormat="1" x14ac:dyDescent="0.25">
      <c r="A337" s="195">
        <v>7</v>
      </c>
      <c r="B337" s="216" t="str">
        <f t="shared" si="264"/>
        <v>OECD90: USDA, Milk Cost of Production</v>
      </c>
      <c r="C337" s="219" t="s">
        <v>206</v>
      </c>
      <c r="D337" s="219" t="s">
        <v>207</v>
      </c>
      <c r="E337" s="219" t="s">
        <v>96</v>
      </c>
      <c r="F337" s="219" t="s">
        <v>104</v>
      </c>
      <c r="G337" s="220" t="s">
        <v>26</v>
      </c>
      <c r="H337" s="221">
        <v>2019</v>
      </c>
      <c r="I337" s="220"/>
      <c r="J337" s="336">
        <v>5.56</v>
      </c>
      <c r="K337" s="223" t="s">
        <v>208</v>
      </c>
      <c r="L337" s="337">
        <f t="shared" si="280"/>
        <v>3.5516750695364228</v>
      </c>
      <c r="M337" s="335" t="str">
        <f t="shared" si="265"/>
        <v>US$2014/ kg of protein</v>
      </c>
      <c r="N337" s="238"/>
      <c r="O337" s="227" t="s">
        <v>211</v>
      </c>
      <c r="Q337" s="228"/>
      <c r="R337" s="231">
        <f t="shared" si="277"/>
        <v>3.5516750695364228</v>
      </c>
      <c r="S337" s="230">
        <f t="shared" si="266"/>
        <v>3.5516750695364228</v>
      </c>
      <c r="T337" s="231">
        <f>IF(OR(Q337="Y",IFERROR(R337&gt;R433+R437*$AA$35,0),IFERROR(R337&lt;R433-R437*$AA$35,0)),"",IFERROR(R337*N337,""))</f>
        <v>0</v>
      </c>
      <c r="U337" s="232" t="str">
        <f t="shared" si="267"/>
        <v>US$2014/ kg of protein</v>
      </c>
      <c r="V337" s="28"/>
      <c r="W337" s="28"/>
      <c r="Y337" s="139"/>
      <c r="AO337" s="139"/>
      <c r="AP337" s="28"/>
      <c r="AQ337" s="28"/>
      <c r="AR337" s="237"/>
      <c r="AS337" s="28"/>
      <c r="AT337" s="304" t="str">
        <f t="shared" si="278"/>
        <v/>
      </c>
      <c r="AU337" s="304" t="str">
        <f t="shared" si="278"/>
        <v/>
      </c>
      <c r="AV337" s="28"/>
      <c r="AW337" s="304">
        <f t="shared" si="268"/>
        <v>3.5516750695364228</v>
      </c>
      <c r="AX337" s="304">
        <f t="shared" si="268"/>
        <v>3.5516750695364228</v>
      </c>
      <c r="AY337" s="28"/>
      <c r="AZ337" s="304" t="str">
        <f t="shared" si="269"/>
        <v/>
      </c>
      <c r="BA337" s="304" t="str">
        <f t="shared" si="269"/>
        <v/>
      </c>
      <c r="BB337" s="28"/>
      <c r="BC337" s="304" t="str">
        <f t="shared" si="270"/>
        <v/>
      </c>
      <c r="BD337" s="304" t="str">
        <f t="shared" si="270"/>
        <v/>
      </c>
      <c r="BE337" s="28"/>
      <c r="BF337" s="304" t="str">
        <f t="shared" si="271"/>
        <v/>
      </c>
      <c r="BG337" s="304" t="str">
        <f t="shared" si="271"/>
        <v/>
      </c>
      <c r="BH337" s="28"/>
      <c r="BI337" s="304" t="str">
        <f t="shared" si="272"/>
        <v/>
      </c>
      <c r="BJ337" s="304" t="str">
        <f t="shared" si="272"/>
        <v/>
      </c>
      <c r="BK337" s="28"/>
      <c r="BL337" s="304" t="str">
        <f t="shared" si="273"/>
        <v/>
      </c>
      <c r="BM337" s="304" t="str">
        <f t="shared" si="273"/>
        <v/>
      </c>
      <c r="BN337" s="28"/>
      <c r="BO337" s="304" t="str">
        <f t="shared" si="274"/>
        <v/>
      </c>
      <c r="BP337" s="304" t="str">
        <f t="shared" si="274"/>
        <v/>
      </c>
      <c r="BQ337" s="28"/>
      <c r="BR337" s="304" t="str">
        <f t="shared" si="275"/>
        <v/>
      </c>
      <c r="BS337" s="304" t="str">
        <f t="shared" si="275"/>
        <v/>
      </c>
      <c r="BT337" s="28"/>
      <c r="BU337" s="304" t="str">
        <f t="shared" si="276"/>
        <v/>
      </c>
      <c r="BV337" s="304" t="str">
        <f t="shared" si="276"/>
        <v/>
      </c>
      <c r="BW337" s="28"/>
      <c r="BX337" s="139"/>
    </row>
    <row r="338" spans="1:76" s="122" customFormat="1" x14ac:dyDescent="0.25">
      <c r="A338" s="195">
        <v>8</v>
      </c>
      <c r="B338" s="216" t="str">
        <f t="shared" si="264"/>
        <v>OECD90: USDA, Milk Cost of Production</v>
      </c>
      <c r="C338" s="219" t="s">
        <v>206</v>
      </c>
      <c r="D338" s="219" t="s">
        <v>207</v>
      </c>
      <c r="E338" s="219" t="s">
        <v>96</v>
      </c>
      <c r="F338" s="219" t="s">
        <v>104</v>
      </c>
      <c r="G338" s="220" t="s">
        <v>26</v>
      </c>
      <c r="H338" s="221">
        <v>2019</v>
      </c>
      <c r="I338" s="220"/>
      <c r="J338" s="336">
        <v>6.6</v>
      </c>
      <c r="K338" s="223" t="s">
        <v>208</v>
      </c>
      <c r="L338" s="337">
        <f t="shared" si="280"/>
        <v>4.2160171688741706</v>
      </c>
      <c r="M338" s="335" t="str">
        <f t="shared" si="265"/>
        <v>US$2014/ kg of protein</v>
      </c>
      <c r="N338" s="238"/>
      <c r="O338" s="227" t="s">
        <v>212</v>
      </c>
      <c r="Q338" s="228"/>
      <c r="R338" s="231">
        <f t="shared" si="277"/>
        <v>4.2160171688741706</v>
      </c>
      <c r="S338" s="230">
        <f t="shared" si="266"/>
        <v>4.2160171688741706</v>
      </c>
      <c r="T338" s="231">
        <f>IF(OR(Q338="Y",IFERROR(R338&gt;R433+R437*$AA$35,0),IFERROR(R338&lt;R433-R437*$AA$35,0)),"",IFERROR(R338*N338,""))</f>
        <v>0</v>
      </c>
      <c r="U338" s="232" t="str">
        <f t="shared" si="267"/>
        <v>US$2014/ kg of protein</v>
      </c>
      <c r="V338" s="28"/>
      <c r="W338" s="28"/>
      <c r="Y338" s="139"/>
      <c r="AO338" s="139"/>
      <c r="AP338" s="28"/>
      <c r="AQ338" s="28"/>
      <c r="AR338" s="237"/>
      <c r="AS338" s="28"/>
      <c r="AT338" s="304" t="str">
        <f t="shared" si="278"/>
        <v/>
      </c>
      <c r="AU338" s="304" t="str">
        <f t="shared" si="278"/>
        <v/>
      </c>
      <c r="AV338" s="28"/>
      <c r="AW338" s="304">
        <f t="shared" si="268"/>
        <v>4.2160171688741706</v>
      </c>
      <c r="AX338" s="304">
        <f t="shared" si="268"/>
        <v>4.2160171688741706</v>
      </c>
      <c r="AY338" s="28"/>
      <c r="AZ338" s="304" t="str">
        <f t="shared" si="269"/>
        <v/>
      </c>
      <c r="BA338" s="304" t="str">
        <f t="shared" si="269"/>
        <v/>
      </c>
      <c r="BB338" s="28"/>
      <c r="BC338" s="304" t="str">
        <f t="shared" si="270"/>
        <v/>
      </c>
      <c r="BD338" s="304" t="str">
        <f t="shared" si="270"/>
        <v/>
      </c>
      <c r="BE338" s="28"/>
      <c r="BF338" s="304" t="str">
        <f t="shared" si="271"/>
        <v/>
      </c>
      <c r="BG338" s="304" t="str">
        <f t="shared" si="271"/>
        <v/>
      </c>
      <c r="BH338" s="28"/>
      <c r="BI338" s="304" t="str">
        <f t="shared" si="272"/>
        <v/>
      </c>
      <c r="BJ338" s="304" t="str">
        <f t="shared" si="272"/>
        <v/>
      </c>
      <c r="BK338" s="28"/>
      <c r="BL338" s="304" t="str">
        <f t="shared" si="273"/>
        <v/>
      </c>
      <c r="BM338" s="304" t="str">
        <f t="shared" si="273"/>
        <v/>
      </c>
      <c r="BN338" s="28"/>
      <c r="BO338" s="304" t="str">
        <f t="shared" si="274"/>
        <v/>
      </c>
      <c r="BP338" s="304" t="str">
        <f t="shared" si="274"/>
        <v/>
      </c>
      <c r="BQ338" s="28"/>
      <c r="BR338" s="304" t="str">
        <f t="shared" si="275"/>
        <v/>
      </c>
      <c r="BS338" s="304" t="str">
        <f t="shared" si="275"/>
        <v/>
      </c>
      <c r="BT338" s="28"/>
      <c r="BU338" s="304" t="str">
        <f t="shared" si="276"/>
        <v/>
      </c>
      <c r="BV338" s="304" t="str">
        <f t="shared" si="276"/>
        <v/>
      </c>
      <c r="BW338" s="28"/>
      <c r="BX338" s="139"/>
    </row>
    <row r="339" spans="1:76" s="122" customFormat="1" x14ac:dyDescent="0.25">
      <c r="A339" s="195">
        <v>9</v>
      </c>
      <c r="B339" s="216" t="str">
        <f t="shared" si="264"/>
        <v>OECD90: USDA, Milk Cost of Production</v>
      </c>
      <c r="C339" s="219" t="s">
        <v>206</v>
      </c>
      <c r="D339" s="219" t="s">
        <v>207</v>
      </c>
      <c r="E339" s="219" t="s">
        <v>96</v>
      </c>
      <c r="F339" s="219" t="s">
        <v>104</v>
      </c>
      <c r="G339" s="220" t="s">
        <v>26</v>
      </c>
      <c r="H339" s="221">
        <v>2019</v>
      </c>
      <c r="I339" s="220"/>
      <c r="J339" s="336">
        <v>5.51</v>
      </c>
      <c r="K339" s="223" t="s">
        <v>208</v>
      </c>
      <c r="L339" s="337">
        <f t="shared" si="280"/>
        <v>3.5197355455298003</v>
      </c>
      <c r="M339" s="335" t="str">
        <f t="shared" si="265"/>
        <v>US$2014/ kg of protein</v>
      </c>
      <c r="N339" s="238"/>
      <c r="O339" s="227" t="s">
        <v>213</v>
      </c>
      <c r="Q339" s="228"/>
      <c r="R339" s="231">
        <f t="shared" si="277"/>
        <v>3.5197355455298003</v>
      </c>
      <c r="S339" s="230">
        <f t="shared" si="266"/>
        <v>3.5197355455298003</v>
      </c>
      <c r="T339" s="231">
        <f>IF(OR(Q339="Y",IFERROR(R339&gt;R433+R437*$AA$35,0),IFERROR(R339&lt;R433-R437*$AA$35,0)),"",IFERROR(R339*N339,""))</f>
        <v>0</v>
      </c>
      <c r="U339" s="232" t="str">
        <f t="shared" si="267"/>
        <v>US$2014/ kg of protein</v>
      </c>
      <c r="V339" s="28"/>
      <c r="W339" s="28"/>
      <c r="Y339" s="139"/>
      <c r="AO339" s="139"/>
      <c r="AP339" s="28"/>
      <c r="AQ339" s="28"/>
      <c r="AR339" s="237"/>
      <c r="AS339" s="28"/>
      <c r="AT339" s="304" t="str">
        <f t="shared" si="278"/>
        <v/>
      </c>
      <c r="AU339" s="304" t="str">
        <f t="shared" si="278"/>
        <v/>
      </c>
      <c r="AV339" s="28"/>
      <c r="AW339" s="304">
        <f t="shared" si="268"/>
        <v>3.5197355455298003</v>
      </c>
      <c r="AX339" s="304">
        <f t="shared" si="268"/>
        <v>3.5197355455298003</v>
      </c>
      <c r="AY339" s="28"/>
      <c r="AZ339" s="304" t="str">
        <f t="shared" si="269"/>
        <v/>
      </c>
      <c r="BA339" s="304" t="str">
        <f t="shared" si="269"/>
        <v/>
      </c>
      <c r="BB339" s="28"/>
      <c r="BC339" s="304" t="str">
        <f t="shared" si="270"/>
        <v/>
      </c>
      <c r="BD339" s="304" t="str">
        <f t="shared" si="270"/>
        <v/>
      </c>
      <c r="BE339" s="28"/>
      <c r="BF339" s="304" t="str">
        <f t="shared" si="271"/>
        <v/>
      </c>
      <c r="BG339" s="304" t="str">
        <f t="shared" si="271"/>
        <v/>
      </c>
      <c r="BH339" s="28"/>
      <c r="BI339" s="304" t="str">
        <f t="shared" si="272"/>
        <v/>
      </c>
      <c r="BJ339" s="304" t="str">
        <f t="shared" si="272"/>
        <v/>
      </c>
      <c r="BK339" s="28"/>
      <c r="BL339" s="304" t="str">
        <f t="shared" si="273"/>
        <v/>
      </c>
      <c r="BM339" s="304" t="str">
        <f t="shared" si="273"/>
        <v/>
      </c>
      <c r="BN339" s="28"/>
      <c r="BO339" s="304" t="str">
        <f t="shared" si="274"/>
        <v/>
      </c>
      <c r="BP339" s="304" t="str">
        <f t="shared" si="274"/>
        <v/>
      </c>
      <c r="BQ339" s="28"/>
      <c r="BR339" s="304" t="str">
        <f t="shared" si="275"/>
        <v/>
      </c>
      <c r="BS339" s="304" t="str">
        <f t="shared" si="275"/>
        <v/>
      </c>
      <c r="BT339" s="28"/>
      <c r="BU339" s="304" t="str">
        <f t="shared" si="276"/>
        <v/>
      </c>
      <c r="BV339" s="304" t="str">
        <f t="shared" si="276"/>
        <v/>
      </c>
      <c r="BW339" s="28"/>
      <c r="BX339" s="139"/>
    </row>
    <row r="340" spans="1:76" s="122" customFormat="1" x14ac:dyDescent="0.25">
      <c r="A340" s="195">
        <v>10</v>
      </c>
      <c r="B340" s="216" t="str">
        <f t="shared" si="264"/>
        <v>OECD90: USDA, Milk Cost of Production</v>
      </c>
      <c r="C340" s="219" t="s">
        <v>206</v>
      </c>
      <c r="D340" s="219" t="s">
        <v>207</v>
      </c>
      <c r="E340" s="219" t="s">
        <v>96</v>
      </c>
      <c r="F340" s="219" t="s">
        <v>104</v>
      </c>
      <c r="G340" s="220" t="s">
        <v>26</v>
      </c>
      <c r="H340" s="221">
        <v>2019</v>
      </c>
      <c r="I340" s="220"/>
      <c r="J340" s="336">
        <v>6.03</v>
      </c>
      <c r="K340" s="223" t="s">
        <v>208</v>
      </c>
      <c r="L340" s="337">
        <f t="shared" si="280"/>
        <v>3.8519065951986748</v>
      </c>
      <c r="M340" s="335" t="str">
        <f t="shared" si="265"/>
        <v>US$2014/ kg of protein</v>
      </c>
      <c r="N340" s="238"/>
      <c r="O340" s="227" t="s">
        <v>214</v>
      </c>
      <c r="Q340" s="228"/>
      <c r="R340" s="231">
        <f t="shared" si="277"/>
        <v>3.8519065951986748</v>
      </c>
      <c r="S340" s="230">
        <f t="shared" si="266"/>
        <v>3.8519065951986748</v>
      </c>
      <c r="T340" s="231">
        <f>IF(OR(Q340="Y",IFERROR(R340&gt;R433+R437*$AA$35,0),IFERROR(R340&lt;R433-R437*$AA$35,0)),"",IFERROR(R340*N340,""))</f>
        <v>0</v>
      </c>
      <c r="U340" s="232" t="str">
        <f t="shared" si="267"/>
        <v>US$2014/ kg of protein</v>
      </c>
      <c r="V340" s="28"/>
      <c r="W340" s="28"/>
      <c r="Y340" s="139"/>
      <c r="AO340" s="139"/>
      <c r="AP340" s="28"/>
      <c r="AQ340" s="28"/>
      <c r="AR340" s="237"/>
      <c r="AS340" s="28"/>
      <c r="AT340" s="304" t="str">
        <f t="shared" si="278"/>
        <v/>
      </c>
      <c r="AU340" s="304" t="str">
        <f t="shared" si="278"/>
        <v/>
      </c>
      <c r="AV340" s="28"/>
      <c r="AW340" s="304">
        <f t="shared" si="268"/>
        <v>3.8519065951986748</v>
      </c>
      <c r="AX340" s="304">
        <f t="shared" si="268"/>
        <v>3.8519065951986748</v>
      </c>
      <c r="AY340" s="28"/>
      <c r="AZ340" s="304" t="str">
        <f t="shared" si="269"/>
        <v/>
      </c>
      <c r="BA340" s="304" t="str">
        <f t="shared" si="269"/>
        <v/>
      </c>
      <c r="BB340" s="28"/>
      <c r="BC340" s="304" t="str">
        <f t="shared" si="270"/>
        <v/>
      </c>
      <c r="BD340" s="304" t="str">
        <f t="shared" si="270"/>
        <v/>
      </c>
      <c r="BE340" s="28"/>
      <c r="BF340" s="304" t="str">
        <f t="shared" si="271"/>
        <v/>
      </c>
      <c r="BG340" s="304" t="str">
        <f t="shared" si="271"/>
        <v/>
      </c>
      <c r="BH340" s="28"/>
      <c r="BI340" s="304" t="str">
        <f t="shared" si="272"/>
        <v/>
      </c>
      <c r="BJ340" s="304" t="str">
        <f t="shared" si="272"/>
        <v/>
      </c>
      <c r="BK340" s="28"/>
      <c r="BL340" s="304" t="str">
        <f t="shared" si="273"/>
        <v/>
      </c>
      <c r="BM340" s="304" t="str">
        <f t="shared" si="273"/>
        <v/>
      </c>
      <c r="BN340" s="28"/>
      <c r="BO340" s="304" t="str">
        <f t="shared" si="274"/>
        <v/>
      </c>
      <c r="BP340" s="304" t="str">
        <f t="shared" si="274"/>
        <v/>
      </c>
      <c r="BQ340" s="28"/>
      <c r="BR340" s="304" t="str">
        <f t="shared" si="275"/>
        <v/>
      </c>
      <c r="BS340" s="304" t="str">
        <f t="shared" si="275"/>
        <v/>
      </c>
      <c r="BT340" s="28"/>
      <c r="BU340" s="304" t="str">
        <f t="shared" si="276"/>
        <v/>
      </c>
      <c r="BV340" s="304" t="str">
        <f t="shared" si="276"/>
        <v/>
      </c>
      <c r="BW340" s="28"/>
      <c r="BX340" s="139"/>
    </row>
    <row r="341" spans="1:76" s="122" customFormat="1" x14ac:dyDescent="0.25">
      <c r="A341" s="195">
        <v>11</v>
      </c>
      <c r="B341" s="216" t="str">
        <f t="shared" si="264"/>
        <v>OECD90: USDA, Milk Cost of Production</v>
      </c>
      <c r="C341" s="219" t="s">
        <v>206</v>
      </c>
      <c r="D341" s="219" t="s">
        <v>207</v>
      </c>
      <c r="E341" s="219" t="s">
        <v>96</v>
      </c>
      <c r="F341" s="219" t="s">
        <v>104</v>
      </c>
      <c r="G341" s="220" t="s">
        <v>26</v>
      </c>
      <c r="H341" s="221">
        <v>2019</v>
      </c>
      <c r="I341" s="220"/>
      <c r="J341" s="336">
        <v>6.43</v>
      </c>
      <c r="K341" s="223" t="s">
        <v>208</v>
      </c>
      <c r="L341" s="337">
        <f t="shared" si="280"/>
        <v>4.1074227872516547</v>
      </c>
      <c r="M341" s="335" t="str">
        <f t="shared" si="265"/>
        <v>US$2014/ kg of protein</v>
      </c>
      <c r="N341" s="238"/>
      <c r="O341" s="227" t="s">
        <v>215</v>
      </c>
      <c r="Q341" s="228"/>
      <c r="R341" s="231">
        <f t="shared" si="277"/>
        <v>4.1074227872516547</v>
      </c>
      <c r="S341" s="230">
        <f t="shared" si="266"/>
        <v>4.1074227872516547</v>
      </c>
      <c r="T341" s="231">
        <f>IF(OR(Q341="Y",IFERROR(R341&gt;R433+R437*$AA$35,0),IFERROR(R341&lt;R433-R437*$AA$35,0)),"",IFERROR(R341*N341,""))</f>
        <v>0</v>
      </c>
      <c r="U341" s="232" t="str">
        <f t="shared" si="267"/>
        <v>US$2014/ kg of protein</v>
      </c>
      <c r="V341" s="28"/>
      <c r="W341" s="28"/>
      <c r="Y341" s="139"/>
      <c r="AO341" s="139"/>
      <c r="AP341" s="28"/>
      <c r="AQ341" s="28"/>
      <c r="AR341" s="237"/>
      <c r="AS341" s="28"/>
      <c r="AT341" s="304" t="str">
        <f t="shared" si="278"/>
        <v/>
      </c>
      <c r="AU341" s="304" t="str">
        <f t="shared" si="278"/>
        <v/>
      </c>
      <c r="AV341" s="28"/>
      <c r="AW341" s="304">
        <f t="shared" si="268"/>
        <v>4.1074227872516547</v>
      </c>
      <c r="AX341" s="304">
        <f t="shared" si="268"/>
        <v>4.1074227872516547</v>
      </c>
      <c r="AY341" s="28"/>
      <c r="AZ341" s="304" t="str">
        <f t="shared" si="269"/>
        <v/>
      </c>
      <c r="BA341" s="304" t="str">
        <f t="shared" si="269"/>
        <v/>
      </c>
      <c r="BB341" s="28"/>
      <c r="BC341" s="304" t="str">
        <f t="shared" si="270"/>
        <v/>
      </c>
      <c r="BD341" s="304" t="str">
        <f t="shared" si="270"/>
        <v/>
      </c>
      <c r="BE341" s="28"/>
      <c r="BF341" s="304" t="str">
        <f t="shared" si="271"/>
        <v/>
      </c>
      <c r="BG341" s="304" t="str">
        <f t="shared" si="271"/>
        <v/>
      </c>
      <c r="BH341" s="28"/>
      <c r="BI341" s="304" t="str">
        <f t="shared" si="272"/>
        <v/>
      </c>
      <c r="BJ341" s="304" t="str">
        <f t="shared" si="272"/>
        <v/>
      </c>
      <c r="BK341" s="28"/>
      <c r="BL341" s="304" t="str">
        <f t="shared" si="273"/>
        <v/>
      </c>
      <c r="BM341" s="304" t="str">
        <f t="shared" si="273"/>
        <v/>
      </c>
      <c r="BN341" s="28"/>
      <c r="BO341" s="304" t="str">
        <f t="shared" si="274"/>
        <v/>
      </c>
      <c r="BP341" s="304" t="str">
        <f t="shared" si="274"/>
        <v/>
      </c>
      <c r="BQ341" s="28"/>
      <c r="BR341" s="304" t="str">
        <f t="shared" si="275"/>
        <v/>
      </c>
      <c r="BS341" s="304" t="str">
        <f t="shared" si="275"/>
        <v/>
      </c>
      <c r="BT341" s="28"/>
      <c r="BU341" s="304" t="str">
        <f t="shared" si="276"/>
        <v/>
      </c>
      <c r="BV341" s="304" t="str">
        <f t="shared" si="276"/>
        <v/>
      </c>
      <c r="BW341" s="28"/>
      <c r="BX341" s="139"/>
    </row>
    <row r="342" spans="1:76" s="122" customFormat="1" x14ac:dyDescent="0.25">
      <c r="A342" s="195">
        <v>12</v>
      </c>
      <c r="B342" s="216" t="str">
        <f t="shared" si="264"/>
        <v>OECD90: USDA, Milk Cost of Production</v>
      </c>
      <c r="C342" s="219" t="s">
        <v>206</v>
      </c>
      <c r="D342" s="219" t="s">
        <v>207</v>
      </c>
      <c r="E342" s="219" t="s">
        <v>96</v>
      </c>
      <c r="F342" s="219" t="s">
        <v>104</v>
      </c>
      <c r="G342" s="220" t="s">
        <v>26</v>
      </c>
      <c r="H342" s="221">
        <v>2019</v>
      </c>
      <c r="I342" s="220"/>
      <c r="J342" s="336">
        <v>4.22</v>
      </c>
      <c r="K342" s="223" t="s">
        <v>208</v>
      </c>
      <c r="L342" s="337">
        <f t="shared" si="280"/>
        <v>2.6956958261589397</v>
      </c>
      <c r="M342" s="335" t="str">
        <f t="shared" si="265"/>
        <v>US$2014/ kg of protein</v>
      </c>
      <c r="N342" s="238"/>
      <c r="O342" s="227" t="s">
        <v>216</v>
      </c>
      <c r="Q342" s="228"/>
      <c r="R342" s="231">
        <f t="shared" si="277"/>
        <v>2.6956958261589397</v>
      </c>
      <c r="S342" s="230">
        <f t="shared" si="266"/>
        <v>2.6956958261589397</v>
      </c>
      <c r="T342" s="231">
        <f>IF(OR(Q342="Y",IFERROR(R342&gt;R433+R437*$AA$35,0),IFERROR(R342&lt;R433-R437*$AA$35,0)),"",IFERROR(R342*N342,""))</f>
        <v>0</v>
      </c>
      <c r="U342" s="232" t="str">
        <f t="shared" si="267"/>
        <v>US$2014/ kg of protein</v>
      </c>
      <c r="V342" s="28"/>
      <c r="W342" s="28"/>
      <c r="Y342" s="139"/>
      <c r="AO342" s="139"/>
      <c r="AP342" s="28"/>
      <c r="AQ342" s="28"/>
      <c r="AR342" s="237"/>
      <c r="AS342" s="28"/>
      <c r="AT342" s="304" t="str">
        <f t="shared" si="278"/>
        <v/>
      </c>
      <c r="AU342" s="304" t="str">
        <f t="shared" si="278"/>
        <v/>
      </c>
      <c r="AV342" s="28"/>
      <c r="AW342" s="304">
        <f t="shared" si="268"/>
        <v>2.6956958261589397</v>
      </c>
      <c r="AX342" s="304">
        <f t="shared" si="268"/>
        <v>2.6956958261589397</v>
      </c>
      <c r="AY342" s="28"/>
      <c r="AZ342" s="304" t="str">
        <f t="shared" si="269"/>
        <v/>
      </c>
      <c r="BA342" s="304" t="str">
        <f t="shared" si="269"/>
        <v/>
      </c>
      <c r="BB342" s="28"/>
      <c r="BC342" s="304" t="str">
        <f t="shared" si="270"/>
        <v/>
      </c>
      <c r="BD342" s="304" t="str">
        <f t="shared" si="270"/>
        <v/>
      </c>
      <c r="BE342" s="28"/>
      <c r="BF342" s="304" t="str">
        <f t="shared" si="271"/>
        <v/>
      </c>
      <c r="BG342" s="304" t="str">
        <f t="shared" si="271"/>
        <v/>
      </c>
      <c r="BH342" s="28"/>
      <c r="BI342" s="304" t="str">
        <f t="shared" si="272"/>
        <v/>
      </c>
      <c r="BJ342" s="304" t="str">
        <f t="shared" si="272"/>
        <v/>
      </c>
      <c r="BK342" s="28"/>
      <c r="BL342" s="304" t="str">
        <f t="shared" si="273"/>
        <v/>
      </c>
      <c r="BM342" s="304" t="str">
        <f t="shared" si="273"/>
        <v/>
      </c>
      <c r="BN342" s="28"/>
      <c r="BO342" s="304" t="str">
        <f t="shared" si="274"/>
        <v/>
      </c>
      <c r="BP342" s="304" t="str">
        <f t="shared" si="274"/>
        <v/>
      </c>
      <c r="BQ342" s="28"/>
      <c r="BR342" s="304" t="str">
        <f t="shared" si="275"/>
        <v/>
      </c>
      <c r="BS342" s="304" t="str">
        <f t="shared" si="275"/>
        <v/>
      </c>
      <c r="BT342" s="28"/>
      <c r="BU342" s="304" t="str">
        <f t="shared" si="276"/>
        <v/>
      </c>
      <c r="BV342" s="304" t="str">
        <f t="shared" si="276"/>
        <v/>
      </c>
      <c r="BW342" s="28"/>
      <c r="BX342" s="139"/>
    </row>
    <row r="343" spans="1:76" s="122" customFormat="1" x14ac:dyDescent="0.25">
      <c r="A343" s="195">
        <v>13</v>
      </c>
      <c r="B343" s="216" t="str">
        <f t="shared" si="264"/>
        <v>OECD90: USDA, Milk Cost of Production</v>
      </c>
      <c r="C343" s="219" t="s">
        <v>206</v>
      </c>
      <c r="D343" s="219" t="s">
        <v>207</v>
      </c>
      <c r="E343" s="219" t="s">
        <v>96</v>
      </c>
      <c r="F343" s="219" t="s">
        <v>104</v>
      </c>
      <c r="G343" s="220" t="s">
        <v>26</v>
      </c>
      <c r="H343" s="221">
        <v>2019</v>
      </c>
      <c r="I343" s="220"/>
      <c r="J343" s="336">
        <v>7.14</v>
      </c>
      <c r="K343" s="223" t="s">
        <v>208</v>
      </c>
      <c r="L343" s="337">
        <f t="shared" si="280"/>
        <v>4.560964028145694</v>
      </c>
      <c r="M343" s="335" t="str">
        <f t="shared" si="265"/>
        <v>US$2014/ kg of protein</v>
      </c>
      <c r="N343" s="238"/>
      <c r="O343" s="227" t="s">
        <v>217</v>
      </c>
      <c r="Q343" s="228"/>
      <c r="R343" s="231">
        <f t="shared" si="277"/>
        <v>4.560964028145694</v>
      </c>
      <c r="S343" s="230">
        <f t="shared" si="266"/>
        <v>4.560964028145694</v>
      </c>
      <c r="T343" s="231">
        <f>IF(OR(Q343="Y",IFERROR(R343&gt;R433+R437*$AA$35,0),IFERROR(R343&lt;R433-R437*$AA$35,0)),"",IFERROR(R343*N343,""))</f>
        <v>0</v>
      </c>
      <c r="U343" s="232" t="str">
        <f t="shared" si="267"/>
        <v>US$2014/ kg of protein</v>
      </c>
      <c r="V343" s="28"/>
      <c r="W343" s="28"/>
      <c r="Y343" s="139"/>
      <c r="AO343" s="139"/>
      <c r="AP343" s="28"/>
      <c r="AQ343" s="28"/>
      <c r="AR343" s="237"/>
      <c r="AS343" s="28"/>
      <c r="AT343" s="304" t="str">
        <f t="shared" si="278"/>
        <v/>
      </c>
      <c r="AU343" s="304" t="str">
        <f t="shared" si="278"/>
        <v/>
      </c>
      <c r="AV343" s="28"/>
      <c r="AW343" s="304">
        <f t="shared" si="268"/>
        <v>4.560964028145694</v>
      </c>
      <c r="AX343" s="304">
        <f t="shared" si="268"/>
        <v>4.560964028145694</v>
      </c>
      <c r="AY343" s="28"/>
      <c r="AZ343" s="304" t="str">
        <f t="shared" si="269"/>
        <v/>
      </c>
      <c r="BA343" s="304" t="str">
        <f t="shared" si="269"/>
        <v/>
      </c>
      <c r="BB343" s="28"/>
      <c r="BC343" s="304" t="str">
        <f t="shared" si="270"/>
        <v/>
      </c>
      <c r="BD343" s="304" t="str">
        <f t="shared" si="270"/>
        <v/>
      </c>
      <c r="BE343" s="28"/>
      <c r="BF343" s="304" t="str">
        <f t="shared" si="271"/>
        <v/>
      </c>
      <c r="BG343" s="304" t="str">
        <f t="shared" si="271"/>
        <v/>
      </c>
      <c r="BH343" s="28"/>
      <c r="BI343" s="304" t="str">
        <f t="shared" si="272"/>
        <v/>
      </c>
      <c r="BJ343" s="304" t="str">
        <f t="shared" si="272"/>
        <v/>
      </c>
      <c r="BK343" s="28"/>
      <c r="BL343" s="304" t="str">
        <f t="shared" si="273"/>
        <v/>
      </c>
      <c r="BM343" s="304" t="str">
        <f t="shared" si="273"/>
        <v/>
      </c>
      <c r="BN343" s="28"/>
      <c r="BO343" s="304" t="str">
        <f t="shared" si="274"/>
        <v/>
      </c>
      <c r="BP343" s="304" t="str">
        <f t="shared" si="274"/>
        <v/>
      </c>
      <c r="BQ343" s="28"/>
      <c r="BR343" s="304" t="str">
        <f t="shared" si="275"/>
        <v/>
      </c>
      <c r="BS343" s="304" t="str">
        <f t="shared" si="275"/>
        <v/>
      </c>
      <c r="BT343" s="28"/>
      <c r="BU343" s="304" t="str">
        <f t="shared" si="276"/>
        <v/>
      </c>
      <c r="BV343" s="304" t="str">
        <f t="shared" si="276"/>
        <v/>
      </c>
      <c r="BW343" s="28"/>
      <c r="BX343" s="139"/>
    </row>
    <row r="344" spans="1:76" s="122" customFormat="1" x14ac:dyDescent="0.25">
      <c r="A344" s="195">
        <v>14</v>
      </c>
      <c r="B344" s="216" t="str">
        <f t="shared" si="264"/>
        <v>OECD90: USDA, Milk Cost of Production</v>
      </c>
      <c r="C344" s="219" t="s">
        <v>206</v>
      </c>
      <c r="D344" s="219" t="s">
        <v>207</v>
      </c>
      <c r="E344" s="219" t="s">
        <v>96</v>
      </c>
      <c r="F344" s="219" t="s">
        <v>104</v>
      </c>
      <c r="G344" s="220" t="s">
        <v>26</v>
      </c>
      <c r="H344" s="221">
        <v>2019</v>
      </c>
      <c r="I344" s="220"/>
      <c r="J344" s="336">
        <v>2.85</v>
      </c>
      <c r="K344" s="223" t="s">
        <v>208</v>
      </c>
      <c r="L344" s="337">
        <f t="shared" si="280"/>
        <v>1.8205528683774832</v>
      </c>
      <c r="M344" s="335" t="str">
        <f t="shared" si="265"/>
        <v>US$2014/ kg of protein</v>
      </c>
      <c r="N344" s="238"/>
      <c r="O344" s="227" t="s">
        <v>218</v>
      </c>
      <c r="Q344" s="228"/>
      <c r="R344" s="231">
        <f t="shared" si="277"/>
        <v>1.8205528683774832</v>
      </c>
      <c r="S344" s="230">
        <f t="shared" si="266"/>
        <v>1.8205528683774832</v>
      </c>
      <c r="T344" s="231">
        <f>IF(OR(Q344="Y",IFERROR(R344&gt;R433+R437*$AA$35,0),IFERROR(R344&lt;R433-R437*$AA$35,0)),"",IFERROR(R344*N344,""))</f>
        <v>0</v>
      </c>
      <c r="U344" s="232" t="str">
        <f t="shared" si="267"/>
        <v>US$2014/ kg of protein</v>
      </c>
      <c r="V344" s="28"/>
      <c r="W344" s="28"/>
      <c r="Y344" s="139"/>
      <c r="AO344" s="139"/>
      <c r="AP344" s="28"/>
      <c r="AQ344" s="28"/>
      <c r="AR344" s="237"/>
      <c r="AS344" s="28"/>
      <c r="AT344" s="304" t="str">
        <f t="shared" si="278"/>
        <v/>
      </c>
      <c r="AU344" s="304" t="str">
        <f t="shared" si="278"/>
        <v/>
      </c>
      <c r="AV344" s="28"/>
      <c r="AW344" s="304">
        <f t="shared" si="268"/>
        <v>1.8205528683774832</v>
      </c>
      <c r="AX344" s="304">
        <f t="shared" si="268"/>
        <v>1.8205528683774832</v>
      </c>
      <c r="AY344" s="28"/>
      <c r="AZ344" s="304" t="str">
        <f t="shared" si="269"/>
        <v/>
      </c>
      <c r="BA344" s="304" t="str">
        <f t="shared" si="269"/>
        <v/>
      </c>
      <c r="BB344" s="28"/>
      <c r="BC344" s="304" t="str">
        <f t="shared" si="270"/>
        <v/>
      </c>
      <c r="BD344" s="304" t="str">
        <f t="shared" si="270"/>
        <v/>
      </c>
      <c r="BE344" s="28"/>
      <c r="BF344" s="304" t="str">
        <f t="shared" si="271"/>
        <v/>
      </c>
      <c r="BG344" s="304" t="str">
        <f t="shared" si="271"/>
        <v/>
      </c>
      <c r="BH344" s="28"/>
      <c r="BI344" s="304" t="str">
        <f t="shared" si="272"/>
        <v/>
      </c>
      <c r="BJ344" s="304" t="str">
        <f t="shared" si="272"/>
        <v/>
      </c>
      <c r="BK344" s="28"/>
      <c r="BL344" s="304" t="str">
        <f t="shared" si="273"/>
        <v/>
      </c>
      <c r="BM344" s="304" t="str">
        <f t="shared" si="273"/>
        <v/>
      </c>
      <c r="BN344" s="28"/>
      <c r="BO344" s="304" t="str">
        <f t="shared" si="274"/>
        <v/>
      </c>
      <c r="BP344" s="304" t="str">
        <f t="shared" si="274"/>
        <v/>
      </c>
      <c r="BQ344" s="28"/>
      <c r="BR344" s="304" t="str">
        <f t="shared" si="275"/>
        <v/>
      </c>
      <c r="BS344" s="304" t="str">
        <f t="shared" si="275"/>
        <v/>
      </c>
      <c r="BT344" s="28"/>
      <c r="BU344" s="304" t="str">
        <f t="shared" si="276"/>
        <v/>
      </c>
      <c r="BV344" s="304" t="str">
        <f t="shared" si="276"/>
        <v/>
      </c>
      <c r="BW344" s="28"/>
      <c r="BX344" s="139"/>
    </row>
    <row r="345" spans="1:76" s="122" customFormat="1" x14ac:dyDescent="0.25">
      <c r="A345" s="195">
        <v>15</v>
      </c>
      <c r="B345" s="216" t="str">
        <f t="shared" si="264"/>
        <v>OECD90: USDA, Milk Cost of Production</v>
      </c>
      <c r="C345" s="219" t="s">
        <v>206</v>
      </c>
      <c r="D345" s="219" t="s">
        <v>207</v>
      </c>
      <c r="E345" s="219" t="s">
        <v>96</v>
      </c>
      <c r="F345" s="219" t="s">
        <v>104</v>
      </c>
      <c r="G345" s="220" t="s">
        <v>26</v>
      </c>
      <c r="H345" s="221">
        <v>2019</v>
      </c>
      <c r="I345" s="220"/>
      <c r="J345" s="336">
        <v>7.75</v>
      </c>
      <c r="K345" s="223" t="s">
        <v>208</v>
      </c>
      <c r="L345" s="337">
        <f t="shared" si="280"/>
        <v>4.9506262210264893</v>
      </c>
      <c r="M345" s="335" t="str">
        <f t="shared" si="265"/>
        <v>US$2014/ kg of protein</v>
      </c>
      <c r="N345" s="238"/>
      <c r="O345" s="227" t="s">
        <v>219</v>
      </c>
      <c r="Q345" s="228"/>
      <c r="R345" s="231">
        <f t="shared" si="277"/>
        <v>4.9506262210264893</v>
      </c>
      <c r="S345" s="230">
        <f t="shared" si="266"/>
        <v>4.9506262210264893</v>
      </c>
      <c r="T345" s="231">
        <f>IF(OR(Q345="Y",IFERROR(R345&gt;R433+R437*$AA$35,0),IFERROR(R345&lt;R433-R437*$AA$35,0)),"",IFERROR(R345*N345,""))</f>
        <v>0</v>
      </c>
      <c r="U345" s="232" t="str">
        <f t="shared" si="267"/>
        <v>US$2014/ kg of protein</v>
      </c>
      <c r="V345" s="28"/>
      <c r="W345" s="28"/>
      <c r="Y345" s="139"/>
      <c r="AO345" s="139"/>
      <c r="AP345" s="28"/>
      <c r="AQ345" s="28"/>
      <c r="AR345" s="237"/>
      <c r="AS345" s="28"/>
      <c r="AT345" s="304" t="str">
        <f t="shared" si="278"/>
        <v/>
      </c>
      <c r="AU345" s="304" t="str">
        <f t="shared" si="278"/>
        <v/>
      </c>
      <c r="AV345" s="28"/>
      <c r="AW345" s="304">
        <f t="shared" si="268"/>
        <v>4.9506262210264893</v>
      </c>
      <c r="AX345" s="304">
        <f t="shared" si="268"/>
        <v>4.9506262210264893</v>
      </c>
      <c r="AY345" s="28"/>
      <c r="AZ345" s="304" t="str">
        <f t="shared" si="269"/>
        <v/>
      </c>
      <c r="BA345" s="304" t="str">
        <f t="shared" si="269"/>
        <v/>
      </c>
      <c r="BB345" s="28"/>
      <c r="BC345" s="304" t="str">
        <f t="shared" si="270"/>
        <v/>
      </c>
      <c r="BD345" s="304" t="str">
        <f t="shared" si="270"/>
        <v/>
      </c>
      <c r="BE345" s="28"/>
      <c r="BF345" s="304" t="str">
        <f t="shared" si="271"/>
        <v/>
      </c>
      <c r="BG345" s="304" t="str">
        <f t="shared" si="271"/>
        <v/>
      </c>
      <c r="BH345" s="28"/>
      <c r="BI345" s="304" t="str">
        <f t="shared" si="272"/>
        <v/>
      </c>
      <c r="BJ345" s="304" t="str">
        <f t="shared" si="272"/>
        <v/>
      </c>
      <c r="BK345" s="28"/>
      <c r="BL345" s="304" t="str">
        <f t="shared" si="273"/>
        <v/>
      </c>
      <c r="BM345" s="304" t="str">
        <f t="shared" si="273"/>
        <v/>
      </c>
      <c r="BN345" s="28"/>
      <c r="BO345" s="304" t="str">
        <f t="shared" si="274"/>
        <v/>
      </c>
      <c r="BP345" s="304" t="str">
        <f t="shared" si="274"/>
        <v/>
      </c>
      <c r="BQ345" s="28"/>
      <c r="BR345" s="304" t="str">
        <f t="shared" si="275"/>
        <v/>
      </c>
      <c r="BS345" s="304" t="str">
        <f t="shared" si="275"/>
        <v/>
      </c>
      <c r="BT345" s="28"/>
      <c r="BU345" s="304" t="str">
        <f t="shared" si="276"/>
        <v/>
      </c>
      <c r="BV345" s="304" t="str">
        <f t="shared" si="276"/>
        <v/>
      </c>
      <c r="BW345" s="28"/>
      <c r="BX345" s="139"/>
    </row>
    <row r="346" spans="1:76" s="122" customFormat="1" x14ac:dyDescent="0.25">
      <c r="A346" s="195">
        <v>16</v>
      </c>
      <c r="B346" s="216" t="str">
        <f t="shared" si="264"/>
        <v>OECD90: USDA, Milk Cost of Production</v>
      </c>
      <c r="C346" s="219" t="s">
        <v>206</v>
      </c>
      <c r="D346" s="219" t="s">
        <v>207</v>
      </c>
      <c r="E346" s="219" t="s">
        <v>96</v>
      </c>
      <c r="F346" s="219" t="s">
        <v>104</v>
      </c>
      <c r="G346" s="220" t="s">
        <v>26</v>
      </c>
      <c r="H346" s="221">
        <v>2019</v>
      </c>
      <c r="I346" s="220"/>
      <c r="J346" s="336">
        <v>2.2400000000000002</v>
      </c>
      <c r="K346" s="223" t="s">
        <v>208</v>
      </c>
      <c r="L346" s="337">
        <f t="shared" si="280"/>
        <v>1.4308906754966886</v>
      </c>
      <c r="M346" s="335" t="str">
        <f t="shared" si="265"/>
        <v>US$2014/ kg of protein</v>
      </c>
      <c r="N346" s="238"/>
      <c r="O346" s="227" t="s">
        <v>220</v>
      </c>
      <c r="Q346" s="228"/>
      <c r="R346" s="231">
        <f t="shared" si="277"/>
        <v>1.4308906754966886</v>
      </c>
      <c r="S346" s="230">
        <f t="shared" si="266"/>
        <v>1.4308906754966886</v>
      </c>
      <c r="T346" s="231">
        <f>IF(OR(Q346="Y",IFERROR(R346&gt;R433+R437*$AA$35,0),IFERROR(R346&lt;R433-R437*$AA$35,0)),"",IFERROR(R346*N346,""))</f>
        <v>0</v>
      </c>
      <c r="U346" s="232" t="str">
        <f t="shared" si="267"/>
        <v>US$2014/ kg of protein</v>
      </c>
      <c r="V346" s="28"/>
      <c r="W346" s="28"/>
      <c r="Y346" s="139"/>
      <c r="AO346" s="139"/>
      <c r="AP346" s="28"/>
      <c r="AQ346" s="28"/>
      <c r="AR346" s="237"/>
      <c r="AS346" s="28"/>
      <c r="AT346" s="304" t="str">
        <f t="shared" si="278"/>
        <v/>
      </c>
      <c r="AU346" s="304" t="str">
        <f t="shared" si="278"/>
        <v/>
      </c>
      <c r="AV346" s="28"/>
      <c r="AW346" s="304">
        <f t="shared" si="268"/>
        <v>1.4308906754966886</v>
      </c>
      <c r="AX346" s="304">
        <f t="shared" si="268"/>
        <v>1.4308906754966886</v>
      </c>
      <c r="AY346" s="28"/>
      <c r="AZ346" s="304" t="str">
        <f t="shared" si="269"/>
        <v/>
      </c>
      <c r="BA346" s="304" t="str">
        <f t="shared" si="269"/>
        <v/>
      </c>
      <c r="BB346" s="28"/>
      <c r="BC346" s="304" t="str">
        <f t="shared" si="270"/>
        <v/>
      </c>
      <c r="BD346" s="304" t="str">
        <f t="shared" si="270"/>
        <v/>
      </c>
      <c r="BE346" s="28"/>
      <c r="BF346" s="304" t="str">
        <f t="shared" si="271"/>
        <v/>
      </c>
      <c r="BG346" s="304" t="str">
        <f t="shared" si="271"/>
        <v/>
      </c>
      <c r="BH346" s="28"/>
      <c r="BI346" s="304" t="str">
        <f t="shared" si="272"/>
        <v/>
      </c>
      <c r="BJ346" s="304" t="str">
        <f t="shared" si="272"/>
        <v/>
      </c>
      <c r="BK346" s="28"/>
      <c r="BL346" s="304" t="str">
        <f t="shared" si="273"/>
        <v/>
      </c>
      <c r="BM346" s="304" t="str">
        <f t="shared" si="273"/>
        <v/>
      </c>
      <c r="BN346" s="28"/>
      <c r="BO346" s="304" t="str">
        <f t="shared" si="274"/>
        <v/>
      </c>
      <c r="BP346" s="304" t="str">
        <f t="shared" si="274"/>
        <v/>
      </c>
      <c r="BQ346" s="28"/>
      <c r="BR346" s="304" t="str">
        <f t="shared" si="275"/>
        <v/>
      </c>
      <c r="BS346" s="304" t="str">
        <f t="shared" si="275"/>
        <v/>
      </c>
      <c r="BT346" s="28"/>
      <c r="BU346" s="304" t="str">
        <f t="shared" si="276"/>
        <v/>
      </c>
      <c r="BV346" s="304" t="str">
        <f t="shared" si="276"/>
        <v/>
      </c>
      <c r="BW346" s="28"/>
      <c r="BX346" s="139"/>
    </row>
    <row r="347" spans="1:76" s="122" customFormat="1" x14ac:dyDescent="0.25">
      <c r="A347" s="195">
        <v>17</v>
      </c>
      <c r="B347" s="216" t="str">
        <f t="shared" si="264"/>
        <v>OECD90: USDA, Milk Cost of Production</v>
      </c>
      <c r="C347" s="219" t="s">
        <v>206</v>
      </c>
      <c r="D347" s="219" t="s">
        <v>207</v>
      </c>
      <c r="E347" s="219" t="s">
        <v>96</v>
      </c>
      <c r="F347" s="219" t="s">
        <v>104</v>
      </c>
      <c r="G347" s="220" t="s">
        <v>26</v>
      </c>
      <c r="H347" s="221">
        <v>2019</v>
      </c>
      <c r="I347" s="220"/>
      <c r="J347" s="336">
        <v>8.15</v>
      </c>
      <c r="K347" s="223" t="s">
        <v>208</v>
      </c>
      <c r="L347" s="337">
        <f t="shared" si="280"/>
        <v>5.2061424130794691</v>
      </c>
      <c r="M347" s="335" t="str">
        <f t="shared" si="265"/>
        <v>US$2014/ kg of protein</v>
      </c>
      <c r="N347" s="238"/>
      <c r="O347" s="227" t="s">
        <v>221</v>
      </c>
      <c r="Q347" s="228"/>
      <c r="R347" s="231">
        <f t="shared" si="277"/>
        <v>5.2061424130794691</v>
      </c>
      <c r="S347" s="230">
        <f t="shared" si="266"/>
        <v>5.2061424130794691</v>
      </c>
      <c r="T347" s="231">
        <f>IF(OR(Q347="Y",IFERROR(R347&gt;R433+R437*$AA$35,0),IFERROR(R347&lt;R433-R437*$AA$35,0)),"",IFERROR(R347*N347,""))</f>
        <v>0</v>
      </c>
      <c r="U347" s="232" t="str">
        <f t="shared" si="267"/>
        <v>US$2014/ kg of protein</v>
      </c>
      <c r="V347" s="28"/>
      <c r="W347" s="28"/>
      <c r="Y347" s="139"/>
      <c r="AO347" s="139"/>
      <c r="AP347" s="28"/>
      <c r="AQ347" s="28"/>
      <c r="AR347" s="237"/>
      <c r="AS347" s="28"/>
      <c r="AT347" s="304" t="str">
        <f t="shared" si="278"/>
        <v/>
      </c>
      <c r="AU347" s="304" t="str">
        <f t="shared" si="278"/>
        <v/>
      </c>
      <c r="AV347" s="28"/>
      <c r="AW347" s="304">
        <f t="shared" ref="AW347:AX410" si="281">IF($E347=$AW$83,R347,"")</f>
        <v>5.2061424130794691</v>
      </c>
      <c r="AX347" s="304">
        <f t="shared" si="281"/>
        <v>5.2061424130794691</v>
      </c>
      <c r="AY347" s="28"/>
      <c r="AZ347" s="304" t="str">
        <f t="shared" ref="AZ347:BA410" si="282">IF($E347=$AZ$83,R347,"")</f>
        <v/>
      </c>
      <c r="BA347" s="304" t="str">
        <f t="shared" si="282"/>
        <v/>
      </c>
      <c r="BB347" s="28"/>
      <c r="BC347" s="304" t="str">
        <f t="shared" ref="BC347:BD410" si="283">IF($E347=$BC$83,R347,"")</f>
        <v/>
      </c>
      <c r="BD347" s="304" t="str">
        <f t="shared" si="283"/>
        <v/>
      </c>
      <c r="BE347" s="28"/>
      <c r="BF347" s="304" t="str">
        <f t="shared" ref="BF347:BG410" si="284">IF($E347=$BF$83,R347,"")</f>
        <v/>
      </c>
      <c r="BG347" s="304" t="str">
        <f t="shared" si="284"/>
        <v/>
      </c>
      <c r="BH347" s="28"/>
      <c r="BI347" s="304" t="str">
        <f t="shared" ref="BI347:BJ410" si="285">IF($E347=$BI$83,R347,"")</f>
        <v/>
      </c>
      <c r="BJ347" s="304" t="str">
        <f t="shared" si="285"/>
        <v/>
      </c>
      <c r="BK347" s="28"/>
      <c r="BL347" s="304" t="str">
        <f t="shared" ref="BL347:BM410" si="286">IF($E347=$BL$83,R347,"")</f>
        <v/>
      </c>
      <c r="BM347" s="304" t="str">
        <f t="shared" si="286"/>
        <v/>
      </c>
      <c r="BN347" s="28"/>
      <c r="BO347" s="304" t="str">
        <f t="shared" ref="BO347:BP410" si="287">IF($E347=$BO$83,R347,"")</f>
        <v/>
      </c>
      <c r="BP347" s="304" t="str">
        <f t="shared" si="287"/>
        <v/>
      </c>
      <c r="BQ347" s="28"/>
      <c r="BR347" s="304" t="str">
        <f t="shared" ref="BR347:BS410" si="288">IF($E347=$BR$83,R347,"")</f>
        <v/>
      </c>
      <c r="BS347" s="304" t="str">
        <f t="shared" si="288"/>
        <v/>
      </c>
      <c r="BT347" s="28"/>
      <c r="BU347" s="304" t="str">
        <f t="shared" ref="BU347:BV410" si="289">IF($E347=$BU$83,R347,"")</f>
        <v/>
      </c>
      <c r="BV347" s="304" t="str">
        <f t="shared" si="289"/>
        <v/>
      </c>
      <c r="BW347" s="28"/>
      <c r="BX347" s="139"/>
    </row>
    <row r="348" spans="1:76" s="122" customFormat="1" x14ac:dyDescent="0.25">
      <c r="A348" s="195">
        <v>18</v>
      </c>
      <c r="B348" s="216" t="str">
        <f t="shared" si="264"/>
        <v>OECD90: USDA, Milk Cost of Production</v>
      </c>
      <c r="C348" s="219" t="s">
        <v>206</v>
      </c>
      <c r="D348" s="219" t="s">
        <v>207</v>
      </c>
      <c r="E348" s="219" t="s">
        <v>96</v>
      </c>
      <c r="F348" s="219" t="s">
        <v>104</v>
      </c>
      <c r="G348" s="220" t="s">
        <v>26</v>
      </c>
      <c r="H348" s="221">
        <v>2019</v>
      </c>
      <c r="I348" s="220"/>
      <c r="J348" s="336">
        <v>2.04</v>
      </c>
      <c r="K348" s="223" t="s">
        <v>208</v>
      </c>
      <c r="L348" s="337">
        <f t="shared" si="280"/>
        <v>1.3031325794701984</v>
      </c>
      <c r="M348" s="335" t="str">
        <f t="shared" si="265"/>
        <v>US$2014/ kg of protein</v>
      </c>
      <c r="N348" s="238"/>
      <c r="O348" s="227" t="s">
        <v>222</v>
      </c>
      <c r="Q348" s="228"/>
      <c r="R348" s="231">
        <f t="shared" si="277"/>
        <v>1.3031325794701984</v>
      </c>
      <c r="S348" s="230">
        <f t="shared" si="266"/>
        <v>1.3031325794701984</v>
      </c>
      <c r="T348" s="231">
        <f>IF(OR(Q348="Y",IFERROR(R348&gt;R433+R437*$AA$35,0),IFERROR(R348&lt;R433-R437*$AA$35,0)),"",IFERROR(R348*N348,""))</f>
        <v>0</v>
      </c>
      <c r="U348" s="232" t="str">
        <f t="shared" si="267"/>
        <v>US$2014/ kg of protein</v>
      </c>
      <c r="V348" s="28"/>
      <c r="W348" s="28"/>
      <c r="Y348" s="139"/>
      <c r="AO348" s="139"/>
      <c r="AP348" s="28"/>
      <c r="AQ348" s="28"/>
      <c r="AR348" s="237"/>
      <c r="AS348" s="28"/>
      <c r="AT348" s="304" t="str">
        <f t="shared" ref="AT348:AU411" si="290">IF($E348=$AT$47,R348,"")</f>
        <v/>
      </c>
      <c r="AU348" s="304" t="str">
        <f t="shared" si="290"/>
        <v/>
      </c>
      <c r="AV348" s="28"/>
      <c r="AW348" s="304">
        <f t="shared" si="281"/>
        <v>1.3031325794701984</v>
      </c>
      <c r="AX348" s="304">
        <f t="shared" si="281"/>
        <v>1.3031325794701984</v>
      </c>
      <c r="AY348" s="28"/>
      <c r="AZ348" s="304" t="str">
        <f t="shared" si="282"/>
        <v/>
      </c>
      <c r="BA348" s="304" t="str">
        <f t="shared" si="282"/>
        <v/>
      </c>
      <c r="BB348" s="28"/>
      <c r="BC348" s="304" t="str">
        <f t="shared" si="283"/>
        <v/>
      </c>
      <c r="BD348" s="304" t="str">
        <f t="shared" si="283"/>
        <v/>
      </c>
      <c r="BE348" s="28"/>
      <c r="BF348" s="304" t="str">
        <f t="shared" si="284"/>
        <v/>
      </c>
      <c r="BG348" s="304" t="str">
        <f t="shared" si="284"/>
        <v/>
      </c>
      <c r="BH348" s="28"/>
      <c r="BI348" s="304" t="str">
        <f t="shared" si="285"/>
        <v/>
      </c>
      <c r="BJ348" s="304" t="str">
        <f t="shared" si="285"/>
        <v/>
      </c>
      <c r="BK348" s="28"/>
      <c r="BL348" s="304" t="str">
        <f t="shared" si="286"/>
        <v/>
      </c>
      <c r="BM348" s="304" t="str">
        <f t="shared" si="286"/>
        <v/>
      </c>
      <c r="BN348" s="28"/>
      <c r="BO348" s="304" t="str">
        <f t="shared" si="287"/>
        <v/>
      </c>
      <c r="BP348" s="304" t="str">
        <f t="shared" si="287"/>
        <v/>
      </c>
      <c r="BQ348" s="28"/>
      <c r="BR348" s="304" t="str">
        <f t="shared" si="288"/>
        <v/>
      </c>
      <c r="BS348" s="304" t="str">
        <f t="shared" si="288"/>
        <v/>
      </c>
      <c r="BT348" s="28"/>
      <c r="BU348" s="304" t="str">
        <f t="shared" si="289"/>
        <v/>
      </c>
      <c r="BV348" s="304" t="str">
        <f t="shared" si="289"/>
        <v/>
      </c>
      <c r="BW348" s="28"/>
      <c r="BX348" s="139"/>
    </row>
    <row r="349" spans="1:76" s="122" customFormat="1" ht="15.95" customHeight="1" x14ac:dyDescent="0.25">
      <c r="A349" s="195">
        <v>19</v>
      </c>
      <c r="B349" s="216" t="str">
        <f t="shared" si="264"/>
        <v>OECD90: Bellingeri, et al. 2019. A survey of dairy cattle management, crop planning, and forages cost of production in Northern Italy</v>
      </c>
      <c r="C349" s="221" t="s">
        <v>223</v>
      </c>
      <c r="D349" s="221" t="s">
        <v>224</v>
      </c>
      <c r="E349" s="221" t="s">
        <v>96</v>
      </c>
      <c r="F349" s="221" t="s">
        <v>225</v>
      </c>
      <c r="G349" s="240" t="s">
        <v>24</v>
      </c>
      <c r="H349" s="221">
        <v>2017</v>
      </c>
      <c r="I349" s="240"/>
      <c r="J349" s="338">
        <v>7.33</v>
      </c>
      <c r="K349" s="339" t="s">
        <v>200</v>
      </c>
      <c r="L349" s="334">
        <f>(J349*$AE$7*$AB$7)/(32.8*0.032)</f>
        <v>7.6219089050385467</v>
      </c>
      <c r="M349" s="335" t="str">
        <f t="shared" si="265"/>
        <v>US$2014/ kg of protein</v>
      </c>
      <c r="N349" s="227"/>
      <c r="O349" s="227" t="s">
        <v>226</v>
      </c>
      <c r="Q349" s="228"/>
      <c r="R349" s="231">
        <f t="shared" si="277"/>
        <v>7.6219089050385467</v>
      </c>
      <c r="S349" s="230">
        <f t="shared" si="266"/>
        <v>7.6219089050385467</v>
      </c>
      <c r="T349" s="231">
        <f>IF(OR(Q349="Y",IFERROR(R349&gt;R433+R437*$AA$35,0),IFERROR(R349&lt;R433-R437*$AA$35,0)),"",IFERROR(R349*N349,""))</f>
        <v>0</v>
      </c>
      <c r="U349" s="232" t="str">
        <f t="shared" si="267"/>
        <v>US$2014/ kg of protein</v>
      </c>
      <c r="V349" s="28"/>
      <c r="W349" s="28"/>
      <c r="Y349" s="139"/>
      <c r="AO349" s="139"/>
      <c r="AP349" s="28"/>
      <c r="AQ349" s="28"/>
      <c r="AR349" s="237"/>
      <c r="AS349" s="28"/>
      <c r="AT349" s="304" t="str">
        <f t="shared" si="290"/>
        <v/>
      </c>
      <c r="AU349" s="304" t="str">
        <f t="shared" si="290"/>
        <v/>
      </c>
      <c r="AV349" s="28"/>
      <c r="AW349" s="304">
        <f t="shared" si="281"/>
        <v>7.6219089050385467</v>
      </c>
      <c r="AX349" s="304">
        <f t="shared" si="281"/>
        <v>7.6219089050385467</v>
      </c>
      <c r="AY349" s="28"/>
      <c r="AZ349" s="304" t="str">
        <f t="shared" si="282"/>
        <v/>
      </c>
      <c r="BA349" s="304" t="str">
        <f t="shared" si="282"/>
        <v/>
      </c>
      <c r="BB349" s="28"/>
      <c r="BC349" s="304" t="str">
        <f t="shared" si="283"/>
        <v/>
      </c>
      <c r="BD349" s="304" t="str">
        <f t="shared" si="283"/>
        <v/>
      </c>
      <c r="BE349" s="28"/>
      <c r="BF349" s="304" t="str">
        <f t="shared" si="284"/>
        <v/>
      </c>
      <c r="BG349" s="304" t="str">
        <f t="shared" si="284"/>
        <v/>
      </c>
      <c r="BH349" s="28"/>
      <c r="BI349" s="304" t="str">
        <f t="shared" si="285"/>
        <v/>
      </c>
      <c r="BJ349" s="304" t="str">
        <f t="shared" si="285"/>
        <v/>
      </c>
      <c r="BK349" s="28"/>
      <c r="BL349" s="304" t="str">
        <f t="shared" si="286"/>
        <v/>
      </c>
      <c r="BM349" s="304" t="str">
        <f t="shared" si="286"/>
        <v/>
      </c>
      <c r="BN349" s="28"/>
      <c r="BO349" s="304" t="str">
        <f t="shared" si="287"/>
        <v/>
      </c>
      <c r="BP349" s="304" t="str">
        <f t="shared" si="287"/>
        <v/>
      </c>
      <c r="BQ349" s="28"/>
      <c r="BR349" s="304" t="str">
        <f t="shared" si="288"/>
        <v/>
      </c>
      <c r="BS349" s="304" t="str">
        <f t="shared" si="288"/>
        <v/>
      </c>
      <c r="BT349" s="28"/>
      <c r="BU349" s="304" t="str">
        <f t="shared" si="289"/>
        <v/>
      </c>
      <c r="BV349" s="304" t="str">
        <f t="shared" si="289"/>
        <v/>
      </c>
      <c r="BW349" s="28"/>
      <c r="BX349" s="139"/>
    </row>
    <row r="350" spans="1:76" s="122" customFormat="1" ht="15.95" customHeight="1" x14ac:dyDescent="0.25">
      <c r="A350" s="195">
        <v>20</v>
      </c>
      <c r="B350" s="216" t="str">
        <f t="shared" si="264"/>
        <v>OECD90: Bellingeri, et al. 2019. A survey of dairy cattle management, crop planning, and forages cost of production in Northern Italy</v>
      </c>
      <c r="C350" s="221" t="s">
        <v>223</v>
      </c>
      <c r="D350" s="221" t="s">
        <v>224</v>
      </c>
      <c r="E350" s="221" t="s">
        <v>96</v>
      </c>
      <c r="F350" s="221" t="s">
        <v>225</v>
      </c>
      <c r="G350" s="240" t="s">
        <v>24</v>
      </c>
      <c r="H350" s="221">
        <v>2017</v>
      </c>
      <c r="I350" s="240"/>
      <c r="J350" s="338">
        <v>5.68</v>
      </c>
      <c r="K350" s="339" t="s">
        <v>200</v>
      </c>
      <c r="L350" s="334">
        <f>(J350*$AE$7*$AB$7)/(32.8*0.032)</f>
        <v>5.9061995335087234</v>
      </c>
      <c r="M350" s="335" t="str">
        <f t="shared" si="265"/>
        <v>US$2014/ kg of protein</v>
      </c>
      <c r="N350" s="227"/>
      <c r="O350" s="227" t="s">
        <v>226</v>
      </c>
      <c r="Q350" s="228"/>
      <c r="R350" s="231">
        <f t="shared" si="277"/>
        <v>5.9061995335087234</v>
      </c>
      <c r="S350" s="230">
        <f t="shared" si="266"/>
        <v>5.9061995335087234</v>
      </c>
      <c r="T350" s="231">
        <f>IF(OR(Q350="Y",IFERROR(R350&gt;R434+R438*$AA$35,0),IFERROR(R350&lt;R434-R438*$AA$35,0)),"",IFERROR(R350*N350,""))</f>
        <v>0</v>
      </c>
      <c r="U350" s="232" t="str">
        <f t="shared" si="267"/>
        <v>US$2014/ kg of protein</v>
      </c>
      <c r="V350" s="28"/>
      <c r="W350" s="28"/>
      <c r="Y350" s="139"/>
      <c r="AO350" s="139"/>
      <c r="AP350" s="28"/>
      <c r="AQ350" s="28"/>
      <c r="AR350" s="237"/>
      <c r="AS350" s="28"/>
      <c r="AT350" s="304" t="str">
        <f t="shared" si="290"/>
        <v/>
      </c>
      <c r="AU350" s="304" t="str">
        <f t="shared" si="290"/>
        <v/>
      </c>
      <c r="AV350" s="28"/>
      <c r="AW350" s="304">
        <f t="shared" si="281"/>
        <v>5.9061995335087234</v>
      </c>
      <c r="AX350" s="304">
        <f t="shared" si="281"/>
        <v>5.9061995335087234</v>
      </c>
      <c r="AY350" s="28"/>
      <c r="AZ350" s="304" t="str">
        <f t="shared" si="282"/>
        <v/>
      </c>
      <c r="BA350" s="304" t="str">
        <f t="shared" si="282"/>
        <v/>
      </c>
      <c r="BB350" s="28"/>
      <c r="BC350" s="304" t="str">
        <f t="shared" si="283"/>
        <v/>
      </c>
      <c r="BD350" s="304" t="str">
        <f t="shared" si="283"/>
        <v/>
      </c>
      <c r="BE350" s="28"/>
      <c r="BF350" s="304" t="str">
        <f t="shared" si="284"/>
        <v/>
      </c>
      <c r="BG350" s="304" t="str">
        <f t="shared" si="284"/>
        <v/>
      </c>
      <c r="BH350" s="28"/>
      <c r="BI350" s="304" t="str">
        <f t="shared" si="285"/>
        <v/>
      </c>
      <c r="BJ350" s="304" t="str">
        <f t="shared" si="285"/>
        <v/>
      </c>
      <c r="BK350" s="28"/>
      <c r="BL350" s="304" t="str">
        <f t="shared" si="286"/>
        <v/>
      </c>
      <c r="BM350" s="304" t="str">
        <f t="shared" si="286"/>
        <v/>
      </c>
      <c r="BN350" s="28"/>
      <c r="BO350" s="304" t="str">
        <f t="shared" si="287"/>
        <v/>
      </c>
      <c r="BP350" s="304" t="str">
        <f t="shared" si="287"/>
        <v/>
      </c>
      <c r="BQ350" s="28"/>
      <c r="BR350" s="304" t="str">
        <f t="shared" si="288"/>
        <v/>
      </c>
      <c r="BS350" s="304" t="str">
        <f t="shared" si="288"/>
        <v/>
      </c>
      <c r="BT350" s="28"/>
      <c r="BU350" s="304" t="str">
        <f t="shared" si="289"/>
        <v/>
      </c>
      <c r="BV350" s="304" t="str">
        <f t="shared" si="289"/>
        <v/>
      </c>
      <c r="BW350" s="28"/>
      <c r="BX350" s="139"/>
    </row>
    <row r="351" spans="1:76" s="122" customFormat="1" ht="15.95" customHeight="1" x14ac:dyDescent="0.25">
      <c r="A351" s="195">
        <v>21</v>
      </c>
      <c r="B351" s="216" t="str">
        <f t="shared" si="264"/>
        <v>OECD90: Bellingeri, et al. 2019. A survey of dairy cattle management, crop planning, and forages cost of production in Northern Italy</v>
      </c>
      <c r="C351" s="221" t="s">
        <v>223</v>
      </c>
      <c r="D351" s="221" t="s">
        <v>224</v>
      </c>
      <c r="E351" s="221" t="s">
        <v>96</v>
      </c>
      <c r="F351" s="221" t="s">
        <v>225</v>
      </c>
      <c r="G351" s="240" t="s">
        <v>24</v>
      </c>
      <c r="H351" s="221">
        <v>2017</v>
      </c>
      <c r="I351" s="240"/>
      <c r="J351" s="338">
        <v>10.09</v>
      </c>
      <c r="K351" s="339" t="s">
        <v>200</v>
      </c>
      <c r="L351" s="334">
        <f>(J351*$AE$7*$AB$7)/(32.8*0.032)</f>
        <v>10.491822762870251</v>
      </c>
      <c r="M351" s="335" t="str">
        <f t="shared" si="265"/>
        <v>US$2014/ kg of protein</v>
      </c>
      <c r="N351" s="227"/>
      <c r="O351" s="227" t="s">
        <v>226</v>
      </c>
      <c r="Q351" s="228"/>
      <c r="R351" s="231">
        <f t="shared" si="277"/>
        <v>10.491822762870251</v>
      </c>
      <c r="S351" s="230">
        <f t="shared" si="266"/>
        <v>10.491822762870251</v>
      </c>
      <c r="T351" s="231" t="str">
        <f>IF(OR(Q351="Y",IFERROR(R351&gt;R435+R439*$AA$35,0),IFERROR(R351&lt;R435-R439*$AA$35,0)),"",IFERROR(R351*N351,""))</f>
        <v/>
      </c>
      <c r="U351" s="232" t="str">
        <f t="shared" si="267"/>
        <v>US$2014/ kg of protein</v>
      </c>
      <c r="V351" s="28"/>
      <c r="W351" s="28"/>
      <c r="Y351" s="139"/>
      <c r="AO351" s="139"/>
      <c r="AP351" s="28"/>
      <c r="AQ351" s="28"/>
      <c r="AR351" s="237"/>
      <c r="AS351" s="28"/>
      <c r="AT351" s="304" t="str">
        <f t="shared" si="290"/>
        <v/>
      </c>
      <c r="AU351" s="304" t="str">
        <f t="shared" si="290"/>
        <v/>
      </c>
      <c r="AV351" s="28"/>
      <c r="AW351" s="304">
        <f t="shared" si="281"/>
        <v>10.491822762870251</v>
      </c>
      <c r="AX351" s="304">
        <f t="shared" si="281"/>
        <v>10.491822762870251</v>
      </c>
      <c r="AY351" s="28"/>
      <c r="AZ351" s="304" t="str">
        <f t="shared" si="282"/>
        <v/>
      </c>
      <c r="BA351" s="304" t="str">
        <f t="shared" si="282"/>
        <v/>
      </c>
      <c r="BB351" s="28"/>
      <c r="BC351" s="304" t="str">
        <f t="shared" si="283"/>
        <v/>
      </c>
      <c r="BD351" s="304" t="str">
        <f t="shared" si="283"/>
        <v/>
      </c>
      <c r="BE351" s="28"/>
      <c r="BF351" s="304" t="str">
        <f t="shared" si="284"/>
        <v/>
      </c>
      <c r="BG351" s="304" t="str">
        <f t="shared" si="284"/>
        <v/>
      </c>
      <c r="BH351" s="28"/>
      <c r="BI351" s="304" t="str">
        <f t="shared" si="285"/>
        <v/>
      </c>
      <c r="BJ351" s="304" t="str">
        <f t="shared" si="285"/>
        <v/>
      </c>
      <c r="BK351" s="28"/>
      <c r="BL351" s="304" t="str">
        <f t="shared" si="286"/>
        <v/>
      </c>
      <c r="BM351" s="304" t="str">
        <f t="shared" si="286"/>
        <v/>
      </c>
      <c r="BN351" s="28"/>
      <c r="BO351" s="304" t="str">
        <f t="shared" si="287"/>
        <v/>
      </c>
      <c r="BP351" s="304" t="str">
        <f t="shared" si="287"/>
        <v/>
      </c>
      <c r="BQ351" s="28"/>
      <c r="BR351" s="304" t="str">
        <f t="shared" si="288"/>
        <v/>
      </c>
      <c r="BS351" s="304" t="str">
        <f t="shared" si="288"/>
        <v/>
      </c>
      <c r="BT351" s="28"/>
      <c r="BU351" s="304" t="str">
        <f t="shared" si="289"/>
        <v/>
      </c>
      <c r="BV351" s="304" t="str">
        <f t="shared" si="289"/>
        <v/>
      </c>
      <c r="BW351" s="28"/>
      <c r="BX351" s="139"/>
    </row>
    <row r="352" spans="1:76" s="122" customFormat="1" ht="15.95" customHeight="1" x14ac:dyDescent="0.25">
      <c r="A352" s="195">
        <v>22</v>
      </c>
      <c r="B352" s="216" t="str">
        <f t="shared" si="264"/>
        <v>Latin America: FAO. 2017. Global Livestock Environmental Assessment Model (GLEAM)</v>
      </c>
      <c r="C352" s="221" t="s">
        <v>227</v>
      </c>
      <c r="D352" s="221" t="s">
        <v>228</v>
      </c>
      <c r="E352" s="221" t="s">
        <v>100</v>
      </c>
      <c r="F352" s="221" t="s">
        <v>229</v>
      </c>
      <c r="G352" s="340" t="s">
        <v>26</v>
      </c>
      <c r="H352" s="221">
        <v>2017</v>
      </c>
      <c r="I352" s="340"/>
      <c r="J352" s="338">
        <v>4</v>
      </c>
      <c r="K352" s="339" t="s">
        <v>230</v>
      </c>
      <c r="L352" s="334">
        <f>1/J352*$AB$14/(0.75*0.2113)</f>
        <v>1.7195141189462064</v>
      </c>
      <c r="M352" s="335" t="str">
        <f t="shared" si="265"/>
        <v>US$2014/ kg of protein</v>
      </c>
      <c r="N352" s="227"/>
      <c r="O352" s="227" t="s">
        <v>231</v>
      </c>
      <c r="Q352" s="228"/>
      <c r="R352" s="231">
        <f t="shared" si="277"/>
        <v>1.7195141189462064</v>
      </c>
      <c r="S352" s="230">
        <f t="shared" si="266"/>
        <v>1.7195141189462064</v>
      </c>
      <c r="T352" s="231"/>
      <c r="U352" s="232" t="str">
        <f t="shared" si="267"/>
        <v>US$2014/ kg of protein</v>
      </c>
      <c r="V352" s="28"/>
      <c r="W352" s="28"/>
      <c r="Y352" s="139"/>
      <c r="AO352" s="139"/>
      <c r="AP352" s="28"/>
      <c r="AQ352" s="28"/>
      <c r="AR352" s="237"/>
      <c r="AS352" s="28"/>
      <c r="AT352" s="304" t="str">
        <f t="shared" si="290"/>
        <v/>
      </c>
      <c r="AU352" s="304" t="str">
        <f t="shared" si="290"/>
        <v/>
      </c>
      <c r="AV352" s="28"/>
      <c r="AW352" s="304" t="str">
        <f t="shared" si="281"/>
        <v/>
      </c>
      <c r="AX352" s="304" t="str">
        <f t="shared" si="281"/>
        <v/>
      </c>
      <c r="AY352" s="28"/>
      <c r="AZ352" s="304" t="str">
        <f t="shared" si="282"/>
        <v/>
      </c>
      <c r="BA352" s="304" t="str">
        <f t="shared" si="282"/>
        <v/>
      </c>
      <c r="BB352" s="28"/>
      <c r="BC352" s="304" t="str">
        <f t="shared" si="283"/>
        <v/>
      </c>
      <c r="BD352" s="304" t="str">
        <f t="shared" si="283"/>
        <v/>
      </c>
      <c r="BE352" s="28"/>
      <c r="BF352" s="304" t="str">
        <f t="shared" si="284"/>
        <v/>
      </c>
      <c r="BG352" s="304" t="str">
        <f t="shared" si="284"/>
        <v/>
      </c>
      <c r="BH352" s="28"/>
      <c r="BI352" s="304">
        <f t="shared" si="285"/>
        <v>1.7195141189462064</v>
      </c>
      <c r="BJ352" s="304">
        <f t="shared" si="285"/>
        <v>1.7195141189462064</v>
      </c>
      <c r="BK352" s="28"/>
      <c r="BL352" s="304" t="str">
        <f t="shared" si="286"/>
        <v/>
      </c>
      <c r="BM352" s="304" t="str">
        <f t="shared" si="286"/>
        <v/>
      </c>
      <c r="BN352" s="28"/>
      <c r="BO352" s="304" t="str">
        <f t="shared" si="287"/>
        <v/>
      </c>
      <c r="BP352" s="304" t="str">
        <f t="shared" si="287"/>
        <v/>
      </c>
      <c r="BQ352" s="28"/>
      <c r="BR352" s="304" t="str">
        <f t="shared" si="288"/>
        <v/>
      </c>
      <c r="BS352" s="304" t="str">
        <f t="shared" si="288"/>
        <v/>
      </c>
      <c r="BT352" s="28"/>
      <c r="BU352" s="304" t="str">
        <f t="shared" si="289"/>
        <v/>
      </c>
      <c r="BV352" s="304" t="str">
        <f t="shared" si="289"/>
        <v/>
      </c>
      <c r="BW352" s="28"/>
      <c r="BX352" s="139"/>
    </row>
    <row r="353" spans="1:76" s="122" customFormat="1" ht="15.95" customHeight="1" x14ac:dyDescent="0.25">
      <c r="A353" s="195">
        <v>23</v>
      </c>
      <c r="B353" s="216" t="str">
        <f t="shared" si="264"/>
        <v>Latin America: FAO. 2017. Global Livestock Environmental Assessment Model (GLEAM)</v>
      </c>
      <c r="C353" s="221" t="s">
        <v>227</v>
      </c>
      <c r="D353" s="221" t="s">
        <v>228</v>
      </c>
      <c r="E353" s="221" t="s">
        <v>100</v>
      </c>
      <c r="F353" s="221" t="s">
        <v>229</v>
      </c>
      <c r="G353" s="340" t="s">
        <v>26</v>
      </c>
      <c r="H353" s="221">
        <v>2017</v>
      </c>
      <c r="I353" s="340"/>
      <c r="J353" s="338">
        <v>3.7</v>
      </c>
      <c r="K353" s="339" t="s">
        <v>230</v>
      </c>
      <c r="L353" s="334">
        <f>1/J353*$AB$14/(0.75*0.2113)</f>
        <v>1.8589341826445474</v>
      </c>
      <c r="M353" s="335" t="str">
        <f t="shared" si="265"/>
        <v>US$2014/ kg of protein</v>
      </c>
      <c r="N353" s="227"/>
      <c r="O353" s="227" t="s">
        <v>232</v>
      </c>
      <c r="Q353" s="228"/>
      <c r="R353" s="231">
        <f t="shared" si="277"/>
        <v>1.8589341826445474</v>
      </c>
      <c r="S353" s="230">
        <f t="shared" si="266"/>
        <v>1.8589341826445474</v>
      </c>
      <c r="T353" s="231"/>
      <c r="U353" s="232" t="str">
        <f t="shared" si="267"/>
        <v>US$2014/ kg of protein</v>
      </c>
      <c r="V353" s="28"/>
      <c r="W353" s="28"/>
      <c r="Y353" s="139"/>
      <c r="AO353" s="139"/>
      <c r="AP353" s="28"/>
      <c r="AQ353" s="28"/>
      <c r="AR353" s="237"/>
      <c r="AS353" s="28"/>
      <c r="AT353" s="304" t="str">
        <f t="shared" si="290"/>
        <v/>
      </c>
      <c r="AU353" s="304" t="str">
        <f t="shared" si="290"/>
        <v/>
      </c>
      <c r="AV353" s="28"/>
      <c r="AW353" s="304" t="str">
        <f t="shared" si="281"/>
        <v/>
      </c>
      <c r="AX353" s="304" t="str">
        <f t="shared" si="281"/>
        <v/>
      </c>
      <c r="AY353" s="28"/>
      <c r="AZ353" s="304" t="str">
        <f t="shared" si="282"/>
        <v/>
      </c>
      <c r="BA353" s="304" t="str">
        <f t="shared" si="282"/>
        <v/>
      </c>
      <c r="BB353" s="28"/>
      <c r="BC353" s="304" t="str">
        <f t="shared" si="283"/>
        <v/>
      </c>
      <c r="BD353" s="304" t="str">
        <f t="shared" si="283"/>
        <v/>
      </c>
      <c r="BE353" s="28"/>
      <c r="BF353" s="304" t="str">
        <f t="shared" si="284"/>
        <v/>
      </c>
      <c r="BG353" s="304" t="str">
        <f t="shared" si="284"/>
        <v/>
      </c>
      <c r="BH353" s="28"/>
      <c r="BI353" s="304">
        <f t="shared" si="285"/>
        <v>1.8589341826445474</v>
      </c>
      <c r="BJ353" s="304">
        <f t="shared" si="285"/>
        <v>1.8589341826445474</v>
      </c>
      <c r="BK353" s="28"/>
      <c r="BL353" s="304" t="str">
        <f t="shared" si="286"/>
        <v/>
      </c>
      <c r="BM353" s="304" t="str">
        <f t="shared" si="286"/>
        <v/>
      </c>
      <c r="BN353" s="28"/>
      <c r="BO353" s="304" t="str">
        <f t="shared" si="287"/>
        <v/>
      </c>
      <c r="BP353" s="304" t="str">
        <f t="shared" si="287"/>
        <v/>
      </c>
      <c r="BQ353" s="28"/>
      <c r="BR353" s="304" t="str">
        <f t="shared" si="288"/>
        <v/>
      </c>
      <c r="BS353" s="304" t="str">
        <f t="shared" si="288"/>
        <v/>
      </c>
      <c r="BT353" s="28"/>
      <c r="BU353" s="304" t="str">
        <f t="shared" si="289"/>
        <v/>
      </c>
      <c r="BV353" s="304" t="str">
        <f t="shared" si="289"/>
        <v/>
      </c>
      <c r="BW353" s="28"/>
      <c r="BX353" s="139"/>
    </row>
    <row r="354" spans="1:76" s="122" customFormat="1" ht="15.95" customHeight="1" x14ac:dyDescent="0.25">
      <c r="A354" s="195">
        <v>24</v>
      </c>
      <c r="B354" s="216" t="str">
        <f t="shared" si="264"/>
        <v>Latin America: FAO. 2017. Global Livestock Environmental Assessment Model (GLEAM)</v>
      </c>
      <c r="C354" s="221" t="s">
        <v>227</v>
      </c>
      <c r="D354" s="221" t="s">
        <v>228</v>
      </c>
      <c r="E354" s="221" t="s">
        <v>100</v>
      </c>
      <c r="F354" s="221" t="s">
        <v>229</v>
      </c>
      <c r="G354" s="340" t="s">
        <v>26</v>
      </c>
      <c r="H354" s="221">
        <v>2017</v>
      </c>
      <c r="I354" s="340"/>
      <c r="J354" s="338">
        <v>3.3</v>
      </c>
      <c r="K354" s="339" t="s">
        <v>230</v>
      </c>
      <c r="L354" s="334">
        <f t="shared" ref="L354:L357" si="291">1/J354*$AB$14/(0.75*0.2113)</f>
        <v>2.0842595381166138</v>
      </c>
      <c r="M354" s="335" t="str">
        <f t="shared" si="265"/>
        <v>US$2014/ kg of protein</v>
      </c>
      <c r="N354" s="227"/>
      <c r="O354" s="227" t="s">
        <v>233</v>
      </c>
      <c r="Q354" s="228"/>
      <c r="R354" s="231">
        <f t="shared" si="277"/>
        <v>2.0842595381166138</v>
      </c>
      <c r="S354" s="230">
        <f t="shared" si="266"/>
        <v>2.0842595381166138</v>
      </c>
      <c r="T354" s="231"/>
      <c r="U354" s="232" t="str">
        <f t="shared" si="267"/>
        <v>US$2014/ kg of protein</v>
      </c>
      <c r="V354" s="28"/>
      <c r="W354" s="28"/>
      <c r="Y354" s="139"/>
      <c r="AO354" s="139"/>
      <c r="AP354" s="28"/>
      <c r="AQ354" s="28"/>
      <c r="AR354" s="237"/>
      <c r="AS354" s="28"/>
      <c r="AT354" s="304" t="str">
        <f t="shared" si="290"/>
        <v/>
      </c>
      <c r="AU354" s="304" t="str">
        <f t="shared" si="290"/>
        <v/>
      </c>
      <c r="AV354" s="28"/>
      <c r="AW354" s="304" t="str">
        <f t="shared" si="281"/>
        <v/>
      </c>
      <c r="AX354" s="304" t="str">
        <f t="shared" si="281"/>
        <v/>
      </c>
      <c r="AY354" s="28"/>
      <c r="AZ354" s="304" t="str">
        <f t="shared" si="282"/>
        <v/>
      </c>
      <c r="BA354" s="304" t="str">
        <f t="shared" si="282"/>
        <v/>
      </c>
      <c r="BB354" s="28"/>
      <c r="BC354" s="304" t="str">
        <f t="shared" si="283"/>
        <v/>
      </c>
      <c r="BD354" s="304" t="str">
        <f t="shared" si="283"/>
        <v/>
      </c>
      <c r="BE354" s="28"/>
      <c r="BF354" s="304" t="str">
        <f t="shared" si="284"/>
        <v/>
      </c>
      <c r="BG354" s="304" t="str">
        <f t="shared" si="284"/>
        <v/>
      </c>
      <c r="BH354" s="28"/>
      <c r="BI354" s="304">
        <f t="shared" si="285"/>
        <v>2.0842595381166138</v>
      </c>
      <c r="BJ354" s="304">
        <f t="shared" si="285"/>
        <v>2.0842595381166138</v>
      </c>
      <c r="BK354" s="28"/>
      <c r="BL354" s="304" t="str">
        <f t="shared" si="286"/>
        <v/>
      </c>
      <c r="BM354" s="304" t="str">
        <f t="shared" si="286"/>
        <v/>
      </c>
      <c r="BN354" s="28"/>
      <c r="BO354" s="304" t="str">
        <f t="shared" si="287"/>
        <v/>
      </c>
      <c r="BP354" s="304" t="str">
        <f t="shared" si="287"/>
        <v/>
      </c>
      <c r="BQ354" s="28"/>
      <c r="BR354" s="304" t="str">
        <f t="shared" si="288"/>
        <v/>
      </c>
      <c r="BS354" s="304" t="str">
        <f t="shared" si="288"/>
        <v/>
      </c>
      <c r="BT354" s="28"/>
      <c r="BU354" s="304" t="str">
        <f t="shared" si="289"/>
        <v/>
      </c>
      <c r="BV354" s="304" t="str">
        <f t="shared" si="289"/>
        <v/>
      </c>
      <c r="BW354" s="28"/>
      <c r="BX354" s="139"/>
    </row>
    <row r="355" spans="1:76" s="122" customFormat="1" ht="15.95" customHeight="1" x14ac:dyDescent="0.25">
      <c r="A355" s="195">
        <v>25</v>
      </c>
      <c r="B355" s="216" t="str">
        <f t="shared" si="264"/>
        <v>Latin America: FAO. 2017. Global Livestock Environmental Assessment Model (GLEAM)</v>
      </c>
      <c r="C355" s="221" t="s">
        <v>227</v>
      </c>
      <c r="D355" s="221" t="s">
        <v>228</v>
      </c>
      <c r="E355" s="221" t="s">
        <v>100</v>
      </c>
      <c r="F355" s="221" t="s">
        <v>229</v>
      </c>
      <c r="G355" s="340" t="s">
        <v>26</v>
      </c>
      <c r="H355" s="221">
        <v>2017</v>
      </c>
      <c r="I355" s="340"/>
      <c r="J355" s="338">
        <v>2.8</v>
      </c>
      <c r="K355" s="339" t="s">
        <v>230</v>
      </c>
      <c r="L355" s="334">
        <f t="shared" si="291"/>
        <v>2.4564487413517235</v>
      </c>
      <c r="M355" s="335" t="str">
        <f t="shared" si="265"/>
        <v>US$2014/ kg of protein</v>
      </c>
      <c r="N355" s="227"/>
      <c r="O355" s="227" t="s">
        <v>234</v>
      </c>
      <c r="Q355" s="228"/>
      <c r="R355" s="231">
        <f t="shared" si="277"/>
        <v>2.4564487413517235</v>
      </c>
      <c r="S355" s="230">
        <f t="shared" si="266"/>
        <v>2.4564487413517235</v>
      </c>
      <c r="T355" s="231"/>
      <c r="U355" s="232" t="str">
        <f t="shared" si="267"/>
        <v>US$2014/ kg of protein</v>
      </c>
      <c r="V355" s="28"/>
      <c r="W355" s="28"/>
      <c r="Y355" s="139"/>
      <c r="AO355" s="139"/>
      <c r="AP355" s="28"/>
      <c r="AQ355" s="28"/>
      <c r="AR355" s="237"/>
      <c r="AS355" s="28"/>
      <c r="AT355" s="304" t="str">
        <f t="shared" si="290"/>
        <v/>
      </c>
      <c r="AU355" s="304" t="str">
        <f t="shared" si="290"/>
        <v/>
      </c>
      <c r="AV355" s="28"/>
      <c r="AW355" s="304" t="str">
        <f t="shared" si="281"/>
        <v/>
      </c>
      <c r="AX355" s="304" t="str">
        <f t="shared" si="281"/>
        <v/>
      </c>
      <c r="AY355" s="28"/>
      <c r="AZ355" s="304" t="str">
        <f t="shared" si="282"/>
        <v/>
      </c>
      <c r="BA355" s="304" t="str">
        <f t="shared" si="282"/>
        <v/>
      </c>
      <c r="BB355" s="28"/>
      <c r="BC355" s="304" t="str">
        <f t="shared" si="283"/>
        <v/>
      </c>
      <c r="BD355" s="304" t="str">
        <f t="shared" si="283"/>
        <v/>
      </c>
      <c r="BE355" s="28"/>
      <c r="BF355" s="304" t="str">
        <f t="shared" si="284"/>
        <v/>
      </c>
      <c r="BG355" s="304" t="str">
        <f t="shared" si="284"/>
        <v/>
      </c>
      <c r="BH355" s="28"/>
      <c r="BI355" s="304">
        <f t="shared" si="285"/>
        <v>2.4564487413517235</v>
      </c>
      <c r="BJ355" s="304">
        <f t="shared" si="285"/>
        <v>2.4564487413517235</v>
      </c>
      <c r="BK355" s="28"/>
      <c r="BL355" s="304" t="str">
        <f t="shared" si="286"/>
        <v/>
      </c>
      <c r="BM355" s="304" t="str">
        <f t="shared" si="286"/>
        <v/>
      </c>
      <c r="BN355" s="28"/>
      <c r="BO355" s="304" t="str">
        <f t="shared" si="287"/>
        <v/>
      </c>
      <c r="BP355" s="304" t="str">
        <f t="shared" si="287"/>
        <v/>
      </c>
      <c r="BQ355" s="28"/>
      <c r="BR355" s="304" t="str">
        <f t="shared" si="288"/>
        <v/>
      </c>
      <c r="BS355" s="304" t="str">
        <f t="shared" si="288"/>
        <v/>
      </c>
      <c r="BT355" s="28"/>
      <c r="BU355" s="304" t="str">
        <f t="shared" si="289"/>
        <v/>
      </c>
      <c r="BV355" s="304" t="str">
        <f t="shared" si="289"/>
        <v/>
      </c>
      <c r="BW355" s="28"/>
      <c r="BX355" s="139"/>
    </row>
    <row r="356" spans="1:76" s="122" customFormat="1" ht="15.95" customHeight="1" x14ac:dyDescent="0.25">
      <c r="A356" s="195">
        <v>26</v>
      </c>
      <c r="B356" s="216" t="str">
        <f t="shared" si="264"/>
        <v>Latin America: FAO. 2017. Global Livestock Environmental Assessment Model (GLEAM)</v>
      </c>
      <c r="C356" s="221" t="s">
        <v>227</v>
      </c>
      <c r="D356" s="221" t="s">
        <v>228</v>
      </c>
      <c r="E356" s="221" t="s">
        <v>100</v>
      </c>
      <c r="F356" s="221" t="s">
        <v>229</v>
      </c>
      <c r="G356" s="340" t="s">
        <v>26</v>
      </c>
      <c r="H356" s="221">
        <v>2017</v>
      </c>
      <c r="I356" s="340"/>
      <c r="J356" s="338">
        <v>2.6</v>
      </c>
      <c r="K356" s="339" t="s">
        <v>230</v>
      </c>
      <c r="L356" s="334">
        <f t="shared" si="291"/>
        <v>2.6454063368403173</v>
      </c>
      <c r="M356" s="335" t="str">
        <f t="shared" si="265"/>
        <v>US$2014/ kg of protein</v>
      </c>
      <c r="N356" s="227"/>
      <c r="O356" s="227" t="s">
        <v>234</v>
      </c>
      <c r="Q356" s="228"/>
      <c r="R356" s="231">
        <f t="shared" si="277"/>
        <v>2.6454063368403173</v>
      </c>
      <c r="S356" s="230">
        <f t="shared" si="266"/>
        <v>2.6454063368403173</v>
      </c>
      <c r="T356" s="231"/>
      <c r="U356" s="232" t="str">
        <f t="shared" si="267"/>
        <v>US$2014/ kg of protein</v>
      </c>
      <c r="V356" s="28"/>
      <c r="W356" s="28"/>
      <c r="Y356" s="139"/>
      <c r="AO356" s="139"/>
      <c r="AP356" s="28"/>
      <c r="AQ356" s="28"/>
      <c r="AR356" s="237"/>
      <c r="AS356" s="28"/>
      <c r="AT356" s="304" t="str">
        <f t="shared" si="290"/>
        <v/>
      </c>
      <c r="AU356" s="304" t="str">
        <f t="shared" si="290"/>
        <v/>
      </c>
      <c r="AV356" s="28"/>
      <c r="AW356" s="304" t="str">
        <f t="shared" si="281"/>
        <v/>
      </c>
      <c r="AX356" s="304" t="str">
        <f t="shared" si="281"/>
        <v/>
      </c>
      <c r="AY356" s="28"/>
      <c r="AZ356" s="304" t="str">
        <f t="shared" si="282"/>
        <v/>
      </c>
      <c r="BA356" s="304" t="str">
        <f t="shared" si="282"/>
        <v/>
      </c>
      <c r="BB356" s="28"/>
      <c r="BC356" s="304" t="str">
        <f t="shared" si="283"/>
        <v/>
      </c>
      <c r="BD356" s="304" t="str">
        <f t="shared" si="283"/>
        <v/>
      </c>
      <c r="BE356" s="28"/>
      <c r="BF356" s="304" t="str">
        <f t="shared" si="284"/>
        <v/>
      </c>
      <c r="BG356" s="304" t="str">
        <f t="shared" si="284"/>
        <v/>
      </c>
      <c r="BH356" s="28"/>
      <c r="BI356" s="304">
        <f t="shared" si="285"/>
        <v>2.6454063368403173</v>
      </c>
      <c r="BJ356" s="304">
        <f t="shared" si="285"/>
        <v>2.6454063368403173</v>
      </c>
      <c r="BK356" s="28"/>
      <c r="BL356" s="304" t="str">
        <f t="shared" si="286"/>
        <v/>
      </c>
      <c r="BM356" s="304" t="str">
        <f t="shared" si="286"/>
        <v/>
      </c>
      <c r="BN356" s="28"/>
      <c r="BO356" s="304" t="str">
        <f t="shared" si="287"/>
        <v/>
      </c>
      <c r="BP356" s="304" t="str">
        <f t="shared" si="287"/>
        <v/>
      </c>
      <c r="BQ356" s="28"/>
      <c r="BR356" s="304" t="str">
        <f t="shared" si="288"/>
        <v/>
      </c>
      <c r="BS356" s="304" t="str">
        <f t="shared" si="288"/>
        <v/>
      </c>
      <c r="BT356" s="28"/>
      <c r="BU356" s="304" t="str">
        <f t="shared" si="289"/>
        <v/>
      </c>
      <c r="BV356" s="304" t="str">
        <f t="shared" si="289"/>
        <v/>
      </c>
      <c r="BW356" s="28"/>
      <c r="BX356" s="139"/>
    </row>
    <row r="357" spans="1:76" s="122" customFormat="1" ht="15.95" customHeight="1" x14ac:dyDescent="0.25">
      <c r="A357" s="195">
        <v>27</v>
      </c>
      <c r="B357" s="216" t="str">
        <f t="shared" si="264"/>
        <v>Latin America: FAO. 2017. Global Livestock Environmental Assessment Model (GLEAM)</v>
      </c>
      <c r="C357" s="221" t="s">
        <v>227</v>
      </c>
      <c r="D357" s="221" t="s">
        <v>228</v>
      </c>
      <c r="E357" s="221" t="s">
        <v>100</v>
      </c>
      <c r="F357" s="221" t="s">
        <v>229</v>
      </c>
      <c r="G357" s="340" t="s">
        <v>26</v>
      </c>
      <c r="H357" s="221">
        <v>2017</v>
      </c>
      <c r="I357" s="340"/>
      <c r="J357" s="338">
        <v>2.8</v>
      </c>
      <c r="K357" s="339" t="s">
        <v>230</v>
      </c>
      <c r="L357" s="334">
        <f t="shared" si="291"/>
        <v>2.4564487413517235</v>
      </c>
      <c r="M357" s="335" t="str">
        <f t="shared" si="265"/>
        <v>US$2014/ kg of protein</v>
      </c>
      <c r="N357" s="227"/>
      <c r="O357" s="227" t="s">
        <v>234</v>
      </c>
      <c r="Q357" s="228"/>
      <c r="R357" s="231">
        <f t="shared" si="277"/>
        <v>2.4564487413517235</v>
      </c>
      <c r="S357" s="230">
        <f t="shared" si="266"/>
        <v>2.4564487413517235</v>
      </c>
      <c r="T357" s="231"/>
      <c r="U357" s="232" t="str">
        <f t="shared" si="267"/>
        <v>US$2014/ kg of protein</v>
      </c>
      <c r="V357" s="28"/>
      <c r="W357" s="28"/>
      <c r="Y357" s="139"/>
      <c r="AO357" s="139"/>
      <c r="AP357" s="28"/>
      <c r="AQ357" s="28"/>
      <c r="AR357" s="237"/>
      <c r="AS357" s="28"/>
      <c r="AT357" s="304" t="str">
        <f t="shared" si="290"/>
        <v/>
      </c>
      <c r="AU357" s="304" t="str">
        <f t="shared" si="290"/>
        <v/>
      </c>
      <c r="AV357" s="28"/>
      <c r="AW357" s="304" t="str">
        <f t="shared" si="281"/>
        <v/>
      </c>
      <c r="AX357" s="304" t="str">
        <f t="shared" si="281"/>
        <v/>
      </c>
      <c r="AY357" s="28"/>
      <c r="AZ357" s="304" t="str">
        <f t="shared" si="282"/>
        <v/>
      </c>
      <c r="BA357" s="304" t="str">
        <f t="shared" si="282"/>
        <v/>
      </c>
      <c r="BB357" s="28"/>
      <c r="BC357" s="304" t="str">
        <f t="shared" si="283"/>
        <v/>
      </c>
      <c r="BD357" s="304" t="str">
        <f t="shared" si="283"/>
        <v/>
      </c>
      <c r="BE357" s="28"/>
      <c r="BF357" s="304" t="str">
        <f t="shared" si="284"/>
        <v/>
      </c>
      <c r="BG357" s="304" t="str">
        <f t="shared" si="284"/>
        <v/>
      </c>
      <c r="BH357" s="28"/>
      <c r="BI357" s="304">
        <f t="shared" si="285"/>
        <v>2.4564487413517235</v>
      </c>
      <c r="BJ357" s="304">
        <f t="shared" si="285"/>
        <v>2.4564487413517235</v>
      </c>
      <c r="BK357" s="28"/>
      <c r="BL357" s="304" t="str">
        <f t="shared" si="286"/>
        <v/>
      </c>
      <c r="BM357" s="304" t="str">
        <f t="shared" si="286"/>
        <v/>
      </c>
      <c r="BN357" s="28"/>
      <c r="BO357" s="304" t="str">
        <f t="shared" si="287"/>
        <v/>
      </c>
      <c r="BP357" s="304" t="str">
        <f t="shared" si="287"/>
        <v/>
      </c>
      <c r="BQ357" s="28"/>
      <c r="BR357" s="304" t="str">
        <f t="shared" si="288"/>
        <v/>
      </c>
      <c r="BS357" s="304" t="str">
        <f t="shared" si="288"/>
        <v/>
      </c>
      <c r="BT357" s="28"/>
      <c r="BU357" s="304" t="str">
        <f t="shared" si="289"/>
        <v/>
      </c>
      <c r="BV357" s="304" t="str">
        <f t="shared" si="289"/>
        <v/>
      </c>
      <c r="BW357" s="28"/>
      <c r="BX357" s="139"/>
    </row>
    <row r="358" spans="1:76" s="122" customFormat="1" ht="15.95" customHeight="1" x14ac:dyDescent="0.25">
      <c r="A358" s="195">
        <v>28</v>
      </c>
      <c r="B358" s="216" t="str">
        <f t="shared" si="264"/>
        <v>Asia (Sans Japan): FAO. 2017. Global Livestock Environmental Assessment Model (GLEAM)</v>
      </c>
      <c r="C358" s="221" t="s">
        <v>227</v>
      </c>
      <c r="D358" s="221" t="s">
        <v>235</v>
      </c>
      <c r="E358" s="221" t="s">
        <v>98</v>
      </c>
      <c r="F358" s="241" t="s">
        <v>236</v>
      </c>
      <c r="G358" s="340" t="s">
        <v>26</v>
      </c>
      <c r="H358" s="221">
        <v>2017</v>
      </c>
      <c r="I358" s="340"/>
      <c r="J358" s="338">
        <f>AVERAGE(2,3)</f>
        <v>2.5</v>
      </c>
      <c r="K358" s="339" t="s">
        <v>230</v>
      </c>
      <c r="L358" s="334">
        <f>1/J358*$AB$14/(0.032)</f>
        <v>13.625000000000002</v>
      </c>
      <c r="M358" s="335" t="str">
        <f t="shared" si="265"/>
        <v>US$2014/ kg of protein</v>
      </c>
      <c r="N358" s="227"/>
      <c r="O358" s="227" t="s">
        <v>237</v>
      </c>
      <c r="Q358" s="228"/>
      <c r="R358" s="231">
        <f t="shared" si="277"/>
        <v>13.625000000000002</v>
      </c>
      <c r="S358" s="230">
        <f t="shared" si="266"/>
        <v>13.625000000000002</v>
      </c>
      <c r="T358" s="231"/>
      <c r="U358" s="232" t="str">
        <f t="shared" si="267"/>
        <v>US$2014/ kg of protein</v>
      </c>
      <c r="V358" s="28"/>
      <c r="W358" s="28"/>
      <c r="Y358" s="139"/>
      <c r="AO358" s="139"/>
      <c r="AP358" s="28"/>
      <c r="AQ358" s="28"/>
      <c r="AR358" s="237"/>
      <c r="AS358" s="28"/>
      <c r="AT358" s="304" t="str">
        <f t="shared" si="290"/>
        <v/>
      </c>
      <c r="AU358" s="304" t="str">
        <f t="shared" si="290"/>
        <v/>
      </c>
      <c r="AV358" s="28"/>
      <c r="AW358" s="304" t="str">
        <f t="shared" si="281"/>
        <v/>
      </c>
      <c r="AX358" s="304" t="str">
        <f t="shared" si="281"/>
        <v/>
      </c>
      <c r="AY358" s="28"/>
      <c r="AZ358" s="304" t="str">
        <f t="shared" si="282"/>
        <v/>
      </c>
      <c r="BA358" s="304" t="str">
        <f t="shared" si="282"/>
        <v/>
      </c>
      <c r="BB358" s="28"/>
      <c r="BC358" s="304">
        <f t="shared" si="283"/>
        <v>13.625000000000002</v>
      </c>
      <c r="BD358" s="304">
        <f t="shared" si="283"/>
        <v>13.625000000000002</v>
      </c>
      <c r="BE358" s="28"/>
      <c r="BF358" s="304" t="str">
        <f t="shared" si="284"/>
        <v/>
      </c>
      <c r="BG358" s="304" t="str">
        <f t="shared" si="284"/>
        <v/>
      </c>
      <c r="BH358" s="28"/>
      <c r="BI358" s="304" t="str">
        <f t="shared" si="285"/>
        <v/>
      </c>
      <c r="BJ358" s="304" t="str">
        <f t="shared" si="285"/>
        <v/>
      </c>
      <c r="BK358" s="28"/>
      <c r="BL358" s="304" t="str">
        <f t="shared" si="286"/>
        <v/>
      </c>
      <c r="BM358" s="304" t="str">
        <f t="shared" si="286"/>
        <v/>
      </c>
      <c r="BN358" s="28"/>
      <c r="BO358" s="304" t="str">
        <f t="shared" si="287"/>
        <v/>
      </c>
      <c r="BP358" s="304" t="str">
        <f t="shared" si="287"/>
        <v/>
      </c>
      <c r="BQ358" s="28"/>
      <c r="BR358" s="304" t="str">
        <f t="shared" si="288"/>
        <v/>
      </c>
      <c r="BS358" s="304" t="str">
        <f t="shared" si="288"/>
        <v/>
      </c>
      <c r="BT358" s="28"/>
      <c r="BU358" s="304" t="str">
        <f t="shared" si="289"/>
        <v/>
      </c>
      <c r="BV358" s="304" t="str">
        <f t="shared" si="289"/>
        <v/>
      </c>
      <c r="BW358" s="28"/>
      <c r="BX358" s="139"/>
    </row>
    <row r="359" spans="1:76" s="122" customFormat="1" ht="15.95" customHeight="1" x14ac:dyDescent="0.25">
      <c r="A359" s="195">
        <v>29</v>
      </c>
      <c r="B359" s="216" t="str">
        <f t="shared" si="264"/>
        <v>Asia (Sans Japan): FAO. 2017. Global Livestock Environmental Assessment Model (GLEAM)</v>
      </c>
      <c r="C359" s="221" t="s">
        <v>227</v>
      </c>
      <c r="D359" s="221" t="s">
        <v>235</v>
      </c>
      <c r="E359" s="221" t="s">
        <v>98</v>
      </c>
      <c r="F359" s="241" t="s">
        <v>236</v>
      </c>
      <c r="G359" s="340" t="s">
        <v>26</v>
      </c>
      <c r="H359" s="221">
        <v>2017</v>
      </c>
      <c r="I359" s="340"/>
      <c r="J359" s="338">
        <f>AVERAGE(2,3)</f>
        <v>2.5</v>
      </c>
      <c r="K359" s="339" t="s">
        <v>230</v>
      </c>
      <c r="L359" s="334">
        <f t="shared" ref="L359:L360" si="292">1/J359*$AB$14/(0.032)</f>
        <v>13.625000000000002</v>
      </c>
      <c r="M359" s="335" t="str">
        <f t="shared" si="265"/>
        <v>US$2014/ kg of protein</v>
      </c>
      <c r="N359" s="227"/>
      <c r="O359" s="227" t="s">
        <v>238</v>
      </c>
      <c r="Q359" s="228"/>
      <c r="R359" s="231">
        <f t="shared" si="277"/>
        <v>13.625000000000002</v>
      </c>
      <c r="S359" s="230">
        <f t="shared" si="266"/>
        <v>13.625000000000002</v>
      </c>
      <c r="T359" s="231"/>
      <c r="U359" s="232" t="str">
        <f t="shared" si="267"/>
        <v>US$2014/ kg of protein</v>
      </c>
      <c r="V359" s="28"/>
      <c r="W359" s="28"/>
      <c r="Y359" s="139"/>
      <c r="AO359" s="139"/>
      <c r="AP359" s="28"/>
      <c r="AQ359" s="28"/>
      <c r="AR359" s="237"/>
      <c r="AS359" s="28"/>
      <c r="AT359" s="304" t="str">
        <f t="shared" si="290"/>
        <v/>
      </c>
      <c r="AU359" s="304" t="str">
        <f t="shared" si="290"/>
        <v/>
      </c>
      <c r="AV359" s="28"/>
      <c r="AW359" s="304" t="str">
        <f t="shared" si="281"/>
        <v/>
      </c>
      <c r="AX359" s="304" t="str">
        <f t="shared" si="281"/>
        <v/>
      </c>
      <c r="AY359" s="28"/>
      <c r="AZ359" s="304" t="str">
        <f t="shared" si="282"/>
        <v/>
      </c>
      <c r="BA359" s="304" t="str">
        <f t="shared" si="282"/>
        <v/>
      </c>
      <c r="BB359" s="28"/>
      <c r="BC359" s="304">
        <f t="shared" si="283"/>
        <v>13.625000000000002</v>
      </c>
      <c r="BD359" s="304">
        <f t="shared" si="283"/>
        <v>13.625000000000002</v>
      </c>
      <c r="BE359" s="28"/>
      <c r="BF359" s="304" t="str">
        <f t="shared" si="284"/>
        <v/>
      </c>
      <c r="BG359" s="304" t="str">
        <f t="shared" si="284"/>
        <v/>
      </c>
      <c r="BH359" s="28"/>
      <c r="BI359" s="304" t="str">
        <f t="shared" si="285"/>
        <v/>
      </c>
      <c r="BJ359" s="304" t="str">
        <f t="shared" si="285"/>
        <v/>
      </c>
      <c r="BK359" s="28"/>
      <c r="BL359" s="304" t="str">
        <f t="shared" si="286"/>
        <v/>
      </c>
      <c r="BM359" s="304" t="str">
        <f t="shared" si="286"/>
        <v/>
      </c>
      <c r="BN359" s="28"/>
      <c r="BO359" s="304" t="str">
        <f t="shared" si="287"/>
        <v/>
      </c>
      <c r="BP359" s="304" t="str">
        <f t="shared" si="287"/>
        <v/>
      </c>
      <c r="BQ359" s="28"/>
      <c r="BR359" s="304" t="str">
        <f t="shared" si="288"/>
        <v/>
      </c>
      <c r="BS359" s="304" t="str">
        <f t="shared" si="288"/>
        <v/>
      </c>
      <c r="BT359" s="28"/>
      <c r="BU359" s="304" t="str">
        <f t="shared" si="289"/>
        <v/>
      </c>
      <c r="BV359" s="304" t="str">
        <f t="shared" si="289"/>
        <v/>
      </c>
      <c r="BW359" s="28"/>
      <c r="BX359" s="139"/>
    </row>
    <row r="360" spans="1:76" s="122" customFormat="1" ht="15.95" customHeight="1" x14ac:dyDescent="0.25">
      <c r="A360" s="195">
        <v>30</v>
      </c>
      <c r="B360" s="216" t="str">
        <f t="shared" si="264"/>
        <v>Asia (Sans Japan): FAO. 2017. Global Livestock Environmental Assessment Model (GLEAM)</v>
      </c>
      <c r="C360" s="221" t="s">
        <v>227</v>
      </c>
      <c r="D360" s="221" t="s">
        <v>235</v>
      </c>
      <c r="E360" s="221" t="s">
        <v>98</v>
      </c>
      <c r="F360" s="241" t="s">
        <v>236</v>
      </c>
      <c r="G360" s="340" t="s">
        <v>26</v>
      </c>
      <c r="H360" s="221">
        <v>2017</v>
      </c>
      <c r="I360" s="340"/>
      <c r="J360" s="338">
        <v>5</v>
      </c>
      <c r="K360" s="339" t="s">
        <v>230</v>
      </c>
      <c r="L360" s="334">
        <f t="shared" si="292"/>
        <v>6.8125000000000009</v>
      </c>
      <c r="M360" s="335" t="str">
        <f t="shared" si="265"/>
        <v>US$2014/ kg of protein</v>
      </c>
      <c r="N360" s="227"/>
      <c r="O360" s="227" t="s">
        <v>239</v>
      </c>
      <c r="Q360" s="228"/>
      <c r="R360" s="231">
        <f t="shared" si="277"/>
        <v>6.8125000000000009</v>
      </c>
      <c r="S360" s="230">
        <f t="shared" si="266"/>
        <v>6.8125000000000009</v>
      </c>
      <c r="T360" s="231"/>
      <c r="U360" s="232" t="str">
        <f t="shared" si="267"/>
        <v>US$2014/ kg of protein</v>
      </c>
      <c r="V360" s="28"/>
      <c r="W360" s="28"/>
      <c r="Y360" s="139"/>
      <c r="AO360" s="139"/>
      <c r="AP360" s="28"/>
      <c r="AQ360" s="28"/>
      <c r="AR360" s="237"/>
      <c r="AS360" s="28"/>
      <c r="AT360" s="304" t="str">
        <f t="shared" si="290"/>
        <v/>
      </c>
      <c r="AU360" s="304" t="str">
        <f t="shared" si="290"/>
        <v/>
      </c>
      <c r="AV360" s="28"/>
      <c r="AW360" s="304" t="str">
        <f t="shared" si="281"/>
        <v/>
      </c>
      <c r="AX360" s="304" t="str">
        <f t="shared" si="281"/>
        <v/>
      </c>
      <c r="AY360" s="28"/>
      <c r="AZ360" s="304" t="str">
        <f t="shared" si="282"/>
        <v/>
      </c>
      <c r="BA360" s="304" t="str">
        <f t="shared" si="282"/>
        <v/>
      </c>
      <c r="BB360" s="28"/>
      <c r="BC360" s="304">
        <f t="shared" si="283"/>
        <v>6.8125000000000009</v>
      </c>
      <c r="BD360" s="304">
        <f t="shared" si="283"/>
        <v>6.8125000000000009</v>
      </c>
      <c r="BE360" s="28"/>
      <c r="BF360" s="304" t="str">
        <f t="shared" si="284"/>
        <v/>
      </c>
      <c r="BG360" s="304" t="str">
        <f t="shared" si="284"/>
        <v/>
      </c>
      <c r="BH360" s="28"/>
      <c r="BI360" s="304" t="str">
        <f t="shared" si="285"/>
        <v/>
      </c>
      <c r="BJ360" s="304" t="str">
        <f t="shared" si="285"/>
        <v/>
      </c>
      <c r="BK360" s="28"/>
      <c r="BL360" s="304" t="str">
        <f t="shared" si="286"/>
        <v/>
      </c>
      <c r="BM360" s="304" t="str">
        <f t="shared" si="286"/>
        <v/>
      </c>
      <c r="BN360" s="28"/>
      <c r="BO360" s="304" t="str">
        <f t="shared" si="287"/>
        <v/>
      </c>
      <c r="BP360" s="304" t="str">
        <f t="shared" si="287"/>
        <v/>
      </c>
      <c r="BQ360" s="28"/>
      <c r="BR360" s="304" t="str">
        <f t="shared" si="288"/>
        <v/>
      </c>
      <c r="BS360" s="304" t="str">
        <f t="shared" si="288"/>
        <v/>
      </c>
      <c r="BT360" s="28"/>
      <c r="BU360" s="304" t="str">
        <f t="shared" si="289"/>
        <v/>
      </c>
      <c r="BV360" s="304" t="str">
        <f t="shared" si="289"/>
        <v/>
      </c>
      <c r="BW360" s="28"/>
      <c r="BX360" s="139"/>
    </row>
    <row r="361" spans="1:76" s="122" customFormat="1" ht="15.95" customHeight="1" x14ac:dyDescent="0.25">
      <c r="A361" s="195">
        <v>31</v>
      </c>
      <c r="B361" s="216" t="str">
        <f t="shared" si="264"/>
        <v>Middle East and Africa: FAO. 2017. Global Livestock Environmental Assessment Model (GLEAM)</v>
      </c>
      <c r="C361" s="221" t="s">
        <v>227</v>
      </c>
      <c r="D361" s="221" t="s">
        <v>240</v>
      </c>
      <c r="E361" s="221" t="s">
        <v>99</v>
      </c>
      <c r="F361" s="241" t="s">
        <v>241</v>
      </c>
      <c r="G361" s="340" t="s">
        <v>26</v>
      </c>
      <c r="H361" s="221">
        <v>2017</v>
      </c>
      <c r="I361" s="340"/>
      <c r="J361" s="338">
        <f>AVERAGE(2,3)</f>
        <v>2.5</v>
      </c>
      <c r="K361" s="339" t="s">
        <v>230</v>
      </c>
      <c r="L361" s="334">
        <f>1/J361*$AB$14/(0.032)</f>
        <v>13.625000000000002</v>
      </c>
      <c r="M361" s="335" t="str">
        <f t="shared" si="265"/>
        <v>US$2014/ kg of protein</v>
      </c>
      <c r="N361" s="227"/>
      <c r="O361" s="227" t="s">
        <v>242</v>
      </c>
      <c r="Q361" s="228"/>
      <c r="R361" s="231">
        <f t="shared" si="277"/>
        <v>13.625000000000002</v>
      </c>
      <c r="S361" s="230">
        <f t="shared" si="266"/>
        <v>13.625000000000002</v>
      </c>
      <c r="T361" s="231"/>
      <c r="U361" s="232" t="str">
        <f t="shared" si="267"/>
        <v>US$2014/ kg of protein</v>
      </c>
      <c r="V361" s="28"/>
      <c r="W361" s="28"/>
      <c r="Y361" s="139"/>
      <c r="AO361" s="139"/>
      <c r="AP361" s="28"/>
      <c r="AQ361" s="28"/>
      <c r="AR361" s="237"/>
      <c r="AS361" s="28"/>
      <c r="AT361" s="304" t="str">
        <f t="shared" si="290"/>
        <v/>
      </c>
      <c r="AU361" s="304" t="str">
        <f t="shared" si="290"/>
        <v/>
      </c>
      <c r="AV361" s="28"/>
      <c r="AW361" s="304" t="str">
        <f t="shared" si="281"/>
        <v/>
      </c>
      <c r="AX361" s="304" t="str">
        <f t="shared" si="281"/>
        <v/>
      </c>
      <c r="AY361" s="28"/>
      <c r="AZ361" s="304" t="str">
        <f t="shared" si="282"/>
        <v/>
      </c>
      <c r="BA361" s="304" t="str">
        <f t="shared" si="282"/>
        <v/>
      </c>
      <c r="BB361" s="28"/>
      <c r="BC361" s="304" t="str">
        <f t="shared" si="283"/>
        <v/>
      </c>
      <c r="BD361" s="304" t="str">
        <f t="shared" si="283"/>
        <v/>
      </c>
      <c r="BE361" s="28"/>
      <c r="BF361" s="304">
        <f t="shared" si="284"/>
        <v>13.625000000000002</v>
      </c>
      <c r="BG361" s="304">
        <f t="shared" si="284"/>
        <v>13.625000000000002</v>
      </c>
      <c r="BH361" s="28"/>
      <c r="BI361" s="304" t="str">
        <f t="shared" si="285"/>
        <v/>
      </c>
      <c r="BJ361" s="304" t="str">
        <f t="shared" si="285"/>
        <v/>
      </c>
      <c r="BK361" s="28"/>
      <c r="BL361" s="304" t="str">
        <f t="shared" si="286"/>
        <v/>
      </c>
      <c r="BM361" s="304" t="str">
        <f t="shared" si="286"/>
        <v/>
      </c>
      <c r="BN361" s="28"/>
      <c r="BO361" s="304" t="str">
        <f t="shared" si="287"/>
        <v/>
      </c>
      <c r="BP361" s="304" t="str">
        <f t="shared" si="287"/>
        <v/>
      </c>
      <c r="BQ361" s="28"/>
      <c r="BR361" s="304" t="str">
        <f t="shared" si="288"/>
        <v/>
      </c>
      <c r="BS361" s="304" t="str">
        <f t="shared" si="288"/>
        <v/>
      </c>
      <c r="BT361" s="28"/>
      <c r="BU361" s="304" t="str">
        <f t="shared" si="289"/>
        <v/>
      </c>
      <c r="BV361" s="304" t="str">
        <f t="shared" si="289"/>
        <v/>
      </c>
      <c r="BW361" s="28"/>
      <c r="BX361" s="139"/>
    </row>
    <row r="362" spans="1:76" s="122" customFormat="1" ht="15.95" customHeight="1" x14ac:dyDescent="0.25">
      <c r="A362" s="195">
        <v>32</v>
      </c>
      <c r="B362" s="216" t="str">
        <f t="shared" si="264"/>
        <v>Middle East and Africa: FAO. 2017. Global Livestock Environmental Assessment Model (GLEAM)</v>
      </c>
      <c r="C362" s="221" t="s">
        <v>227</v>
      </c>
      <c r="D362" s="221" t="s">
        <v>240</v>
      </c>
      <c r="E362" s="221" t="s">
        <v>99</v>
      </c>
      <c r="F362" s="241" t="s">
        <v>241</v>
      </c>
      <c r="G362" s="340" t="s">
        <v>26</v>
      </c>
      <c r="H362" s="221">
        <v>2017</v>
      </c>
      <c r="I362" s="340"/>
      <c r="J362" s="338">
        <f t="shared" ref="J362:J364" si="293">AVERAGE(2,3)</f>
        <v>2.5</v>
      </c>
      <c r="K362" s="339" t="s">
        <v>230</v>
      </c>
      <c r="L362" s="334">
        <f t="shared" ref="L362:L408" si="294">1/J362*$AB$14/(0.032)</f>
        <v>13.625000000000002</v>
      </c>
      <c r="M362" s="335" t="str">
        <f t="shared" si="265"/>
        <v>US$2014/ kg of protein</v>
      </c>
      <c r="N362" s="227"/>
      <c r="O362" s="227" t="s">
        <v>243</v>
      </c>
      <c r="Q362" s="228"/>
      <c r="R362" s="231">
        <f t="shared" si="277"/>
        <v>13.625000000000002</v>
      </c>
      <c r="S362" s="230">
        <f t="shared" si="266"/>
        <v>13.625000000000002</v>
      </c>
      <c r="T362" s="231"/>
      <c r="U362" s="232" t="str">
        <f t="shared" si="267"/>
        <v>US$2014/ kg of protein</v>
      </c>
      <c r="V362" s="28"/>
      <c r="W362" s="28"/>
      <c r="Y362" s="139"/>
      <c r="AO362" s="139"/>
      <c r="AP362" s="28"/>
      <c r="AQ362" s="28"/>
      <c r="AR362" s="237"/>
      <c r="AS362" s="28"/>
      <c r="AT362" s="304" t="str">
        <f t="shared" si="290"/>
        <v/>
      </c>
      <c r="AU362" s="304" t="str">
        <f t="shared" si="290"/>
        <v/>
      </c>
      <c r="AV362" s="28"/>
      <c r="AW362" s="304" t="str">
        <f t="shared" si="281"/>
        <v/>
      </c>
      <c r="AX362" s="304" t="str">
        <f t="shared" si="281"/>
        <v/>
      </c>
      <c r="AY362" s="28"/>
      <c r="AZ362" s="304" t="str">
        <f t="shared" si="282"/>
        <v/>
      </c>
      <c r="BA362" s="304" t="str">
        <f t="shared" si="282"/>
        <v/>
      </c>
      <c r="BB362" s="28"/>
      <c r="BC362" s="304" t="str">
        <f t="shared" si="283"/>
        <v/>
      </c>
      <c r="BD362" s="304" t="str">
        <f t="shared" si="283"/>
        <v/>
      </c>
      <c r="BE362" s="28"/>
      <c r="BF362" s="304">
        <f t="shared" si="284"/>
        <v>13.625000000000002</v>
      </c>
      <c r="BG362" s="304">
        <f t="shared" si="284"/>
        <v>13.625000000000002</v>
      </c>
      <c r="BH362" s="28"/>
      <c r="BI362" s="304" t="str">
        <f t="shared" si="285"/>
        <v/>
      </c>
      <c r="BJ362" s="304" t="str">
        <f t="shared" si="285"/>
        <v/>
      </c>
      <c r="BK362" s="28"/>
      <c r="BL362" s="304" t="str">
        <f t="shared" si="286"/>
        <v/>
      </c>
      <c r="BM362" s="304" t="str">
        <f t="shared" si="286"/>
        <v/>
      </c>
      <c r="BN362" s="28"/>
      <c r="BO362" s="304" t="str">
        <f t="shared" si="287"/>
        <v/>
      </c>
      <c r="BP362" s="304" t="str">
        <f t="shared" si="287"/>
        <v/>
      </c>
      <c r="BQ362" s="28"/>
      <c r="BR362" s="304" t="str">
        <f t="shared" si="288"/>
        <v/>
      </c>
      <c r="BS362" s="304" t="str">
        <f t="shared" si="288"/>
        <v/>
      </c>
      <c r="BT362" s="28"/>
      <c r="BU362" s="304" t="str">
        <f t="shared" si="289"/>
        <v/>
      </c>
      <c r="BV362" s="304" t="str">
        <f t="shared" si="289"/>
        <v/>
      </c>
      <c r="BW362" s="28"/>
      <c r="BX362" s="139"/>
    </row>
    <row r="363" spans="1:76" s="122" customFormat="1" ht="15.95" customHeight="1" x14ac:dyDescent="0.25">
      <c r="A363" s="195">
        <v>33</v>
      </c>
      <c r="B363" s="216" t="str">
        <f t="shared" si="264"/>
        <v>Middle East and Africa: FAO. 2017. Global Livestock Environmental Assessment Model (GLEAM)</v>
      </c>
      <c r="C363" s="221" t="s">
        <v>227</v>
      </c>
      <c r="D363" s="221" t="s">
        <v>240</v>
      </c>
      <c r="E363" s="221" t="s">
        <v>99</v>
      </c>
      <c r="F363" s="241" t="s">
        <v>241</v>
      </c>
      <c r="G363" s="340" t="s">
        <v>26</v>
      </c>
      <c r="H363" s="221">
        <v>2017</v>
      </c>
      <c r="I363" s="340"/>
      <c r="J363" s="338">
        <f t="shared" si="293"/>
        <v>2.5</v>
      </c>
      <c r="K363" s="339" t="s">
        <v>230</v>
      </c>
      <c r="L363" s="334">
        <f t="shared" si="294"/>
        <v>13.625000000000002</v>
      </c>
      <c r="M363" s="335" t="str">
        <f t="shared" si="265"/>
        <v>US$2014/ kg of protein</v>
      </c>
      <c r="N363" s="227"/>
      <c r="O363" s="227" t="s">
        <v>244</v>
      </c>
      <c r="Q363" s="228"/>
      <c r="R363" s="231">
        <f t="shared" si="277"/>
        <v>13.625000000000002</v>
      </c>
      <c r="S363" s="230">
        <f t="shared" si="266"/>
        <v>13.625000000000002</v>
      </c>
      <c r="T363" s="231"/>
      <c r="U363" s="232" t="str">
        <f t="shared" si="267"/>
        <v>US$2014/ kg of protein</v>
      </c>
      <c r="V363" s="28"/>
      <c r="W363" s="28"/>
      <c r="Y363" s="139"/>
      <c r="AO363" s="139"/>
      <c r="AP363" s="28"/>
      <c r="AQ363" s="28"/>
      <c r="AR363" s="237"/>
      <c r="AS363" s="28"/>
      <c r="AT363" s="304" t="str">
        <f t="shared" si="290"/>
        <v/>
      </c>
      <c r="AU363" s="304" t="str">
        <f t="shared" si="290"/>
        <v/>
      </c>
      <c r="AV363" s="28"/>
      <c r="AW363" s="304" t="str">
        <f t="shared" si="281"/>
        <v/>
      </c>
      <c r="AX363" s="304" t="str">
        <f t="shared" si="281"/>
        <v/>
      </c>
      <c r="AY363" s="28"/>
      <c r="AZ363" s="304" t="str">
        <f t="shared" si="282"/>
        <v/>
      </c>
      <c r="BA363" s="304" t="str">
        <f t="shared" si="282"/>
        <v/>
      </c>
      <c r="BB363" s="28"/>
      <c r="BC363" s="304" t="str">
        <f t="shared" si="283"/>
        <v/>
      </c>
      <c r="BD363" s="304" t="str">
        <f t="shared" si="283"/>
        <v/>
      </c>
      <c r="BE363" s="28"/>
      <c r="BF363" s="304">
        <f t="shared" si="284"/>
        <v>13.625000000000002</v>
      </c>
      <c r="BG363" s="304">
        <f t="shared" si="284"/>
        <v>13.625000000000002</v>
      </c>
      <c r="BH363" s="28"/>
      <c r="BI363" s="304" t="str">
        <f t="shared" si="285"/>
        <v/>
      </c>
      <c r="BJ363" s="304" t="str">
        <f t="shared" si="285"/>
        <v/>
      </c>
      <c r="BK363" s="28"/>
      <c r="BL363" s="304" t="str">
        <f t="shared" si="286"/>
        <v/>
      </c>
      <c r="BM363" s="304" t="str">
        <f t="shared" si="286"/>
        <v/>
      </c>
      <c r="BN363" s="28"/>
      <c r="BO363" s="304" t="str">
        <f t="shared" si="287"/>
        <v/>
      </c>
      <c r="BP363" s="304" t="str">
        <f t="shared" si="287"/>
        <v/>
      </c>
      <c r="BQ363" s="28"/>
      <c r="BR363" s="304" t="str">
        <f t="shared" si="288"/>
        <v/>
      </c>
      <c r="BS363" s="304" t="str">
        <f t="shared" si="288"/>
        <v/>
      </c>
      <c r="BT363" s="28"/>
      <c r="BU363" s="304" t="str">
        <f t="shared" si="289"/>
        <v/>
      </c>
      <c r="BV363" s="304" t="str">
        <f t="shared" si="289"/>
        <v/>
      </c>
      <c r="BW363" s="28"/>
      <c r="BX363" s="139"/>
    </row>
    <row r="364" spans="1:76" s="122" customFormat="1" ht="15.95" customHeight="1" x14ac:dyDescent="0.25">
      <c r="A364" s="195">
        <v>34</v>
      </c>
      <c r="B364" s="216" t="str">
        <f t="shared" si="264"/>
        <v>Middle East and Africa: FAO. 2017. Global Livestock Environmental Assessment Model (GLEAM)</v>
      </c>
      <c r="C364" s="221" t="s">
        <v>227</v>
      </c>
      <c r="D364" s="221" t="s">
        <v>240</v>
      </c>
      <c r="E364" s="221" t="s">
        <v>99</v>
      </c>
      <c r="F364" s="241" t="s">
        <v>241</v>
      </c>
      <c r="G364" s="340" t="s">
        <v>26</v>
      </c>
      <c r="H364" s="221">
        <v>2017</v>
      </c>
      <c r="I364" s="340"/>
      <c r="J364" s="338">
        <f t="shared" si="293"/>
        <v>2.5</v>
      </c>
      <c r="K364" s="339" t="s">
        <v>230</v>
      </c>
      <c r="L364" s="334">
        <f t="shared" si="294"/>
        <v>13.625000000000002</v>
      </c>
      <c r="M364" s="335" t="str">
        <f t="shared" si="265"/>
        <v>US$2014/ kg of protein</v>
      </c>
      <c r="N364" s="227"/>
      <c r="O364" s="227" t="s">
        <v>245</v>
      </c>
      <c r="Q364" s="228"/>
      <c r="R364" s="231">
        <f t="shared" si="277"/>
        <v>13.625000000000002</v>
      </c>
      <c r="S364" s="230">
        <f t="shared" si="266"/>
        <v>13.625000000000002</v>
      </c>
      <c r="T364" s="231"/>
      <c r="U364" s="232" t="str">
        <f t="shared" si="267"/>
        <v>US$2014/ kg of protein</v>
      </c>
      <c r="V364" s="28"/>
      <c r="W364" s="28"/>
      <c r="Y364" s="139"/>
      <c r="AO364" s="139"/>
      <c r="AP364" s="28"/>
      <c r="AQ364" s="28"/>
      <c r="AR364" s="237"/>
      <c r="AS364" s="28"/>
      <c r="AT364" s="304" t="str">
        <f t="shared" si="290"/>
        <v/>
      </c>
      <c r="AU364" s="304" t="str">
        <f t="shared" si="290"/>
        <v/>
      </c>
      <c r="AV364" s="28"/>
      <c r="AW364" s="304" t="str">
        <f t="shared" si="281"/>
        <v/>
      </c>
      <c r="AX364" s="304" t="str">
        <f t="shared" si="281"/>
        <v/>
      </c>
      <c r="AY364" s="28"/>
      <c r="AZ364" s="304" t="str">
        <f t="shared" si="282"/>
        <v/>
      </c>
      <c r="BA364" s="304" t="str">
        <f t="shared" si="282"/>
        <v/>
      </c>
      <c r="BB364" s="28"/>
      <c r="BC364" s="304" t="str">
        <f t="shared" si="283"/>
        <v/>
      </c>
      <c r="BD364" s="304" t="str">
        <f t="shared" si="283"/>
        <v/>
      </c>
      <c r="BE364" s="28"/>
      <c r="BF364" s="304">
        <f t="shared" si="284"/>
        <v>13.625000000000002</v>
      </c>
      <c r="BG364" s="304">
        <f t="shared" si="284"/>
        <v>13.625000000000002</v>
      </c>
      <c r="BH364" s="28"/>
      <c r="BI364" s="304" t="str">
        <f t="shared" si="285"/>
        <v/>
      </c>
      <c r="BJ364" s="304" t="str">
        <f t="shared" si="285"/>
        <v/>
      </c>
      <c r="BK364" s="28"/>
      <c r="BL364" s="304" t="str">
        <f t="shared" si="286"/>
        <v/>
      </c>
      <c r="BM364" s="304" t="str">
        <f t="shared" si="286"/>
        <v/>
      </c>
      <c r="BN364" s="28"/>
      <c r="BO364" s="304" t="str">
        <f t="shared" si="287"/>
        <v/>
      </c>
      <c r="BP364" s="304" t="str">
        <f t="shared" si="287"/>
        <v/>
      </c>
      <c r="BQ364" s="28"/>
      <c r="BR364" s="304" t="str">
        <f t="shared" si="288"/>
        <v/>
      </c>
      <c r="BS364" s="304" t="str">
        <f t="shared" si="288"/>
        <v/>
      </c>
      <c r="BT364" s="28"/>
      <c r="BU364" s="304" t="str">
        <f t="shared" si="289"/>
        <v/>
      </c>
      <c r="BV364" s="304" t="str">
        <f t="shared" si="289"/>
        <v/>
      </c>
      <c r="BW364" s="28"/>
      <c r="BX364" s="139"/>
    </row>
    <row r="365" spans="1:76" s="122" customFormat="1" ht="15.95" customHeight="1" x14ac:dyDescent="0.25">
      <c r="A365" s="195">
        <v>35</v>
      </c>
      <c r="B365" s="216" t="str">
        <f t="shared" si="264"/>
        <v>Middle East and Africa: FAO. 2017. Global Livestock Environmental Assessment Model (GLEAM)</v>
      </c>
      <c r="C365" s="221" t="s">
        <v>227</v>
      </c>
      <c r="D365" s="221" t="s">
        <v>240</v>
      </c>
      <c r="E365" s="221" t="s">
        <v>99</v>
      </c>
      <c r="F365" s="241" t="s">
        <v>241</v>
      </c>
      <c r="G365" s="340" t="s">
        <v>26</v>
      </c>
      <c r="H365" s="221">
        <v>2017</v>
      </c>
      <c r="I365" s="340"/>
      <c r="J365" s="338">
        <f>AVERAGE(2,3)</f>
        <v>2.5</v>
      </c>
      <c r="K365" s="339" t="s">
        <v>230</v>
      </c>
      <c r="L365" s="334">
        <f t="shared" si="294"/>
        <v>13.625000000000002</v>
      </c>
      <c r="M365" s="335" t="str">
        <f t="shared" si="265"/>
        <v>US$2014/ kg of protein</v>
      </c>
      <c r="N365" s="227"/>
      <c r="O365" s="227" t="s">
        <v>246</v>
      </c>
      <c r="Q365" s="228"/>
      <c r="R365" s="231">
        <f t="shared" si="277"/>
        <v>13.625000000000002</v>
      </c>
      <c r="S365" s="230">
        <f t="shared" si="266"/>
        <v>13.625000000000002</v>
      </c>
      <c r="T365" s="231"/>
      <c r="U365" s="232" t="str">
        <f t="shared" si="267"/>
        <v>US$2014/ kg of protein</v>
      </c>
      <c r="V365" s="28"/>
      <c r="W365" s="28"/>
      <c r="Y365" s="139"/>
      <c r="AO365" s="139"/>
      <c r="AP365" s="28"/>
      <c r="AQ365" s="28"/>
      <c r="AR365" s="237"/>
      <c r="AS365" s="28"/>
      <c r="AT365" s="304" t="str">
        <f t="shared" si="290"/>
        <v/>
      </c>
      <c r="AU365" s="304" t="str">
        <f t="shared" si="290"/>
        <v/>
      </c>
      <c r="AV365" s="28"/>
      <c r="AW365" s="304" t="str">
        <f t="shared" si="281"/>
        <v/>
      </c>
      <c r="AX365" s="304" t="str">
        <f t="shared" si="281"/>
        <v/>
      </c>
      <c r="AY365" s="28"/>
      <c r="AZ365" s="304" t="str">
        <f t="shared" si="282"/>
        <v/>
      </c>
      <c r="BA365" s="304" t="str">
        <f t="shared" si="282"/>
        <v/>
      </c>
      <c r="BB365" s="28"/>
      <c r="BC365" s="304" t="str">
        <f t="shared" si="283"/>
        <v/>
      </c>
      <c r="BD365" s="304" t="str">
        <f t="shared" si="283"/>
        <v/>
      </c>
      <c r="BE365" s="28"/>
      <c r="BF365" s="304">
        <f t="shared" si="284"/>
        <v>13.625000000000002</v>
      </c>
      <c r="BG365" s="304">
        <f t="shared" si="284"/>
        <v>13.625000000000002</v>
      </c>
      <c r="BH365" s="28"/>
      <c r="BI365" s="304" t="str">
        <f t="shared" si="285"/>
        <v/>
      </c>
      <c r="BJ365" s="304" t="str">
        <f t="shared" si="285"/>
        <v/>
      </c>
      <c r="BK365" s="28"/>
      <c r="BL365" s="304" t="str">
        <f t="shared" si="286"/>
        <v/>
      </c>
      <c r="BM365" s="304" t="str">
        <f t="shared" si="286"/>
        <v/>
      </c>
      <c r="BN365" s="28"/>
      <c r="BO365" s="304" t="str">
        <f t="shared" si="287"/>
        <v/>
      </c>
      <c r="BP365" s="304" t="str">
        <f t="shared" si="287"/>
        <v/>
      </c>
      <c r="BQ365" s="28"/>
      <c r="BR365" s="304" t="str">
        <f t="shared" si="288"/>
        <v/>
      </c>
      <c r="BS365" s="304" t="str">
        <f t="shared" si="288"/>
        <v/>
      </c>
      <c r="BT365" s="28"/>
      <c r="BU365" s="304" t="str">
        <f t="shared" si="289"/>
        <v/>
      </c>
      <c r="BV365" s="304" t="str">
        <f t="shared" si="289"/>
        <v/>
      </c>
      <c r="BW365" s="28"/>
      <c r="BX365" s="139"/>
    </row>
    <row r="366" spans="1:76" s="122" customFormat="1" ht="15.95" customHeight="1" x14ac:dyDescent="0.25">
      <c r="A366" s="195">
        <v>36</v>
      </c>
      <c r="B366" s="216" t="str">
        <f t="shared" si="264"/>
        <v>Middle East and Africa: FAO. 2017. Global Livestock Environmental Assessment Model (GLEAM)</v>
      </c>
      <c r="C366" s="221" t="s">
        <v>227</v>
      </c>
      <c r="D366" s="221" t="s">
        <v>240</v>
      </c>
      <c r="E366" s="221" t="s">
        <v>99</v>
      </c>
      <c r="F366" s="221" t="s">
        <v>241</v>
      </c>
      <c r="G366" s="340" t="s">
        <v>26</v>
      </c>
      <c r="H366" s="221">
        <v>2017</v>
      </c>
      <c r="I366" s="340"/>
      <c r="J366" s="338">
        <f>AVERAGE(0,2)</f>
        <v>1</v>
      </c>
      <c r="K366" s="339" t="s">
        <v>230</v>
      </c>
      <c r="L366" s="334">
        <f t="shared" si="294"/>
        <v>34.0625</v>
      </c>
      <c r="M366" s="335" t="str">
        <f t="shared" si="265"/>
        <v>US$2014/ kg of protein</v>
      </c>
      <c r="N366" s="227"/>
      <c r="O366" s="227" t="s">
        <v>247</v>
      </c>
      <c r="Q366" s="228"/>
      <c r="R366" s="231">
        <f t="shared" si="277"/>
        <v>34.0625</v>
      </c>
      <c r="S366" s="230">
        <f t="shared" si="266"/>
        <v>34.0625</v>
      </c>
      <c r="T366" s="231"/>
      <c r="U366" s="232" t="str">
        <f t="shared" si="267"/>
        <v>US$2014/ kg of protein</v>
      </c>
      <c r="V366" s="28"/>
      <c r="W366" s="28"/>
      <c r="Y366" s="139"/>
      <c r="AO366" s="139"/>
      <c r="AP366" s="28"/>
      <c r="AQ366" s="28"/>
      <c r="AR366" s="237"/>
      <c r="AS366" s="28"/>
      <c r="AT366" s="304" t="str">
        <f t="shared" si="290"/>
        <v/>
      </c>
      <c r="AU366" s="304" t="str">
        <f t="shared" si="290"/>
        <v/>
      </c>
      <c r="AV366" s="28"/>
      <c r="AW366" s="304" t="str">
        <f t="shared" si="281"/>
        <v/>
      </c>
      <c r="AX366" s="304" t="str">
        <f t="shared" si="281"/>
        <v/>
      </c>
      <c r="AY366" s="28"/>
      <c r="AZ366" s="304" t="str">
        <f t="shared" si="282"/>
        <v/>
      </c>
      <c r="BA366" s="304" t="str">
        <f t="shared" si="282"/>
        <v/>
      </c>
      <c r="BB366" s="28"/>
      <c r="BC366" s="304" t="str">
        <f t="shared" si="283"/>
        <v/>
      </c>
      <c r="BD366" s="304" t="str">
        <f t="shared" si="283"/>
        <v/>
      </c>
      <c r="BE366" s="28"/>
      <c r="BF366" s="304">
        <f t="shared" si="284"/>
        <v>34.0625</v>
      </c>
      <c r="BG366" s="304">
        <f t="shared" si="284"/>
        <v>34.0625</v>
      </c>
      <c r="BH366" s="28"/>
      <c r="BI366" s="304" t="str">
        <f t="shared" si="285"/>
        <v/>
      </c>
      <c r="BJ366" s="304" t="str">
        <f t="shared" si="285"/>
        <v/>
      </c>
      <c r="BK366" s="28"/>
      <c r="BL366" s="304" t="str">
        <f t="shared" si="286"/>
        <v/>
      </c>
      <c r="BM366" s="304" t="str">
        <f t="shared" si="286"/>
        <v/>
      </c>
      <c r="BN366" s="28"/>
      <c r="BO366" s="304" t="str">
        <f t="shared" si="287"/>
        <v/>
      </c>
      <c r="BP366" s="304" t="str">
        <f t="shared" si="287"/>
        <v/>
      </c>
      <c r="BQ366" s="28"/>
      <c r="BR366" s="304" t="str">
        <f t="shared" si="288"/>
        <v/>
      </c>
      <c r="BS366" s="304" t="str">
        <f t="shared" si="288"/>
        <v/>
      </c>
      <c r="BT366" s="28"/>
      <c r="BU366" s="304" t="str">
        <f t="shared" si="289"/>
        <v/>
      </c>
      <c r="BV366" s="304" t="str">
        <f t="shared" si="289"/>
        <v/>
      </c>
      <c r="BW366" s="28"/>
      <c r="BX366" s="139"/>
    </row>
    <row r="367" spans="1:76" s="122" customFormat="1" ht="15.95" customHeight="1" x14ac:dyDescent="0.25">
      <c r="A367" s="195">
        <v>37</v>
      </c>
      <c r="B367" s="216" t="str">
        <f t="shared" si="264"/>
        <v>Middle East and Africa: FAO. 2017. Global Livestock Environmental Assessment Model (GLEAM)</v>
      </c>
      <c r="C367" s="221" t="s">
        <v>227</v>
      </c>
      <c r="D367" s="221" t="s">
        <v>240</v>
      </c>
      <c r="E367" s="221" t="s">
        <v>99</v>
      </c>
      <c r="F367" s="221" t="s">
        <v>241</v>
      </c>
      <c r="G367" s="340" t="s">
        <v>26</v>
      </c>
      <c r="H367" s="221">
        <v>2017</v>
      </c>
      <c r="I367" s="340"/>
      <c r="J367" s="338">
        <f t="shared" ref="J367:J369" si="295">AVERAGE(0,2)</f>
        <v>1</v>
      </c>
      <c r="K367" s="339" t="s">
        <v>230</v>
      </c>
      <c r="L367" s="334">
        <f t="shared" si="294"/>
        <v>34.0625</v>
      </c>
      <c r="M367" s="335" t="str">
        <f t="shared" si="265"/>
        <v>US$2014/ kg of protein</v>
      </c>
      <c r="N367" s="227"/>
      <c r="O367" s="227" t="s">
        <v>248</v>
      </c>
      <c r="Q367" s="228"/>
      <c r="R367" s="231">
        <f t="shared" si="277"/>
        <v>34.0625</v>
      </c>
      <c r="S367" s="230">
        <f t="shared" si="266"/>
        <v>34.0625</v>
      </c>
      <c r="T367" s="231"/>
      <c r="U367" s="232" t="str">
        <f t="shared" si="267"/>
        <v>US$2014/ kg of protein</v>
      </c>
      <c r="V367" s="28"/>
      <c r="W367" s="28"/>
      <c r="Y367" s="139"/>
      <c r="AO367" s="139"/>
      <c r="AP367" s="28"/>
      <c r="AQ367" s="28"/>
      <c r="AR367" s="237"/>
      <c r="AS367" s="28"/>
      <c r="AT367" s="304" t="str">
        <f t="shared" si="290"/>
        <v/>
      </c>
      <c r="AU367" s="304" t="str">
        <f t="shared" si="290"/>
        <v/>
      </c>
      <c r="AV367" s="28"/>
      <c r="AW367" s="304" t="str">
        <f t="shared" si="281"/>
        <v/>
      </c>
      <c r="AX367" s="304" t="str">
        <f t="shared" si="281"/>
        <v/>
      </c>
      <c r="AY367" s="28"/>
      <c r="AZ367" s="304" t="str">
        <f t="shared" si="282"/>
        <v/>
      </c>
      <c r="BA367" s="304" t="str">
        <f t="shared" si="282"/>
        <v/>
      </c>
      <c r="BB367" s="28"/>
      <c r="BC367" s="304" t="str">
        <f t="shared" si="283"/>
        <v/>
      </c>
      <c r="BD367" s="304" t="str">
        <f t="shared" si="283"/>
        <v/>
      </c>
      <c r="BE367" s="28"/>
      <c r="BF367" s="304">
        <f t="shared" si="284"/>
        <v>34.0625</v>
      </c>
      <c r="BG367" s="304">
        <f t="shared" si="284"/>
        <v>34.0625</v>
      </c>
      <c r="BH367" s="28"/>
      <c r="BI367" s="304" t="str">
        <f t="shared" si="285"/>
        <v/>
      </c>
      <c r="BJ367" s="304" t="str">
        <f t="shared" si="285"/>
        <v/>
      </c>
      <c r="BK367" s="28"/>
      <c r="BL367" s="304" t="str">
        <f t="shared" si="286"/>
        <v/>
      </c>
      <c r="BM367" s="304" t="str">
        <f t="shared" si="286"/>
        <v/>
      </c>
      <c r="BN367" s="28"/>
      <c r="BO367" s="304" t="str">
        <f t="shared" si="287"/>
        <v/>
      </c>
      <c r="BP367" s="304" t="str">
        <f t="shared" si="287"/>
        <v/>
      </c>
      <c r="BQ367" s="28"/>
      <c r="BR367" s="304" t="str">
        <f t="shared" si="288"/>
        <v/>
      </c>
      <c r="BS367" s="304" t="str">
        <f t="shared" si="288"/>
        <v/>
      </c>
      <c r="BT367" s="28"/>
      <c r="BU367" s="304" t="str">
        <f t="shared" si="289"/>
        <v/>
      </c>
      <c r="BV367" s="304" t="str">
        <f t="shared" si="289"/>
        <v/>
      </c>
      <c r="BW367" s="28"/>
      <c r="BX367" s="139"/>
    </row>
    <row r="368" spans="1:76" s="122" customFormat="1" ht="15.95" customHeight="1" x14ac:dyDescent="0.25">
      <c r="A368" s="195">
        <v>38</v>
      </c>
      <c r="B368" s="216" t="str">
        <f t="shared" si="264"/>
        <v>Middle East and Africa: FAO. 2017. Global Livestock Environmental Assessment Model (GLEAM)</v>
      </c>
      <c r="C368" s="221" t="s">
        <v>227</v>
      </c>
      <c r="D368" s="221" t="s">
        <v>240</v>
      </c>
      <c r="E368" s="221" t="s">
        <v>99</v>
      </c>
      <c r="F368" s="221" t="s">
        <v>241</v>
      </c>
      <c r="G368" s="340" t="s">
        <v>26</v>
      </c>
      <c r="H368" s="221">
        <v>2017</v>
      </c>
      <c r="I368" s="340"/>
      <c r="J368" s="338">
        <f t="shared" si="295"/>
        <v>1</v>
      </c>
      <c r="K368" s="339" t="s">
        <v>230</v>
      </c>
      <c r="L368" s="334">
        <f t="shared" si="294"/>
        <v>34.0625</v>
      </c>
      <c r="M368" s="335" t="str">
        <f t="shared" si="265"/>
        <v>US$2014/ kg of protein</v>
      </c>
      <c r="N368" s="227"/>
      <c r="O368" s="227" t="s">
        <v>249</v>
      </c>
      <c r="Q368" s="228"/>
      <c r="R368" s="231">
        <f t="shared" si="277"/>
        <v>34.0625</v>
      </c>
      <c r="S368" s="230">
        <f t="shared" si="266"/>
        <v>34.0625</v>
      </c>
      <c r="T368" s="231"/>
      <c r="U368" s="232" t="str">
        <f t="shared" si="267"/>
        <v>US$2014/ kg of protein</v>
      </c>
      <c r="V368" s="28"/>
      <c r="W368" s="28"/>
      <c r="Y368" s="139"/>
      <c r="AO368" s="139"/>
      <c r="AP368" s="28"/>
      <c r="AQ368" s="28"/>
      <c r="AR368" s="237"/>
      <c r="AS368" s="28"/>
      <c r="AT368" s="304" t="str">
        <f t="shared" si="290"/>
        <v/>
      </c>
      <c r="AU368" s="304" t="str">
        <f t="shared" si="290"/>
        <v/>
      </c>
      <c r="AV368" s="28"/>
      <c r="AW368" s="304" t="str">
        <f t="shared" si="281"/>
        <v/>
      </c>
      <c r="AX368" s="304" t="str">
        <f t="shared" si="281"/>
        <v/>
      </c>
      <c r="AY368" s="28"/>
      <c r="AZ368" s="304" t="str">
        <f t="shared" si="282"/>
        <v/>
      </c>
      <c r="BA368" s="304" t="str">
        <f t="shared" si="282"/>
        <v/>
      </c>
      <c r="BB368" s="28"/>
      <c r="BC368" s="304" t="str">
        <f t="shared" si="283"/>
        <v/>
      </c>
      <c r="BD368" s="304" t="str">
        <f t="shared" si="283"/>
        <v/>
      </c>
      <c r="BE368" s="28"/>
      <c r="BF368" s="304">
        <f t="shared" si="284"/>
        <v>34.0625</v>
      </c>
      <c r="BG368" s="304">
        <f t="shared" si="284"/>
        <v>34.0625</v>
      </c>
      <c r="BH368" s="28"/>
      <c r="BI368" s="304" t="str">
        <f t="shared" si="285"/>
        <v/>
      </c>
      <c r="BJ368" s="304" t="str">
        <f t="shared" si="285"/>
        <v/>
      </c>
      <c r="BK368" s="28"/>
      <c r="BL368" s="304" t="str">
        <f t="shared" si="286"/>
        <v/>
      </c>
      <c r="BM368" s="304" t="str">
        <f t="shared" si="286"/>
        <v/>
      </c>
      <c r="BN368" s="28"/>
      <c r="BO368" s="304" t="str">
        <f t="shared" si="287"/>
        <v/>
      </c>
      <c r="BP368" s="304" t="str">
        <f t="shared" si="287"/>
        <v/>
      </c>
      <c r="BQ368" s="28"/>
      <c r="BR368" s="304" t="str">
        <f t="shared" si="288"/>
        <v/>
      </c>
      <c r="BS368" s="304" t="str">
        <f t="shared" si="288"/>
        <v/>
      </c>
      <c r="BT368" s="28"/>
      <c r="BU368" s="304" t="str">
        <f t="shared" si="289"/>
        <v/>
      </c>
      <c r="BV368" s="304" t="str">
        <f t="shared" si="289"/>
        <v/>
      </c>
      <c r="BW368" s="28"/>
      <c r="BX368" s="139"/>
    </row>
    <row r="369" spans="1:76" s="122" customFormat="1" ht="15.95" customHeight="1" x14ac:dyDescent="0.25">
      <c r="A369" s="195">
        <v>39</v>
      </c>
      <c r="B369" s="216" t="str">
        <f t="shared" si="264"/>
        <v>Middle East and Africa: FAO. 2017. Global Livestock Environmental Assessment Model (GLEAM)</v>
      </c>
      <c r="C369" s="221" t="s">
        <v>227</v>
      </c>
      <c r="D369" s="221" t="s">
        <v>240</v>
      </c>
      <c r="E369" s="221" t="s">
        <v>99</v>
      </c>
      <c r="F369" s="221" t="s">
        <v>241</v>
      </c>
      <c r="G369" s="340" t="s">
        <v>26</v>
      </c>
      <c r="H369" s="221">
        <v>2017</v>
      </c>
      <c r="I369" s="340"/>
      <c r="J369" s="338">
        <f t="shared" si="295"/>
        <v>1</v>
      </c>
      <c r="K369" s="339" t="s">
        <v>230</v>
      </c>
      <c r="L369" s="334">
        <f t="shared" si="294"/>
        <v>34.0625</v>
      </c>
      <c r="M369" s="335" t="str">
        <f t="shared" si="265"/>
        <v>US$2014/ kg of protein</v>
      </c>
      <c r="N369" s="227"/>
      <c r="O369" s="227" t="s">
        <v>250</v>
      </c>
      <c r="Q369" s="228"/>
      <c r="R369" s="231">
        <f t="shared" si="277"/>
        <v>34.0625</v>
      </c>
      <c r="S369" s="230">
        <f t="shared" si="266"/>
        <v>34.0625</v>
      </c>
      <c r="T369" s="231"/>
      <c r="U369" s="232" t="str">
        <f t="shared" si="267"/>
        <v>US$2014/ kg of protein</v>
      </c>
      <c r="V369" s="28"/>
      <c r="W369" s="28"/>
      <c r="Y369" s="139"/>
      <c r="AO369" s="139"/>
      <c r="AP369" s="28"/>
      <c r="AQ369" s="28"/>
      <c r="AR369" s="237"/>
      <c r="AS369" s="28"/>
      <c r="AT369" s="304" t="str">
        <f t="shared" si="290"/>
        <v/>
      </c>
      <c r="AU369" s="304" t="str">
        <f t="shared" si="290"/>
        <v/>
      </c>
      <c r="AV369" s="28"/>
      <c r="AW369" s="304" t="str">
        <f t="shared" si="281"/>
        <v/>
      </c>
      <c r="AX369" s="304" t="str">
        <f t="shared" si="281"/>
        <v/>
      </c>
      <c r="AY369" s="28"/>
      <c r="AZ369" s="304" t="str">
        <f t="shared" si="282"/>
        <v/>
      </c>
      <c r="BA369" s="304" t="str">
        <f t="shared" si="282"/>
        <v/>
      </c>
      <c r="BB369" s="28"/>
      <c r="BC369" s="304" t="str">
        <f t="shared" si="283"/>
        <v/>
      </c>
      <c r="BD369" s="304" t="str">
        <f t="shared" si="283"/>
        <v/>
      </c>
      <c r="BE369" s="28"/>
      <c r="BF369" s="304">
        <f t="shared" si="284"/>
        <v>34.0625</v>
      </c>
      <c r="BG369" s="304">
        <f t="shared" si="284"/>
        <v>34.0625</v>
      </c>
      <c r="BH369" s="28"/>
      <c r="BI369" s="304" t="str">
        <f t="shared" si="285"/>
        <v/>
      </c>
      <c r="BJ369" s="304" t="str">
        <f t="shared" si="285"/>
        <v/>
      </c>
      <c r="BK369" s="28"/>
      <c r="BL369" s="304" t="str">
        <f t="shared" si="286"/>
        <v/>
      </c>
      <c r="BM369" s="304" t="str">
        <f t="shared" si="286"/>
        <v/>
      </c>
      <c r="BN369" s="28"/>
      <c r="BO369" s="304" t="str">
        <f t="shared" si="287"/>
        <v/>
      </c>
      <c r="BP369" s="304" t="str">
        <f t="shared" si="287"/>
        <v/>
      </c>
      <c r="BQ369" s="28"/>
      <c r="BR369" s="304" t="str">
        <f t="shared" si="288"/>
        <v/>
      </c>
      <c r="BS369" s="304" t="str">
        <f t="shared" si="288"/>
        <v/>
      </c>
      <c r="BT369" s="28"/>
      <c r="BU369" s="304" t="str">
        <f t="shared" si="289"/>
        <v/>
      </c>
      <c r="BV369" s="304" t="str">
        <f t="shared" si="289"/>
        <v/>
      </c>
      <c r="BW369" s="28"/>
      <c r="BX369" s="139"/>
    </row>
    <row r="370" spans="1:76" s="122" customFormat="1" ht="15.95" customHeight="1" x14ac:dyDescent="0.25">
      <c r="A370" s="195">
        <v>40</v>
      </c>
      <c r="B370" s="216" t="str">
        <f t="shared" si="264"/>
        <v>Middle East and Africa: FAO. 2017. Global Livestock Environmental Assessment Model (GLEAM)</v>
      </c>
      <c r="C370" s="221" t="s">
        <v>227</v>
      </c>
      <c r="D370" s="221" t="s">
        <v>240</v>
      </c>
      <c r="E370" s="221" t="s">
        <v>99</v>
      </c>
      <c r="F370" s="221" t="s">
        <v>241</v>
      </c>
      <c r="G370" s="340" t="s">
        <v>26</v>
      </c>
      <c r="H370" s="221">
        <v>2017</v>
      </c>
      <c r="I370" s="340"/>
      <c r="J370" s="338">
        <f>AVERAGE(2,3)</f>
        <v>2.5</v>
      </c>
      <c r="K370" s="339" t="s">
        <v>230</v>
      </c>
      <c r="L370" s="334">
        <f t="shared" si="294"/>
        <v>13.625000000000002</v>
      </c>
      <c r="M370" s="335" t="str">
        <f t="shared" si="265"/>
        <v>US$2014/ kg of protein</v>
      </c>
      <c r="N370" s="227"/>
      <c r="O370" s="227" t="s">
        <v>251</v>
      </c>
      <c r="Q370" s="228"/>
      <c r="R370" s="231">
        <f t="shared" si="277"/>
        <v>13.625000000000002</v>
      </c>
      <c r="S370" s="230">
        <f t="shared" si="266"/>
        <v>13.625000000000002</v>
      </c>
      <c r="T370" s="231"/>
      <c r="U370" s="232" t="str">
        <f t="shared" si="267"/>
        <v>US$2014/ kg of protein</v>
      </c>
      <c r="V370" s="28"/>
      <c r="W370" s="28"/>
      <c r="Y370" s="139"/>
      <c r="AO370" s="139"/>
      <c r="AP370" s="28"/>
      <c r="AQ370" s="28"/>
      <c r="AR370" s="237"/>
      <c r="AS370" s="28"/>
      <c r="AT370" s="304" t="str">
        <f t="shared" si="290"/>
        <v/>
      </c>
      <c r="AU370" s="304" t="str">
        <f t="shared" si="290"/>
        <v/>
      </c>
      <c r="AV370" s="28"/>
      <c r="AW370" s="304" t="str">
        <f t="shared" si="281"/>
        <v/>
      </c>
      <c r="AX370" s="304" t="str">
        <f t="shared" si="281"/>
        <v/>
      </c>
      <c r="AY370" s="28"/>
      <c r="AZ370" s="304" t="str">
        <f t="shared" si="282"/>
        <v/>
      </c>
      <c r="BA370" s="304" t="str">
        <f t="shared" si="282"/>
        <v/>
      </c>
      <c r="BB370" s="28"/>
      <c r="BC370" s="304" t="str">
        <f t="shared" si="283"/>
        <v/>
      </c>
      <c r="BD370" s="304" t="str">
        <f t="shared" si="283"/>
        <v/>
      </c>
      <c r="BE370" s="28"/>
      <c r="BF370" s="304">
        <f t="shared" si="284"/>
        <v>13.625000000000002</v>
      </c>
      <c r="BG370" s="304">
        <f t="shared" si="284"/>
        <v>13.625000000000002</v>
      </c>
      <c r="BH370" s="28"/>
      <c r="BI370" s="304" t="str">
        <f t="shared" si="285"/>
        <v/>
      </c>
      <c r="BJ370" s="304" t="str">
        <f t="shared" si="285"/>
        <v/>
      </c>
      <c r="BK370" s="28"/>
      <c r="BL370" s="304" t="str">
        <f t="shared" si="286"/>
        <v/>
      </c>
      <c r="BM370" s="304" t="str">
        <f t="shared" si="286"/>
        <v/>
      </c>
      <c r="BN370" s="28"/>
      <c r="BO370" s="304" t="str">
        <f t="shared" si="287"/>
        <v/>
      </c>
      <c r="BP370" s="304" t="str">
        <f t="shared" si="287"/>
        <v/>
      </c>
      <c r="BQ370" s="28"/>
      <c r="BR370" s="304" t="str">
        <f t="shared" si="288"/>
        <v/>
      </c>
      <c r="BS370" s="304" t="str">
        <f t="shared" si="288"/>
        <v/>
      </c>
      <c r="BT370" s="28"/>
      <c r="BU370" s="304" t="str">
        <f t="shared" si="289"/>
        <v/>
      </c>
      <c r="BV370" s="304" t="str">
        <f t="shared" si="289"/>
        <v/>
      </c>
      <c r="BW370" s="28"/>
      <c r="BX370" s="139"/>
    </row>
    <row r="371" spans="1:76" s="122" customFormat="1" ht="15.95" customHeight="1" x14ac:dyDescent="0.25">
      <c r="A371" s="195">
        <v>41</v>
      </c>
      <c r="B371" s="216" t="str">
        <f t="shared" si="264"/>
        <v>Middle East and Africa: FAO. 2017. Global Livestock Environmental Assessment Model (GLEAM)</v>
      </c>
      <c r="C371" s="221" t="s">
        <v>227</v>
      </c>
      <c r="D371" s="221" t="s">
        <v>240</v>
      </c>
      <c r="E371" s="221" t="s">
        <v>99</v>
      </c>
      <c r="F371" s="221" t="s">
        <v>241</v>
      </c>
      <c r="G371" s="340" t="s">
        <v>26</v>
      </c>
      <c r="H371" s="221">
        <v>2017</v>
      </c>
      <c r="I371" s="340"/>
      <c r="J371" s="338">
        <f t="shared" ref="J371:J372" si="296">AVERAGE(2,3)</f>
        <v>2.5</v>
      </c>
      <c r="K371" s="339" t="s">
        <v>230</v>
      </c>
      <c r="L371" s="334">
        <f t="shared" si="294"/>
        <v>13.625000000000002</v>
      </c>
      <c r="M371" s="335" t="str">
        <f t="shared" si="265"/>
        <v>US$2014/ kg of protein</v>
      </c>
      <c r="N371" s="227"/>
      <c r="O371" s="227" t="s">
        <v>248</v>
      </c>
      <c r="Q371" s="228"/>
      <c r="R371" s="231">
        <f t="shared" si="277"/>
        <v>13.625000000000002</v>
      </c>
      <c r="S371" s="230">
        <f t="shared" si="266"/>
        <v>13.625000000000002</v>
      </c>
      <c r="T371" s="231"/>
      <c r="U371" s="232" t="str">
        <f t="shared" si="267"/>
        <v>US$2014/ kg of protein</v>
      </c>
      <c r="V371" s="28"/>
      <c r="W371" s="28"/>
      <c r="Y371" s="139"/>
      <c r="AO371" s="139"/>
      <c r="AP371" s="28"/>
      <c r="AQ371" s="28"/>
      <c r="AR371" s="237"/>
      <c r="AS371" s="28"/>
      <c r="AT371" s="304" t="str">
        <f t="shared" si="290"/>
        <v/>
      </c>
      <c r="AU371" s="304" t="str">
        <f t="shared" si="290"/>
        <v/>
      </c>
      <c r="AV371" s="28"/>
      <c r="AW371" s="304" t="str">
        <f t="shared" si="281"/>
        <v/>
      </c>
      <c r="AX371" s="304" t="str">
        <f t="shared" si="281"/>
        <v/>
      </c>
      <c r="AY371" s="28"/>
      <c r="AZ371" s="304" t="str">
        <f t="shared" si="282"/>
        <v/>
      </c>
      <c r="BA371" s="304" t="str">
        <f t="shared" si="282"/>
        <v/>
      </c>
      <c r="BB371" s="28"/>
      <c r="BC371" s="304" t="str">
        <f t="shared" si="283"/>
        <v/>
      </c>
      <c r="BD371" s="304" t="str">
        <f t="shared" si="283"/>
        <v/>
      </c>
      <c r="BE371" s="28"/>
      <c r="BF371" s="304">
        <f t="shared" si="284"/>
        <v>13.625000000000002</v>
      </c>
      <c r="BG371" s="304">
        <f t="shared" si="284"/>
        <v>13.625000000000002</v>
      </c>
      <c r="BH371" s="28"/>
      <c r="BI371" s="304" t="str">
        <f t="shared" si="285"/>
        <v/>
      </c>
      <c r="BJ371" s="304" t="str">
        <f t="shared" si="285"/>
        <v/>
      </c>
      <c r="BK371" s="28"/>
      <c r="BL371" s="304" t="str">
        <f t="shared" si="286"/>
        <v/>
      </c>
      <c r="BM371" s="304" t="str">
        <f t="shared" si="286"/>
        <v/>
      </c>
      <c r="BN371" s="28"/>
      <c r="BO371" s="304" t="str">
        <f t="shared" si="287"/>
        <v/>
      </c>
      <c r="BP371" s="304" t="str">
        <f t="shared" si="287"/>
        <v/>
      </c>
      <c r="BQ371" s="28"/>
      <c r="BR371" s="304" t="str">
        <f t="shared" si="288"/>
        <v/>
      </c>
      <c r="BS371" s="304" t="str">
        <f t="shared" si="288"/>
        <v/>
      </c>
      <c r="BT371" s="28"/>
      <c r="BU371" s="304" t="str">
        <f t="shared" si="289"/>
        <v/>
      </c>
      <c r="BV371" s="304" t="str">
        <f t="shared" si="289"/>
        <v/>
      </c>
      <c r="BW371" s="28"/>
      <c r="BX371" s="139"/>
    </row>
    <row r="372" spans="1:76" s="122" customFormat="1" ht="15.95" customHeight="1" x14ac:dyDescent="0.25">
      <c r="A372" s="195">
        <v>42</v>
      </c>
      <c r="B372" s="216" t="str">
        <f t="shared" si="264"/>
        <v>Middle East and Africa: FAO. 2017. Global Livestock Environmental Assessment Model (GLEAM)</v>
      </c>
      <c r="C372" s="221" t="s">
        <v>227</v>
      </c>
      <c r="D372" s="221" t="s">
        <v>240</v>
      </c>
      <c r="E372" s="221" t="s">
        <v>99</v>
      </c>
      <c r="F372" s="221" t="s">
        <v>241</v>
      </c>
      <c r="G372" s="340" t="s">
        <v>26</v>
      </c>
      <c r="H372" s="221">
        <v>2017</v>
      </c>
      <c r="I372" s="340"/>
      <c r="J372" s="338">
        <f t="shared" si="296"/>
        <v>2.5</v>
      </c>
      <c r="K372" s="339" t="s">
        <v>230</v>
      </c>
      <c r="L372" s="334">
        <f t="shared" si="294"/>
        <v>13.625000000000002</v>
      </c>
      <c r="M372" s="335" t="str">
        <f t="shared" si="265"/>
        <v>US$2014/ kg of protein</v>
      </c>
      <c r="N372" s="227"/>
      <c r="O372" s="227" t="s">
        <v>249</v>
      </c>
      <c r="Q372" s="228"/>
      <c r="R372" s="231">
        <f t="shared" si="277"/>
        <v>13.625000000000002</v>
      </c>
      <c r="S372" s="230">
        <f t="shared" si="266"/>
        <v>13.625000000000002</v>
      </c>
      <c r="T372" s="231"/>
      <c r="U372" s="232" t="str">
        <f t="shared" si="267"/>
        <v>US$2014/ kg of protein</v>
      </c>
      <c r="V372" s="28"/>
      <c r="W372" s="28"/>
      <c r="Y372" s="139"/>
      <c r="AO372" s="139"/>
      <c r="AP372" s="28"/>
      <c r="AQ372" s="28"/>
      <c r="AR372" s="237"/>
      <c r="AS372" s="28"/>
      <c r="AT372" s="304" t="str">
        <f t="shared" si="290"/>
        <v/>
      </c>
      <c r="AU372" s="304" t="str">
        <f t="shared" si="290"/>
        <v/>
      </c>
      <c r="AV372" s="28"/>
      <c r="AW372" s="304" t="str">
        <f t="shared" si="281"/>
        <v/>
      </c>
      <c r="AX372" s="304" t="str">
        <f t="shared" si="281"/>
        <v/>
      </c>
      <c r="AY372" s="28"/>
      <c r="AZ372" s="304" t="str">
        <f t="shared" si="282"/>
        <v/>
      </c>
      <c r="BA372" s="304" t="str">
        <f t="shared" si="282"/>
        <v/>
      </c>
      <c r="BB372" s="28"/>
      <c r="BC372" s="304" t="str">
        <f t="shared" si="283"/>
        <v/>
      </c>
      <c r="BD372" s="304" t="str">
        <f t="shared" si="283"/>
        <v/>
      </c>
      <c r="BE372" s="28"/>
      <c r="BF372" s="304">
        <f t="shared" si="284"/>
        <v>13.625000000000002</v>
      </c>
      <c r="BG372" s="304">
        <f t="shared" si="284"/>
        <v>13.625000000000002</v>
      </c>
      <c r="BH372" s="28"/>
      <c r="BI372" s="304" t="str">
        <f t="shared" si="285"/>
        <v/>
      </c>
      <c r="BJ372" s="304" t="str">
        <f t="shared" si="285"/>
        <v/>
      </c>
      <c r="BK372" s="28"/>
      <c r="BL372" s="304" t="str">
        <f t="shared" si="286"/>
        <v/>
      </c>
      <c r="BM372" s="304" t="str">
        <f t="shared" si="286"/>
        <v/>
      </c>
      <c r="BN372" s="28"/>
      <c r="BO372" s="304" t="str">
        <f t="shared" si="287"/>
        <v/>
      </c>
      <c r="BP372" s="304" t="str">
        <f t="shared" si="287"/>
        <v/>
      </c>
      <c r="BQ372" s="28"/>
      <c r="BR372" s="304" t="str">
        <f t="shared" si="288"/>
        <v/>
      </c>
      <c r="BS372" s="304" t="str">
        <f t="shared" si="288"/>
        <v/>
      </c>
      <c r="BT372" s="28"/>
      <c r="BU372" s="304" t="str">
        <f t="shared" si="289"/>
        <v/>
      </c>
      <c r="BV372" s="304" t="str">
        <f t="shared" si="289"/>
        <v/>
      </c>
      <c r="BW372" s="28"/>
      <c r="BX372" s="139"/>
    </row>
    <row r="373" spans="1:76" s="122" customFormat="1" ht="15.95" customHeight="1" x14ac:dyDescent="0.25">
      <c r="A373" s="195">
        <v>43</v>
      </c>
      <c r="B373" s="216" t="str">
        <f t="shared" si="264"/>
        <v>Middle East and Africa: FAO. 2017. Global Livestock Environmental Assessment Model (GLEAM)</v>
      </c>
      <c r="C373" s="221" t="s">
        <v>227</v>
      </c>
      <c r="D373" s="221" t="s">
        <v>240</v>
      </c>
      <c r="E373" s="221" t="s">
        <v>99</v>
      </c>
      <c r="F373" s="221" t="s">
        <v>241</v>
      </c>
      <c r="G373" s="340" t="s">
        <v>26</v>
      </c>
      <c r="H373" s="221">
        <v>2017</v>
      </c>
      <c r="I373" s="340"/>
      <c r="J373" s="338">
        <f t="shared" ref="J373" si="297">AVERAGE(0,2)</f>
        <v>1</v>
      </c>
      <c r="K373" s="339" t="s">
        <v>230</v>
      </c>
      <c r="L373" s="334">
        <f t="shared" si="294"/>
        <v>34.0625</v>
      </c>
      <c r="M373" s="335" t="str">
        <f t="shared" si="265"/>
        <v>US$2014/ kg of protein</v>
      </c>
      <c r="N373" s="227"/>
      <c r="O373" s="227" t="s">
        <v>250</v>
      </c>
      <c r="Q373" s="228"/>
      <c r="R373" s="231">
        <f t="shared" si="277"/>
        <v>34.0625</v>
      </c>
      <c r="S373" s="230">
        <f t="shared" si="266"/>
        <v>34.0625</v>
      </c>
      <c r="T373" s="231"/>
      <c r="U373" s="232" t="str">
        <f t="shared" si="267"/>
        <v>US$2014/ kg of protein</v>
      </c>
      <c r="V373" s="28"/>
      <c r="W373" s="28"/>
      <c r="Y373" s="139"/>
      <c r="AO373" s="139"/>
      <c r="AP373" s="28"/>
      <c r="AQ373" s="28"/>
      <c r="AR373" s="237"/>
      <c r="AS373" s="28"/>
      <c r="AT373" s="304" t="str">
        <f t="shared" si="290"/>
        <v/>
      </c>
      <c r="AU373" s="304" t="str">
        <f t="shared" si="290"/>
        <v/>
      </c>
      <c r="AV373" s="28"/>
      <c r="AW373" s="304" t="str">
        <f t="shared" si="281"/>
        <v/>
      </c>
      <c r="AX373" s="304" t="str">
        <f t="shared" si="281"/>
        <v/>
      </c>
      <c r="AY373" s="28"/>
      <c r="AZ373" s="304" t="str">
        <f t="shared" si="282"/>
        <v/>
      </c>
      <c r="BA373" s="304" t="str">
        <f t="shared" si="282"/>
        <v/>
      </c>
      <c r="BB373" s="28"/>
      <c r="BC373" s="304" t="str">
        <f t="shared" si="283"/>
        <v/>
      </c>
      <c r="BD373" s="304" t="str">
        <f t="shared" si="283"/>
        <v/>
      </c>
      <c r="BE373" s="28"/>
      <c r="BF373" s="304">
        <f t="shared" si="284"/>
        <v>34.0625</v>
      </c>
      <c r="BG373" s="304">
        <f t="shared" si="284"/>
        <v>34.0625</v>
      </c>
      <c r="BH373" s="28"/>
      <c r="BI373" s="304" t="str">
        <f t="shared" si="285"/>
        <v/>
      </c>
      <c r="BJ373" s="304" t="str">
        <f t="shared" si="285"/>
        <v/>
      </c>
      <c r="BK373" s="28"/>
      <c r="BL373" s="304" t="str">
        <f t="shared" si="286"/>
        <v/>
      </c>
      <c r="BM373" s="304" t="str">
        <f t="shared" si="286"/>
        <v/>
      </c>
      <c r="BN373" s="28"/>
      <c r="BO373" s="304" t="str">
        <f t="shared" si="287"/>
        <v/>
      </c>
      <c r="BP373" s="304" t="str">
        <f t="shared" si="287"/>
        <v/>
      </c>
      <c r="BQ373" s="28"/>
      <c r="BR373" s="304" t="str">
        <f t="shared" si="288"/>
        <v/>
      </c>
      <c r="BS373" s="304" t="str">
        <f t="shared" si="288"/>
        <v/>
      </c>
      <c r="BT373" s="28"/>
      <c r="BU373" s="304" t="str">
        <f t="shared" si="289"/>
        <v/>
      </c>
      <c r="BV373" s="304" t="str">
        <f t="shared" si="289"/>
        <v/>
      </c>
      <c r="BW373" s="28"/>
      <c r="BX373" s="139"/>
    </row>
    <row r="374" spans="1:76" s="122" customFormat="1" ht="15.95" customHeight="1" x14ac:dyDescent="0.25">
      <c r="A374" s="195">
        <v>44</v>
      </c>
      <c r="B374" s="216" t="str">
        <f t="shared" si="264"/>
        <v>Middle East and Africa: FAO. 2017. Global Livestock Environmental Assessment Model (GLEAM)</v>
      </c>
      <c r="C374" s="221" t="s">
        <v>227</v>
      </c>
      <c r="D374" s="221" t="s">
        <v>252</v>
      </c>
      <c r="E374" s="221" t="s">
        <v>99</v>
      </c>
      <c r="F374" s="221" t="s">
        <v>253</v>
      </c>
      <c r="G374" s="340" t="s">
        <v>26</v>
      </c>
      <c r="H374" s="221">
        <v>2017</v>
      </c>
      <c r="I374" s="340"/>
      <c r="J374" s="338">
        <v>3</v>
      </c>
      <c r="K374" s="339" t="s">
        <v>230</v>
      </c>
      <c r="L374" s="334">
        <f t="shared" si="294"/>
        <v>11.354166666666666</v>
      </c>
      <c r="M374" s="335" t="str">
        <f t="shared" si="265"/>
        <v>US$2014/ kg of protein</v>
      </c>
      <c r="N374" s="227"/>
      <c r="O374" s="227" t="s">
        <v>254</v>
      </c>
      <c r="Q374" s="228"/>
      <c r="R374" s="231">
        <f t="shared" si="277"/>
        <v>11.354166666666666</v>
      </c>
      <c r="S374" s="230">
        <f t="shared" si="266"/>
        <v>11.354166666666666</v>
      </c>
      <c r="T374" s="231"/>
      <c r="U374" s="232" t="str">
        <f t="shared" si="267"/>
        <v>US$2014/ kg of protein</v>
      </c>
      <c r="V374" s="28"/>
      <c r="W374" s="28"/>
      <c r="Y374" s="139"/>
      <c r="AO374" s="139"/>
      <c r="AP374" s="28"/>
      <c r="AQ374" s="28"/>
      <c r="AR374" s="237"/>
      <c r="AS374" s="28"/>
      <c r="AT374" s="304" t="str">
        <f t="shared" si="290"/>
        <v/>
      </c>
      <c r="AU374" s="304" t="str">
        <f t="shared" si="290"/>
        <v/>
      </c>
      <c r="AV374" s="28"/>
      <c r="AW374" s="304" t="str">
        <f t="shared" si="281"/>
        <v/>
      </c>
      <c r="AX374" s="304" t="str">
        <f t="shared" si="281"/>
        <v/>
      </c>
      <c r="AY374" s="28"/>
      <c r="AZ374" s="304" t="str">
        <f t="shared" si="282"/>
        <v/>
      </c>
      <c r="BA374" s="304" t="str">
        <f t="shared" si="282"/>
        <v/>
      </c>
      <c r="BB374" s="28"/>
      <c r="BC374" s="304" t="str">
        <f t="shared" si="283"/>
        <v/>
      </c>
      <c r="BD374" s="304" t="str">
        <f t="shared" si="283"/>
        <v/>
      </c>
      <c r="BE374" s="28"/>
      <c r="BF374" s="304">
        <f t="shared" si="284"/>
        <v>11.354166666666666</v>
      </c>
      <c r="BG374" s="304">
        <f t="shared" si="284"/>
        <v>11.354166666666666</v>
      </c>
      <c r="BH374" s="28"/>
      <c r="BI374" s="304" t="str">
        <f t="shared" si="285"/>
        <v/>
      </c>
      <c r="BJ374" s="304" t="str">
        <f t="shared" si="285"/>
        <v/>
      </c>
      <c r="BK374" s="28"/>
      <c r="BL374" s="304" t="str">
        <f t="shared" si="286"/>
        <v/>
      </c>
      <c r="BM374" s="304" t="str">
        <f t="shared" si="286"/>
        <v/>
      </c>
      <c r="BN374" s="28"/>
      <c r="BO374" s="304" t="str">
        <f t="shared" si="287"/>
        <v/>
      </c>
      <c r="BP374" s="304" t="str">
        <f t="shared" si="287"/>
        <v/>
      </c>
      <c r="BQ374" s="28"/>
      <c r="BR374" s="304" t="str">
        <f t="shared" si="288"/>
        <v/>
      </c>
      <c r="BS374" s="304" t="str">
        <f t="shared" si="288"/>
        <v/>
      </c>
      <c r="BT374" s="28"/>
      <c r="BU374" s="304" t="str">
        <f t="shared" si="289"/>
        <v/>
      </c>
      <c r="BV374" s="304" t="str">
        <f t="shared" si="289"/>
        <v/>
      </c>
      <c r="BW374" s="28"/>
      <c r="BX374" s="139"/>
    </row>
    <row r="375" spans="1:76" s="122" customFormat="1" ht="15.95" customHeight="1" x14ac:dyDescent="0.25">
      <c r="A375" s="195">
        <v>45</v>
      </c>
      <c r="B375" s="216" t="str">
        <f t="shared" si="264"/>
        <v>Middle East and Africa: FAO. 2017. Global Livestock Environmental Assessment Model (GLEAM)</v>
      </c>
      <c r="C375" s="221" t="s">
        <v>227</v>
      </c>
      <c r="D375" s="221" t="s">
        <v>252</v>
      </c>
      <c r="E375" s="221" t="s">
        <v>99</v>
      </c>
      <c r="F375" s="221" t="s">
        <v>253</v>
      </c>
      <c r="G375" s="340" t="s">
        <v>26</v>
      </c>
      <c r="H375" s="221">
        <v>2017</v>
      </c>
      <c r="I375" s="340"/>
      <c r="J375" s="338">
        <v>3</v>
      </c>
      <c r="K375" s="339" t="s">
        <v>230</v>
      </c>
      <c r="L375" s="334">
        <f t="shared" si="294"/>
        <v>11.354166666666666</v>
      </c>
      <c r="M375" s="335" t="str">
        <f t="shared" si="265"/>
        <v>US$2014/ kg of protein</v>
      </c>
      <c r="N375" s="227"/>
      <c r="O375" s="227" t="s">
        <v>255</v>
      </c>
      <c r="Q375" s="228"/>
      <c r="R375" s="231">
        <f t="shared" si="277"/>
        <v>11.354166666666666</v>
      </c>
      <c r="S375" s="230">
        <f t="shared" si="266"/>
        <v>11.354166666666666</v>
      </c>
      <c r="T375" s="231"/>
      <c r="U375" s="232" t="str">
        <f t="shared" si="267"/>
        <v>US$2014/ kg of protein</v>
      </c>
      <c r="V375" s="28"/>
      <c r="W375" s="28"/>
      <c r="Y375" s="139"/>
      <c r="AO375" s="139"/>
      <c r="AP375" s="28"/>
      <c r="AQ375" s="28"/>
      <c r="AR375" s="237"/>
      <c r="AS375" s="28"/>
      <c r="AT375" s="304" t="str">
        <f t="shared" si="290"/>
        <v/>
      </c>
      <c r="AU375" s="304" t="str">
        <f t="shared" si="290"/>
        <v/>
      </c>
      <c r="AV375" s="28"/>
      <c r="AW375" s="304" t="str">
        <f t="shared" si="281"/>
        <v/>
      </c>
      <c r="AX375" s="304" t="str">
        <f t="shared" si="281"/>
        <v/>
      </c>
      <c r="AY375" s="28"/>
      <c r="AZ375" s="304" t="str">
        <f t="shared" si="282"/>
        <v/>
      </c>
      <c r="BA375" s="304" t="str">
        <f t="shared" si="282"/>
        <v/>
      </c>
      <c r="BB375" s="28"/>
      <c r="BC375" s="304" t="str">
        <f t="shared" si="283"/>
        <v/>
      </c>
      <c r="BD375" s="304" t="str">
        <f t="shared" si="283"/>
        <v/>
      </c>
      <c r="BE375" s="28"/>
      <c r="BF375" s="304">
        <f t="shared" si="284"/>
        <v>11.354166666666666</v>
      </c>
      <c r="BG375" s="304">
        <f t="shared" si="284"/>
        <v>11.354166666666666</v>
      </c>
      <c r="BH375" s="28"/>
      <c r="BI375" s="304" t="str">
        <f t="shared" si="285"/>
        <v/>
      </c>
      <c r="BJ375" s="304" t="str">
        <f t="shared" si="285"/>
        <v/>
      </c>
      <c r="BK375" s="28"/>
      <c r="BL375" s="304" t="str">
        <f t="shared" si="286"/>
        <v/>
      </c>
      <c r="BM375" s="304" t="str">
        <f t="shared" si="286"/>
        <v/>
      </c>
      <c r="BN375" s="28"/>
      <c r="BO375" s="304" t="str">
        <f t="shared" si="287"/>
        <v/>
      </c>
      <c r="BP375" s="304" t="str">
        <f t="shared" si="287"/>
        <v/>
      </c>
      <c r="BQ375" s="28"/>
      <c r="BR375" s="304" t="str">
        <f t="shared" si="288"/>
        <v/>
      </c>
      <c r="BS375" s="304" t="str">
        <f t="shared" si="288"/>
        <v/>
      </c>
      <c r="BT375" s="28"/>
      <c r="BU375" s="304" t="str">
        <f t="shared" si="289"/>
        <v/>
      </c>
      <c r="BV375" s="304" t="str">
        <f t="shared" si="289"/>
        <v/>
      </c>
      <c r="BW375" s="28"/>
      <c r="BX375" s="139"/>
    </row>
    <row r="376" spans="1:76" s="122" customFormat="1" ht="15.95" customHeight="1" x14ac:dyDescent="0.25">
      <c r="A376" s="195">
        <v>46</v>
      </c>
      <c r="B376" s="216" t="str">
        <f t="shared" si="264"/>
        <v>Middle East and Africa: FAO. 2017. Global Livestock Environmental Assessment Model (GLEAM)</v>
      </c>
      <c r="C376" s="221" t="s">
        <v>227</v>
      </c>
      <c r="D376" s="221" t="s">
        <v>252</v>
      </c>
      <c r="E376" s="221" t="s">
        <v>99</v>
      </c>
      <c r="F376" s="221" t="s">
        <v>253</v>
      </c>
      <c r="G376" s="340" t="s">
        <v>26</v>
      </c>
      <c r="H376" s="221">
        <v>2017</v>
      </c>
      <c r="I376" s="340"/>
      <c r="J376" s="338">
        <v>3</v>
      </c>
      <c r="K376" s="339" t="s">
        <v>230</v>
      </c>
      <c r="L376" s="334">
        <f t="shared" si="294"/>
        <v>11.354166666666666</v>
      </c>
      <c r="M376" s="335" t="str">
        <f t="shared" si="265"/>
        <v>US$2014/ kg of protein</v>
      </c>
      <c r="N376" s="227"/>
      <c r="O376" s="227" t="s">
        <v>256</v>
      </c>
      <c r="Q376" s="228"/>
      <c r="R376" s="231">
        <f t="shared" si="277"/>
        <v>11.354166666666666</v>
      </c>
      <c r="S376" s="230">
        <f t="shared" si="266"/>
        <v>11.354166666666666</v>
      </c>
      <c r="T376" s="231"/>
      <c r="U376" s="232" t="str">
        <f t="shared" si="267"/>
        <v>US$2014/ kg of protein</v>
      </c>
      <c r="V376" s="28"/>
      <c r="W376" s="28"/>
      <c r="Y376" s="139"/>
      <c r="AO376" s="139"/>
      <c r="AP376" s="28"/>
      <c r="AQ376" s="28"/>
      <c r="AR376" s="237"/>
      <c r="AS376" s="28"/>
      <c r="AT376" s="304" t="str">
        <f t="shared" si="290"/>
        <v/>
      </c>
      <c r="AU376" s="304" t="str">
        <f t="shared" si="290"/>
        <v/>
      </c>
      <c r="AV376" s="28"/>
      <c r="AW376" s="304" t="str">
        <f t="shared" si="281"/>
        <v/>
      </c>
      <c r="AX376" s="304" t="str">
        <f t="shared" si="281"/>
        <v/>
      </c>
      <c r="AY376" s="28"/>
      <c r="AZ376" s="304" t="str">
        <f t="shared" si="282"/>
        <v/>
      </c>
      <c r="BA376" s="304" t="str">
        <f t="shared" si="282"/>
        <v/>
      </c>
      <c r="BB376" s="28"/>
      <c r="BC376" s="304" t="str">
        <f t="shared" si="283"/>
        <v/>
      </c>
      <c r="BD376" s="304" t="str">
        <f t="shared" si="283"/>
        <v/>
      </c>
      <c r="BE376" s="28"/>
      <c r="BF376" s="304">
        <f t="shared" si="284"/>
        <v>11.354166666666666</v>
      </c>
      <c r="BG376" s="304">
        <f t="shared" si="284"/>
        <v>11.354166666666666</v>
      </c>
      <c r="BH376" s="28"/>
      <c r="BI376" s="304" t="str">
        <f t="shared" si="285"/>
        <v/>
      </c>
      <c r="BJ376" s="304" t="str">
        <f t="shared" si="285"/>
        <v/>
      </c>
      <c r="BK376" s="28"/>
      <c r="BL376" s="304" t="str">
        <f t="shared" si="286"/>
        <v/>
      </c>
      <c r="BM376" s="304" t="str">
        <f t="shared" si="286"/>
        <v/>
      </c>
      <c r="BN376" s="28"/>
      <c r="BO376" s="304" t="str">
        <f t="shared" si="287"/>
        <v/>
      </c>
      <c r="BP376" s="304" t="str">
        <f t="shared" si="287"/>
        <v/>
      </c>
      <c r="BQ376" s="28"/>
      <c r="BR376" s="304" t="str">
        <f t="shared" si="288"/>
        <v/>
      </c>
      <c r="BS376" s="304" t="str">
        <f t="shared" si="288"/>
        <v/>
      </c>
      <c r="BT376" s="28"/>
      <c r="BU376" s="304" t="str">
        <f t="shared" si="289"/>
        <v/>
      </c>
      <c r="BV376" s="304" t="str">
        <f t="shared" si="289"/>
        <v/>
      </c>
      <c r="BW376" s="28"/>
      <c r="BX376" s="139"/>
    </row>
    <row r="377" spans="1:76" s="122" customFormat="1" ht="15.95" customHeight="1" x14ac:dyDescent="0.25">
      <c r="A377" s="195">
        <v>47</v>
      </c>
      <c r="B377" s="216" t="str">
        <f t="shared" si="264"/>
        <v>Middle East and Africa: FAO. 2017. Global Livestock Environmental Assessment Model (GLEAM)</v>
      </c>
      <c r="C377" s="221" t="s">
        <v>227</v>
      </c>
      <c r="D377" s="221" t="s">
        <v>252</v>
      </c>
      <c r="E377" s="221" t="s">
        <v>99</v>
      </c>
      <c r="F377" s="221" t="s">
        <v>253</v>
      </c>
      <c r="G377" s="340" t="s">
        <v>26</v>
      </c>
      <c r="H377" s="221">
        <v>2017</v>
      </c>
      <c r="I377" s="340"/>
      <c r="J377" s="338">
        <v>3</v>
      </c>
      <c r="K377" s="339" t="s">
        <v>230</v>
      </c>
      <c r="L377" s="334">
        <f t="shared" si="294"/>
        <v>11.354166666666666</v>
      </c>
      <c r="M377" s="335" t="str">
        <f t="shared" si="265"/>
        <v>US$2014/ kg of protein</v>
      </c>
      <c r="N377" s="227"/>
      <c r="O377" s="227" t="s">
        <v>257</v>
      </c>
      <c r="Q377" s="228"/>
      <c r="R377" s="231">
        <f t="shared" si="277"/>
        <v>11.354166666666666</v>
      </c>
      <c r="S377" s="230">
        <f t="shared" si="266"/>
        <v>11.354166666666666</v>
      </c>
      <c r="T377" s="231"/>
      <c r="U377" s="232" t="str">
        <f t="shared" si="267"/>
        <v>US$2014/ kg of protein</v>
      </c>
      <c r="V377" s="28"/>
      <c r="W377" s="28"/>
      <c r="Y377" s="139"/>
      <c r="AO377" s="139"/>
      <c r="AP377" s="28"/>
      <c r="AQ377" s="28"/>
      <c r="AR377" s="237"/>
      <c r="AS377" s="28"/>
      <c r="AT377" s="304" t="str">
        <f t="shared" si="290"/>
        <v/>
      </c>
      <c r="AU377" s="304" t="str">
        <f t="shared" si="290"/>
        <v/>
      </c>
      <c r="AV377" s="28"/>
      <c r="AW377" s="304" t="str">
        <f t="shared" si="281"/>
        <v/>
      </c>
      <c r="AX377" s="304" t="str">
        <f t="shared" si="281"/>
        <v/>
      </c>
      <c r="AY377" s="28"/>
      <c r="AZ377" s="304" t="str">
        <f t="shared" si="282"/>
        <v/>
      </c>
      <c r="BA377" s="304" t="str">
        <f t="shared" si="282"/>
        <v/>
      </c>
      <c r="BB377" s="28"/>
      <c r="BC377" s="304" t="str">
        <f t="shared" si="283"/>
        <v/>
      </c>
      <c r="BD377" s="304" t="str">
        <f t="shared" si="283"/>
        <v/>
      </c>
      <c r="BE377" s="28"/>
      <c r="BF377" s="304">
        <f t="shared" si="284"/>
        <v>11.354166666666666</v>
      </c>
      <c r="BG377" s="304">
        <f t="shared" si="284"/>
        <v>11.354166666666666</v>
      </c>
      <c r="BH377" s="28"/>
      <c r="BI377" s="304" t="str">
        <f t="shared" si="285"/>
        <v/>
      </c>
      <c r="BJ377" s="304" t="str">
        <f t="shared" si="285"/>
        <v/>
      </c>
      <c r="BK377" s="28"/>
      <c r="BL377" s="304" t="str">
        <f t="shared" si="286"/>
        <v/>
      </c>
      <c r="BM377" s="304" t="str">
        <f t="shared" si="286"/>
        <v/>
      </c>
      <c r="BN377" s="28"/>
      <c r="BO377" s="304" t="str">
        <f t="shared" si="287"/>
        <v/>
      </c>
      <c r="BP377" s="304" t="str">
        <f t="shared" si="287"/>
        <v/>
      </c>
      <c r="BQ377" s="28"/>
      <c r="BR377" s="304" t="str">
        <f t="shared" si="288"/>
        <v/>
      </c>
      <c r="BS377" s="304" t="str">
        <f t="shared" si="288"/>
        <v/>
      </c>
      <c r="BT377" s="28"/>
      <c r="BU377" s="304" t="str">
        <f t="shared" si="289"/>
        <v/>
      </c>
      <c r="BV377" s="304" t="str">
        <f t="shared" si="289"/>
        <v/>
      </c>
      <c r="BW377" s="28"/>
      <c r="BX377" s="139"/>
    </row>
    <row r="378" spans="1:76" s="122" customFormat="1" ht="15.95" customHeight="1" x14ac:dyDescent="0.25">
      <c r="A378" s="195">
        <v>48</v>
      </c>
      <c r="B378" s="216" t="str">
        <f t="shared" si="264"/>
        <v>Middle East and Africa: FAO. 2017. Global Livestock Environmental Assessment Model (GLEAM)</v>
      </c>
      <c r="C378" s="221" t="s">
        <v>227</v>
      </c>
      <c r="D378" s="221" t="s">
        <v>252</v>
      </c>
      <c r="E378" s="221" t="s">
        <v>99</v>
      </c>
      <c r="F378" s="221" t="s">
        <v>253</v>
      </c>
      <c r="G378" s="340" t="s">
        <v>26</v>
      </c>
      <c r="H378" s="221">
        <v>2017</v>
      </c>
      <c r="I378" s="340"/>
      <c r="J378" s="338">
        <v>3</v>
      </c>
      <c r="K378" s="339" t="s">
        <v>230</v>
      </c>
      <c r="L378" s="334">
        <f t="shared" si="294"/>
        <v>11.354166666666666</v>
      </c>
      <c r="M378" s="335" t="str">
        <f t="shared" si="265"/>
        <v>US$2014/ kg of protein</v>
      </c>
      <c r="N378" s="227"/>
      <c r="O378" s="227" t="s">
        <v>258</v>
      </c>
      <c r="Q378" s="228"/>
      <c r="R378" s="231">
        <f t="shared" si="277"/>
        <v>11.354166666666666</v>
      </c>
      <c r="S378" s="230">
        <f t="shared" si="266"/>
        <v>11.354166666666666</v>
      </c>
      <c r="T378" s="231"/>
      <c r="U378" s="232" t="str">
        <f t="shared" si="267"/>
        <v>US$2014/ kg of protein</v>
      </c>
      <c r="V378" s="28"/>
      <c r="W378" s="28"/>
      <c r="Y378" s="139"/>
      <c r="AO378" s="139"/>
      <c r="AP378" s="28"/>
      <c r="AQ378" s="28"/>
      <c r="AR378" s="237"/>
      <c r="AS378" s="28"/>
      <c r="AT378" s="304" t="str">
        <f t="shared" si="290"/>
        <v/>
      </c>
      <c r="AU378" s="304" t="str">
        <f t="shared" si="290"/>
        <v/>
      </c>
      <c r="AV378" s="28"/>
      <c r="AW378" s="304" t="str">
        <f t="shared" si="281"/>
        <v/>
      </c>
      <c r="AX378" s="304" t="str">
        <f t="shared" si="281"/>
        <v/>
      </c>
      <c r="AY378" s="28"/>
      <c r="AZ378" s="304" t="str">
        <f t="shared" si="282"/>
        <v/>
      </c>
      <c r="BA378" s="304" t="str">
        <f t="shared" si="282"/>
        <v/>
      </c>
      <c r="BB378" s="28"/>
      <c r="BC378" s="304" t="str">
        <f t="shared" si="283"/>
        <v/>
      </c>
      <c r="BD378" s="304" t="str">
        <f t="shared" si="283"/>
        <v/>
      </c>
      <c r="BE378" s="28"/>
      <c r="BF378" s="304">
        <f t="shared" si="284"/>
        <v>11.354166666666666</v>
      </c>
      <c r="BG378" s="304">
        <f t="shared" si="284"/>
        <v>11.354166666666666</v>
      </c>
      <c r="BH378" s="28"/>
      <c r="BI378" s="304" t="str">
        <f t="shared" si="285"/>
        <v/>
      </c>
      <c r="BJ378" s="304" t="str">
        <f t="shared" si="285"/>
        <v/>
      </c>
      <c r="BK378" s="28"/>
      <c r="BL378" s="304" t="str">
        <f t="shared" si="286"/>
        <v/>
      </c>
      <c r="BM378" s="304" t="str">
        <f t="shared" si="286"/>
        <v/>
      </c>
      <c r="BN378" s="28"/>
      <c r="BO378" s="304" t="str">
        <f t="shared" si="287"/>
        <v/>
      </c>
      <c r="BP378" s="304" t="str">
        <f t="shared" si="287"/>
        <v/>
      </c>
      <c r="BQ378" s="28"/>
      <c r="BR378" s="304" t="str">
        <f t="shared" si="288"/>
        <v/>
      </c>
      <c r="BS378" s="304" t="str">
        <f t="shared" si="288"/>
        <v/>
      </c>
      <c r="BT378" s="28"/>
      <c r="BU378" s="304" t="str">
        <f t="shared" si="289"/>
        <v/>
      </c>
      <c r="BV378" s="304" t="str">
        <f t="shared" si="289"/>
        <v/>
      </c>
      <c r="BW378" s="28"/>
      <c r="BX378" s="139"/>
    </row>
    <row r="379" spans="1:76" s="122" customFormat="1" ht="15.95" customHeight="1" x14ac:dyDescent="0.25">
      <c r="A379" s="195">
        <v>49</v>
      </c>
      <c r="B379" s="216" t="str">
        <f t="shared" si="264"/>
        <v>Middle East and Africa: FAO. 2017. Global Livestock Environmental Assessment Model (GLEAM)</v>
      </c>
      <c r="C379" s="221" t="s">
        <v>227</v>
      </c>
      <c r="D379" s="221" t="s">
        <v>252</v>
      </c>
      <c r="E379" s="221" t="s">
        <v>99</v>
      </c>
      <c r="F379" s="221" t="s">
        <v>253</v>
      </c>
      <c r="G379" s="340" t="s">
        <v>26</v>
      </c>
      <c r="H379" s="221">
        <v>2017</v>
      </c>
      <c r="I379" s="340"/>
      <c r="J379" s="338">
        <v>3</v>
      </c>
      <c r="K379" s="339" t="s">
        <v>230</v>
      </c>
      <c r="L379" s="334">
        <f t="shared" si="294"/>
        <v>11.354166666666666</v>
      </c>
      <c r="M379" s="335" t="str">
        <f t="shared" si="265"/>
        <v>US$2014/ kg of protein</v>
      </c>
      <c r="N379" s="227"/>
      <c r="O379" s="227" t="s">
        <v>259</v>
      </c>
      <c r="Q379" s="228"/>
      <c r="R379" s="231">
        <f t="shared" si="277"/>
        <v>11.354166666666666</v>
      </c>
      <c r="S379" s="230">
        <f t="shared" si="266"/>
        <v>11.354166666666666</v>
      </c>
      <c r="T379" s="231"/>
      <c r="U379" s="232" t="str">
        <f t="shared" si="267"/>
        <v>US$2014/ kg of protein</v>
      </c>
      <c r="V379" s="28"/>
      <c r="W379" s="28"/>
      <c r="Y379" s="139"/>
      <c r="AO379" s="139"/>
      <c r="AP379" s="28"/>
      <c r="AQ379" s="28"/>
      <c r="AR379" s="237"/>
      <c r="AS379" s="28"/>
      <c r="AT379" s="304" t="str">
        <f t="shared" si="290"/>
        <v/>
      </c>
      <c r="AU379" s="304" t="str">
        <f t="shared" si="290"/>
        <v/>
      </c>
      <c r="AV379" s="28"/>
      <c r="AW379" s="304" t="str">
        <f t="shared" si="281"/>
        <v/>
      </c>
      <c r="AX379" s="304" t="str">
        <f t="shared" si="281"/>
        <v/>
      </c>
      <c r="AY379" s="28"/>
      <c r="AZ379" s="304" t="str">
        <f t="shared" si="282"/>
        <v/>
      </c>
      <c r="BA379" s="304" t="str">
        <f t="shared" si="282"/>
        <v/>
      </c>
      <c r="BB379" s="28"/>
      <c r="BC379" s="304" t="str">
        <f t="shared" si="283"/>
        <v/>
      </c>
      <c r="BD379" s="304" t="str">
        <f t="shared" si="283"/>
        <v/>
      </c>
      <c r="BE379" s="28"/>
      <c r="BF379" s="304">
        <f t="shared" si="284"/>
        <v>11.354166666666666</v>
      </c>
      <c r="BG379" s="304">
        <f t="shared" si="284"/>
        <v>11.354166666666666</v>
      </c>
      <c r="BH379" s="28"/>
      <c r="BI379" s="304" t="str">
        <f t="shared" si="285"/>
        <v/>
      </c>
      <c r="BJ379" s="304" t="str">
        <f t="shared" si="285"/>
        <v/>
      </c>
      <c r="BK379" s="28"/>
      <c r="BL379" s="304" t="str">
        <f t="shared" si="286"/>
        <v/>
      </c>
      <c r="BM379" s="304" t="str">
        <f t="shared" si="286"/>
        <v/>
      </c>
      <c r="BN379" s="28"/>
      <c r="BO379" s="304" t="str">
        <f t="shared" si="287"/>
        <v/>
      </c>
      <c r="BP379" s="304" t="str">
        <f t="shared" si="287"/>
        <v/>
      </c>
      <c r="BQ379" s="28"/>
      <c r="BR379" s="304" t="str">
        <f t="shared" si="288"/>
        <v/>
      </c>
      <c r="BS379" s="304" t="str">
        <f t="shared" si="288"/>
        <v/>
      </c>
      <c r="BT379" s="28"/>
      <c r="BU379" s="304" t="str">
        <f t="shared" si="289"/>
        <v/>
      </c>
      <c r="BV379" s="304" t="str">
        <f t="shared" si="289"/>
        <v/>
      </c>
      <c r="BW379" s="28"/>
      <c r="BX379" s="139"/>
    </row>
    <row r="380" spans="1:76" s="122" customFormat="1" ht="15.95" customHeight="1" x14ac:dyDescent="0.25">
      <c r="A380" s="195">
        <v>50</v>
      </c>
      <c r="B380" s="216" t="str">
        <f t="shared" si="264"/>
        <v>Middle East and Africa: FAO. 2017. Global Livestock Environmental Assessment Model (GLEAM)</v>
      </c>
      <c r="C380" s="221" t="s">
        <v>227</v>
      </c>
      <c r="D380" s="221" t="s">
        <v>252</v>
      </c>
      <c r="E380" s="221" t="s">
        <v>99</v>
      </c>
      <c r="F380" s="221" t="s">
        <v>253</v>
      </c>
      <c r="G380" s="340" t="s">
        <v>26</v>
      </c>
      <c r="H380" s="221">
        <v>2017</v>
      </c>
      <c r="I380" s="340"/>
      <c r="J380" s="338">
        <f t="shared" ref="J380:J388" si="298">AVERAGE(0,2)</f>
        <v>1</v>
      </c>
      <c r="K380" s="339" t="s">
        <v>230</v>
      </c>
      <c r="L380" s="334">
        <f>1/J380*$AB$14/(0.032)</f>
        <v>34.0625</v>
      </c>
      <c r="M380" s="335" t="str">
        <f t="shared" si="265"/>
        <v>US$2014/ kg of protein</v>
      </c>
      <c r="N380" s="227"/>
      <c r="O380" s="227" t="s">
        <v>260</v>
      </c>
      <c r="Q380" s="228"/>
      <c r="R380" s="231">
        <f t="shared" si="277"/>
        <v>34.0625</v>
      </c>
      <c r="S380" s="230">
        <f t="shared" si="266"/>
        <v>34.0625</v>
      </c>
      <c r="T380" s="231"/>
      <c r="U380" s="232" t="str">
        <f t="shared" si="267"/>
        <v>US$2014/ kg of protein</v>
      </c>
      <c r="V380" s="28"/>
      <c r="W380" s="28"/>
      <c r="Y380" s="139"/>
      <c r="AO380" s="139"/>
      <c r="AP380" s="28"/>
      <c r="AQ380" s="28"/>
      <c r="AR380" s="237"/>
      <c r="AS380" s="28"/>
      <c r="AT380" s="304" t="str">
        <f t="shared" si="290"/>
        <v/>
      </c>
      <c r="AU380" s="304" t="str">
        <f t="shared" si="290"/>
        <v/>
      </c>
      <c r="AV380" s="28"/>
      <c r="AW380" s="304" t="str">
        <f t="shared" si="281"/>
        <v/>
      </c>
      <c r="AX380" s="304" t="str">
        <f t="shared" si="281"/>
        <v/>
      </c>
      <c r="AY380" s="28"/>
      <c r="AZ380" s="304" t="str">
        <f t="shared" si="282"/>
        <v/>
      </c>
      <c r="BA380" s="304" t="str">
        <f t="shared" si="282"/>
        <v/>
      </c>
      <c r="BB380" s="28"/>
      <c r="BC380" s="304" t="str">
        <f t="shared" si="283"/>
        <v/>
      </c>
      <c r="BD380" s="304" t="str">
        <f t="shared" si="283"/>
        <v/>
      </c>
      <c r="BE380" s="28"/>
      <c r="BF380" s="304">
        <f t="shared" si="284"/>
        <v>34.0625</v>
      </c>
      <c r="BG380" s="304">
        <f t="shared" si="284"/>
        <v>34.0625</v>
      </c>
      <c r="BH380" s="28"/>
      <c r="BI380" s="304" t="str">
        <f t="shared" si="285"/>
        <v/>
      </c>
      <c r="BJ380" s="304" t="str">
        <f t="shared" si="285"/>
        <v/>
      </c>
      <c r="BK380" s="28"/>
      <c r="BL380" s="304" t="str">
        <f t="shared" si="286"/>
        <v/>
      </c>
      <c r="BM380" s="304" t="str">
        <f t="shared" si="286"/>
        <v/>
      </c>
      <c r="BN380" s="28"/>
      <c r="BO380" s="304" t="str">
        <f t="shared" si="287"/>
        <v/>
      </c>
      <c r="BP380" s="304" t="str">
        <f t="shared" si="287"/>
        <v/>
      </c>
      <c r="BQ380" s="28"/>
      <c r="BR380" s="304" t="str">
        <f t="shared" si="288"/>
        <v/>
      </c>
      <c r="BS380" s="304" t="str">
        <f t="shared" si="288"/>
        <v/>
      </c>
      <c r="BT380" s="28"/>
      <c r="BU380" s="304" t="str">
        <f t="shared" si="289"/>
        <v/>
      </c>
      <c r="BV380" s="304" t="str">
        <f t="shared" si="289"/>
        <v/>
      </c>
      <c r="BW380" s="28"/>
      <c r="BX380" s="139"/>
    </row>
    <row r="381" spans="1:76" s="122" customFormat="1" ht="15.95" customHeight="1" x14ac:dyDescent="0.25">
      <c r="A381" s="195">
        <v>51</v>
      </c>
      <c r="B381" s="216" t="str">
        <f t="shared" si="264"/>
        <v>Middle East and Africa: FAO. 2017. Global Livestock Environmental Assessment Model (GLEAM)</v>
      </c>
      <c r="C381" s="221" t="s">
        <v>227</v>
      </c>
      <c r="D381" s="221" t="s">
        <v>252</v>
      </c>
      <c r="E381" s="221" t="s">
        <v>99</v>
      </c>
      <c r="F381" s="221" t="s">
        <v>253</v>
      </c>
      <c r="G381" s="340" t="s">
        <v>26</v>
      </c>
      <c r="H381" s="221">
        <v>2017</v>
      </c>
      <c r="I381" s="340"/>
      <c r="J381" s="338">
        <f t="shared" si="298"/>
        <v>1</v>
      </c>
      <c r="K381" s="339" t="s">
        <v>230</v>
      </c>
      <c r="L381" s="334">
        <f t="shared" si="294"/>
        <v>34.0625</v>
      </c>
      <c r="M381" s="335" t="str">
        <f t="shared" si="265"/>
        <v>US$2014/ kg of protein</v>
      </c>
      <c r="N381" s="227"/>
      <c r="O381" s="227" t="s">
        <v>261</v>
      </c>
      <c r="Q381" s="228"/>
      <c r="R381" s="231">
        <f t="shared" si="277"/>
        <v>34.0625</v>
      </c>
      <c r="S381" s="230">
        <f t="shared" si="266"/>
        <v>34.0625</v>
      </c>
      <c r="T381" s="231"/>
      <c r="U381" s="232" t="str">
        <f t="shared" si="267"/>
        <v>US$2014/ kg of protein</v>
      </c>
      <c r="V381" s="28"/>
      <c r="W381" s="28"/>
      <c r="Y381" s="139"/>
      <c r="AO381" s="139"/>
      <c r="AP381" s="28"/>
      <c r="AQ381" s="28"/>
      <c r="AR381" s="237"/>
      <c r="AS381" s="28"/>
      <c r="AT381" s="304" t="str">
        <f t="shared" si="290"/>
        <v/>
      </c>
      <c r="AU381" s="304" t="str">
        <f t="shared" si="290"/>
        <v/>
      </c>
      <c r="AV381" s="28"/>
      <c r="AW381" s="304" t="str">
        <f t="shared" si="281"/>
        <v/>
      </c>
      <c r="AX381" s="304" t="str">
        <f t="shared" si="281"/>
        <v/>
      </c>
      <c r="AY381" s="28"/>
      <c r="AZ381" s="304" t="str">
        <f t="shared" si="282"/>
        <v/>
      </c>
      <c r="BA381" s="304" t="str">
        <f t="shared" si="282"/>
        <v/>
      </c>
      <c r="BB381" s="28"/>
      <c r="BC381" s="304" t="str">
        <f t="shared" si="283"/>
        <v/>
      </c>
      <c r="BD381" s="304" t="str">
        <f t="shared" si="283"/>
        <v/>
      </c>
      <c r="BE381" s="28"/>
      <c r="BF381" s="304">
        <f t="shared" si="284"/>
        <v>34.0625</v>
      </c>
      <c r="BG381" s="304">
        <f t="shared" si="284"/>
        <v>34.0625</v>
      </c>
      <c r="BH381" s="28"/>
      <c r="BI381" s="304" t="str">
        <f t="shared" si="285"/>
        <v/>
      </c>
      <c r="BJ381" s="304" t="str">
        <f t="shared" si="285"/>
        <v/>
      </c>
      <c r="BK381" s="28"/>
      <c r="BL381" s="304" t="str">
        <f t="shared" si="286"/>
        <v/>
      </c>
      <c r="BM381" s="304" t="str">
        <f t="shared" si="286"/>
        <v/>
      </c>
      <c r="BN381" s="28"/>
      <c r="BO381" s="304" t="str">
        <f t="shared" si="287"/>
        <v/>
      </c>
      <c r="BP381" s="304" t="str">
        <f t="shared" si="287"/>
        <v/>
      </c>
      <c r="BQ381" s="28"/>
      <c r="BR381" s="304" t="str">
        <f t="shared" si="288"/>
        <v/>
      </c>
      <c r="BS381" s="304" t="str">
        <f t="shared" si="288"/>
        <v/>
      </c>
      <c r="BT381" s="28"/>
      <c r="BU381" s="304" t="str">
        <f t="shared" si="289"/>
        <v/>
      </c>
      <c r="BV381" s="304" t="str">
        <f t="shared" si="289"/>
        <v/>
      </c>
      <c r="BW381" s="28"/>
      <c r="BX381" s="139"/>
    </row>
    <row r="382" spans="1:76" s="122" customFormat="1" ht="15.95" customHeight="1" x14ac:dyDescent="0.25">
      <c r="A382" s="195">
        <v>52</v>
      </c>
      <c r="B382" s="216" t="str">
        <f t="shared" si="264"/>
        <v>Middle East and Africa: FAO. 2017. Global Livestock Environmental Assessment Model (GLEAM)</v>
      </c>
      <c r="C382" s="221" t="s">
        <v>227</v>
      </c>
      <c r="D382" s="221" t="s">
        <v>252</v>
      </c>
      <c r="E382" s="221" t="s">
        <v>99</v>
      </c>
      <c r="F382" s="221" t="s">
        <v>253</v>
      </c>
      <c r="G382" s="340" t="s">
        <v>26</v>
      </c>
      <c r="H382" s="221">
        <v>2017</v>
      </c>
      <c r="I382" s="340"/>
      <c r="J382" s="338">
        <f t="shared" si="298"/>
        <v>1</v>
      </c>
      <c r="K382" s="339" t="s">
        <v>230</v>
      </c>
      <c r="L382" s="334">
        <f>1/J382*$AB$14/(0.032)</f>
        <v>34.0625</v>
      </c>
      <c r="M382" s="335" t="str">
        <f t="shared" si="265"/>
        <v>US$2014/ kg of protein</v>
      </c>
      <c r="N382" s="227"/>
      <c r="O382" s="227" t="s">
        <v>262</v>
      </c>
      <c r="Q382" s="228"/>
      <c r="R382" s="231">
        <f t="shared" si="277"/>
        <v>34.0625</v>
      </c>
      <c r="S382" s="230">
        <f t="shared" si="266"/>
        <v>34.0625</v>
      </c>
      <c r="T382" s="231"/>
      <c r="U382" s="232" t="str">
        <f t="shared" si="267"/>
        <v>US$2014/ kg of protein</v>
      </c>
      <c r="V382" s="28"/>
      <c r="W382" s="28"/>
      <c r="Y382" s="139"/>
      <c r="AO382" s="139"/>
      <c r="AP382" s="28"/>
      <c r="AQ382" s="28"/>
      <c r="AR382" s="237"/>
      <c r="AS382" s="28"/>
      <c r="AT382" s="304" t="str">
        <f t="shared" si="290"/>
        <v/>
      </c>
      <c r="AU382" s="304" t="str">
        <f t="shared" si="290"/>
        <v/>
      </c>
      <c r="AV382" s="28"/>
      <c r="AW382" s="304" t="str">
        <f t="shared" si="281"/>
        <v/>
      </c>
      <c r="AX382" s="304" t="str">
        <f t="shared" si="281"/>
        <v/>
      </c>
      <c r="AY382" s="28"/>
      <c r="AZ382" s="304" t="str">
        <f t="shared" si="282"/>
        <v/>
      </c>
      <c r="BA382" s="304" t="str">
        <f t="shared" si="282"/>
        <v/>
      </c>
      <c r="BB382" s="28"/>
      <c r="BC382" s="304" t="str">
        <f t="shared" si="283"/>
        <v/>
      </c>
      <c r="BD382" s="304" t="str">
        <f t="shared" si="283"/>
        <v/>
      </c>
      <c r="BE382" s="28"/>
      <c r="BF382" s="304">
        <f t="shared" si="284"/>
        <v>34.0625</v>
      </c>
      <c r="BG382" s="304">
        <f t="shared" si="284"/>
        <v>34.0625</v>
      </c>
      <c r="BH382" s="28"/>
      <c r="BI382" s="304" t="str">
        <f t="shared" si="285"/>
        <v/>
      </c>
      <c r="BJ382" s="304" t="str">
        <f t="shared" si="285"/>
        <v/>
      </c>
      <c r="BK382" s="28"/>
      <c r="BL382" s="304" t="str">
        <f t="shared" si="286"/>
        <v/>
      </c>
      <c r="BM382" s="304" t="str">
        <f t="shared" si="286"/>
        <v/>
      </c>
      <c r="BN382" s="28"/>
      <c r="BO382" s="304" t="str">
        <f t="shared" si="287"/>
        <v/>
      </c>
      <c r="BP382" s="304" t="str">
        <f t="shared" si="287"/>
        <v/>
      </c>
      <c r="BQ382" s="28"/>
      <c r="BR382" s="304" t="str">
        <f t="shared" si="288"/>
        <v/>
      </c>
      <c r="BS382" s="304" t="str">
        <f t="shared" si="288"/>
        <v/>
      </c>
      <c r="BT382" s="28"/>
      <c r="BU382" s="304" t="str">
        <f t="shared" si="289"/>
        <v/>
      </c>
      <c r="BV382" s="304" t="str">
        <f t="shared" si="289"/>
        <v/>
      </c>
      <c r="BW382" s="28"/>
      <c r="BX382" s="139"/>
    </row>
    <row r="383" spans="1:76" s="122" customFormat="1" ht="15.95" customHeight="1" x14ac:dyDescent="0.25">
      <c r="A383" s="195">
        <v>53</v>
      </c>
      <c r="B383" s="216" t="str">
        <f t="shared" si="264"/>
        <v>Middle East and Africa: FAO. 2017. Global Livestock Environmental Assessment Model (GLEAM)</v>
      </c>
      <c r="C383" s="221" t="s">
        <v>227</v>
      </c>
      <c r="D383" s="221" t="s">
        <v>252</v>
      </c>
      <c r="E383" s="221" t="s">
        <v>99</v>
      </c>
      <c r="F383" s="221" t="s">
        <v>253</v>
      </c>
      <c r="G383" s="340" t="s">
        <v>26</v>
      </c>
      <c r="H383" s="221">
        <v>2017</v>
      </c>
      <c r="I383" s="340"/>
      <c r="J383" s="338">
        <f t="shared" si="298"/>
        <v>1</v>
      </c>
      <c r="K383" s="339" t="s">
        <v>230</v>
      </c>
      <c r="L383" s="334">
        <f t="shared" si="294"/>
        <v>34.0625</v>
      </c>
      <c r="M383" s="335" t="str">
        <f t="shared" si="265"/>
        <v>US$2014/ kg of protein</v>
      </c>
      <c r="N383" s="227"/>
      <c r="O383" s="227" t="s">
        <v>263</v>
      </c>
      <c r="Q383" s="228"/>
      <c r="R383" s="231">
        <f t="shared" si="277"/>
        <v>34.0625</v>
      </c>
      <c r="S383" s="230">
        <f t="shared" si="266"/>
        <v>34.0625</v>
      </c>
      <c r="T383" s="231"/>
      <c r="U383" s="232" t="str">
        <f t="shared" si="267"/>
        <v>US$2014/ kg of protein</v>
      </c>
      <c r="V383" s="28"/>
      <c r="W383" s="28"/>
      <c r="Y383" s="139"/>
      <c r="AO383" s="139"/>
      <c r="AP383" s="28"/>
      <c r="AQ383" s="28"/>
      <c r="AR383" s="237"/>
      <c r="AS383" s="28"/>
      <c r="AT383" s="304" t="str">
        <f t="shared" si="290"/>
        <v/>
      </c>
      <c r="AU383" s="304" t="str">
        <f t="shared" si="290"/>
        <v/>
      </c>
      <c r="AV383" s="28"/>
      <c r="AW383" s="304" t="str">
        <f t="shared" si="281"/>
        <v/>
      </c>
      <c r="AX383" s="304" t="str">
        <f t="shared" si="281"/>
        <v/>
      </c>
      <c r="AY383" s="28"/>
      <c r="AZ383" s="304" t="str">
        <f t="shared" si="282"/>
        <v/>
      </c>
      <c r="BA383" s="304" t="str">
        <f t="shared" si="282"/>
        <v/>
      </c>
      <c r="BB383" s="28"/>
      <c r="BC383" s="304" t="str">
        <f t="shared" si="283"/>
        <v/>
      </c>
      <c r="BD383" s="304" t="str">
        <f t="shared" si="283"/>
        <v/>
      </c>
      <c r="BE383" s="28"/>
      <c r="BF383" s="304">
        <f t="shared" si="284"/>
        <v>34.0625</v>
      </c>
      <c r="BG383" s="304">
        <f t="shared" si="284"/>
        <v>34.0625</v>
      </c>
      <c r="BH383" s="28"/>
      <c r="BI383" s="304" t="str">
        <f t="shared" si="285"/>
        <v/>
      </c>
      <c r="BJ383" s="304" t="str">
        <f t="shared" si="285"/>
        <v/>
      </c>
      <c r="BK383" s="28"/>
      <c r="BL383" s="304" t="str">
        <f t="shared" si="286"/>
        <v/>
      </c>
      <c r="BM383" s="304" t="str">
        <f t="shared" si="286"/>
        <v/>
      </c>
      <c r="BN383" s="28"/>
      <c r="BO383" s="304" t="str">
        <f t="shared" si="287"/>
        <v/>
      </c>
      <c r="BP383" s="304" t="str">
        <f t="shared" si="287"/>
        <v/>
      </c>
      <c r="BQ383" s="28"/>
      <c r="BR383" s="304" t="str">
        <f t="shared" si="288"/>
        <v/>
      </c>
      <c r="BS383" s="304" t="str">
        <f t="shared" si="288"/>
        <v/>
      </c>
      <c r="BT383" s="28"/>
      <c r="BU383" s="304" t="str">
        <f t="shared" si="289"/>
        <v/>
      </c>
      <c r="BV383" s="304" t="str">
        <f t="shared" si="289"/>
        <v/>
      </c>
      <c r="BW383" s="28"/>
      <c r="BX383" s="139"/>
    </row>
    <row r="384" spans="1:76" s="122" customFormat="1" ht="15.95" customHeight="1" x14ac:dyDescent="0.25">
      <c r="A384" s="195">
        <v>54</v>
      </c>
      <c r="B384" s="216" t="str">
        <f t="shared" si="264"/>
        <v>Middle East and Africa: FAO. 2017. Global Livestock Environmental Assessment Model (GLEAM)</v>
      </c>
      <c r="C384" s="221" t="s">
        <v>227</v>
      </c>
      <c r="D384" s="221" t="s">
        <v>252</v>
      </c>
      <c r="E384" s="221" t="s">
        <v>99</v>
      </c>
      <c r="F384" s="221" t="s">
        <v>253</v>
      </c>
      <c r="G384" s="340" t="s">
        <v>26</v>
      </c>
      <c r="H384" s="221">
        <v>2017</v>
      </c>
      <c r="I384" s="340"/>
      <c r="J384" s="338">
        <f>AVERAGE(2,3)</f>
        <v>2.5</v>
      </c>
      <c r="K384" s="339" t="s">
        <v>230</v>
      </c>
      <c r="L384" s="334">
        <f t="shared" si="294"/>
        <v>13.625000000000002</v>
      </c>
      <c r="M384" s="335" t="str">
        <f t="shared" si="265"/>
        <v>US$2014/ kg of protein</v>
      </c>
      <c r="N384" s="227"/>
      <c r="O384" s="227" t="s">
        <v>264</v>
      </c>
      <c r="Q384" s="228"/>
      <c r="R384" s="231">
        <f t="shared" si="277"/>
        <v>13.625000000000002</v>
      </c>
      <c r="S384" s="230">
        <f t="shared" si="266"/>
        <v>13.625000000000002</v>
      </c>
      <c r="T384" s="231"/>
      <c r="U384" s="232" t="str">
        <f t="shared" si="267"/>
        <v>US$2014/ kg of protein</v>
      </c>
      <c r="V384" s="28"/>
      <c r="W384" s="28"/>
      <c r="Y384" s="139"/>
      <c r="AO384" s="139"/>
      <c r="AP384" s="28"/>
      <c r="AQ384" s="28"/>
      <c r="AR384" s="237"/>
      <c r="AS384" s="28"/>
      <c r="AT384" s="304" t="str">
        <f t="shared" si="290"/>
        <v/>
      </c>
      <c r="AU384" s="304" t="str">
        <f t="shared" si="290"/>
        <v/>
      </c>
      <c r="AV384" s="28"/>
      <c r="AW384" s="304" t="str">
        <f t="shared" si="281"/>
        <v/>
      </c>
      <c r="AX384" s="304" t="str">
        <f t="shared" si="281"/>
        <v/>
      </c>
      <c r="AY384" s="28"/>
      <c r="AZ384" s="304" t="str">
        <f t="shared" si="282"/>
        <v/>
      </c>
      <c r="BA384" s="304" t="str">
        <f t="shared" si="282"/>
        <v/>
      </c>
      <c r="BB384" s="28"/>
      <c r="BC384" s="304" t="str">
        <f t="shared" si="283"/>
        <v/>
      </c>
      <c r="BD384" s="304" t="str">
        <f t="shared" si="283"/>
        <v/>
      </c>
      <c r="BE384" s="28"/>
      <c r="BF384" s="304">
        <f t="shared" si="284"/>
        <v>13.625000000000002</v>
      </c>
      <c r="BG384" s="304">
        <f t="shared" si="284"/>
        <v>13.625000000000002</v>
      </c>
      <c r="BH384" s="28"/>
      <c r="BI384" s="304" t="str">
        <f t="shared" si="285"/>
        <v/>
      </c>
      <c r="BJ384" s="304" t="str">
        <f t="shared" si="285"/>
        <v/>
      </c>
      <c r="BK384" s="28"/>
      <c r="BL384" s="304" t="str">
        <f t="shared" si="286"/>
        <v/>
      </c>
      <c r="BM384" s="304" t="str">
        <f t="shared" si="286"/>
        <v/>
      </c>
      <c r="BN384" s="28"/>
      <c r="BO384" s="304" t="str">
        <f t="shared" si="287"/>
        <v/>
      </c>
      <c r="BP384" s="304" t="str">
        <f t="shared" si="287"/>
        <v/>
      </c>
      <c r="BQ384" s="28"/>
      <c r="BR384" s="304" t="str">
        <f t="shared" si="288"/>
        <v/>
      </c>
      <c r="BS384" s="304" t="str">
        <f t="shared" si="288"/>
        <v/>
      </c>
      <c r="BT384" s="28"/>
      <c r="BU384" s="304" t="str">
        <f t="shared" si="289"/>
        <v/>
      </c>
      <c r="BV384" s="304" t="str">
        <f t="shared" si="289"/>
        <v/>
      </c>
      <c r="BW384" s="28"/>
      <c r="BX384" s="139"/>
    </row>
    <row r="385" spans="1:76" s="122" customFormat="1" ht="15.95" customHeight="1" x14ac:dyDescent="0.25">
      <c r="A385" s="195">
        <v>55</v>
      </c>
      <c r="B385" s="216" t="str">
        <f t="shared" si="264"/>
        <v>Middle East and Africa: FAO. 2017. Global Livestock Environmental Assessment Model (GLEAM)</v>
      </c>
      <c r="C385" s="221" t="s">
        <v>227</v>
      </c>
      <c r="D385" s="221" t="s">
        <v>252</v>
      </c>
      <c r="E385" s="221" t="s">
        <v>99</v>
      </c>
      <c r="F385" s="221" t="s">
        <v>253</v>
      </c>
      <c r="G385" s="340" t="s">
        <v>26</v>
      </c>
      <c r="H385" s="221">
        <v>2017</v>
      </c>
      <c r="I385" s="340"/>
      <c r="J385" s="338">
        <f t="shared" si="298"/>
        <v>1</v>
      </c>
      <c r="K385" s="339" t="s">
        <v>230</v>
      </c>
      <c r="L385" s="334">
        <f t="shared" si="294"/>
        <v>34.0625</v>
      </c>
      <c r="M385" s="335" t="str">
        <f t="shared" si="265"/>
        <v>US$2014/ kg of protein</v>
      </c>
      <c r="N385" s="227"/>
      <c r="O385" s="227" t="s">
        <v>265</v>
      </c>
      <c r="Q385" s="228"/>
      <c r="R385" s="231">
        <f t="shared" si="277"/>
        <v>34.0625</v>
      </c>
      <c r="S385" s="230">
        <f t="shared" si="266"/>
        <v>34.0625</v>
      </c>
      <c r="T385" s="231"/>
      <c r="U385" s="232" t="str">
        <f t="shared" si="267"/>
        <v>US$2014/ kg of protein</v>
      </c>
      <c r="V385" s="28"/>
      <c r="W385" s="28"/>
      <c r="Y385" s="139"/>
      <c r="AO385" s="139"/>
      <c r="AP385" s="28"/>
      <c r="AQ385" s="28"/>
      <c r="AR385" s="237"/>
      <c r="AS385" s="28"/>
      <c r="AT385" s="304" t="str">
        <f t="shared" si="290"/>
        <v/>
      </c>
      <c r="AU385" s="304" t="str">
        <f t="shared" si="290"/>
        <v/>
      </c>
      <c r="AV385" s="28"/>
      <c r="AW385" s="304" t="str">
        <f t="shared" si="281"/>
        <v/>
      </c>
      <c r="AX385" s="304" t="str">
        <f t="shared" si="281"/>
        <v/>
      </c>
      <c r="AY385" s="28"/>
      <c r="AZ385" s="304" t="str">
        <f t="shared" si="282"/>
        <v/>
      </c>
      <c r="BA385" s="304" t="str">
        <f t="shared" si="282"/>
        <v/>
      </c>
      <c r="BB385" s="28"/>
      <c r="BC385" s="304" t="str">
        <f t="shared" si="283"/>
        <v/>
      </c>
      <c r="BD385" s="304" t="str">
        <f t="shared" si="283"/>
        <v/>
      </c>
      <c r="BE385" s="28"/>
      <c r="BF385" s="304">
        <f t="shared" si="284"/>
        <v>34.0625</v>
      </c>
      <c r="BG385" s="304">
        <f t="shared" si="284"/>
        <v>34.0625</v>
      </c>
      <c r="BH385" s="28"/>
      <c r="BI385" s="304" t="str">
        <f t="shared" si="285"/>
        <v/>
      </c>
      <c r="BJ385" s="304" t="str">
        <f t="shared" si="285"/>
        <v/>
      </c>
      <c r="BK385" s="28"/>
      <c r="BL385" s="304" t="str">
        <f t="shared" si="286"/>
        <v/>
      </c>
      <c r="BM385" s="304" t="str">
        <f t="shared" si="286"/>
        <v/>
      </c>
      <c r="BN385" s="28"/>
      <c r="BO385" s="304" t="str">
        <f t="shared" si="287"/>
        <v/>
      </c>
      <c r="BP385" s="304" t="str">
        <f t="shared" si="287"/>
        <v/>
      </c>
      <c r="BQ385" s="28"/>
      <c r="BR385" s="304" t="str">
        <f t="shared" si="288"/>
        <v/>
      </c>
      <c r="BS385" s="304" t="str">
        <f t="shared" si="288"/>
        <v/>
      </c>
      <c r="BT385" s="28"/>
      <c r="BU385" s="304" t="str">
        <f t="shared" si="289"/>
        <v/>
      </c>
      <c r="BV385" s="304" t="str">
        <f t="shared" si="289"/>
        <v/>
      </c>
      <c r="BW385" s="28"/>
      <c r="BX385" s="139"/>
    </row>
    <row r="386" spans="1:76" s="122" customFormat="1" ht="15.95" customHeight="1" x14ac:dyDescent="0.25">
      <c r="A386" s="195">
        <v>56</v>
      </c>
      <c r="B386" s="216" t="str">
        <f t="shared" si="264"/>
        <v>Middle East and Africa: FAO. 2017. Global Livestock Environmental Assessment Model (GLEAM)</v>
      </c>
      <c r="C386" s="221" t="s">
        <v>227</v>
      </c>
      <c r="D386" s="221" t="s">
        <v>252</v>
      </c>
      <c r="E386" s="221" t="s">
        <v>99</v>
      </c>
      <c r="F386" s="221" t="s">
        <v>253</v>
      </c>
      <c r="G386" s="340" t="s">
        <v>26</v>
      </c>
      <c r="H386" s="221">
        <v>2017</v>
      </c>
      <c r="I386" s="340"/>
      <c r="J386" s="338">
        <f t="shared" si="298"/>
        <v>1</v>
      </c>
      <c r="K386" s="339" t="s">
        <v>230</v>
      </c>
      <c r="L386" s="334">
        <f t="shared" si="294"/>
        <v>34.0625</v>
      </c>
      <c r="M386" s="335" t="str">
        <f t="shared" si="265"/>
        <v>US$2014/ kg of protein</v>
      </c>
      <c r="N386" s="227"/>
      <c r="O386" s="227" t="s">
        <v>266</v>
      </c>
      <c r="Q386" s="228"/>
      <c r="R386" s="231">
        <f t="shared" si="277"/>
        <v>34.0625</v>
      </c>
      <c r="S386" s="230">
        <f t="shared" si="266"/>
        <v>34.0625</v>
      </c>
      <c r="T386" s="231"/>
      <c r="U386" s="232" t="str">
        <f t="shared" si="267"/>
        <v>US$2014/ kg of protein</v>
      </c>
      <c r="V386" s="28"/>
      <c r="W386" s="28"/>
      <c r="Y386" s="139"/>
      <c r="AO386" s="139"/>
      <c r="AP386" s="28"/>
      <c r="AQ386" s="28"/>
      <c r="AR386" s="237"/>
      <c r="AS386" s="28"/>
      <c r="AT386" s="304" t="str">
        <f t="shared" si="290"/>
        <v/>
      </c>
      <c r="AU386" s="304" t="str">
        <f t="shared" si="290"/>
        <v/>
      </c>
      <c r="AV386" s="28"/>
      <c r="AW386" s="304" t="str">
        <f t="shared" si="281"/>
        <v/>
      </c>
      <c r="AX386" s="304" t="str">
        <f t="shared" si="281"/>
        <v/>
      </c>
      <c r="AY386" s="28"/>
      <c r="AZ386" s="304" t="str">
        <f t="shared" si="282"/>
        <v/>
      </c>
      <c r="BA386" s="304" t="str">
        <f t="shared" si="282"/>
        <v/>
      </c>
      <c r="BB386" s="28"/>
      <c r="BC386" s="304" t="str">
        <f t="shared" si="283"/>
        <v/>
      </c>
      <c r="BD386" s="304" t="str">
        <f t="shared" si="283"/>
        <v/>
      </c>
      <c r="BE386" s="28"/>
      <c r="BF386" s="304">
        <f t="shared" si="284"/>
        <v>34.0625</v>
      </c>
      <c r="BG386" s="304">
        <f t="shared" si="284"/>
        <v>34.0625</v>
      </c>
      <c r="BH386" s="28"/>
      <c r="BI386" s="304" t="str">
        <f t="shared" si="285"/>
        <v/>
      </c>
      <c r="BJ386" s="304" t="str">
        <f t="shared" si="285"/>
        <v/>
      </c>
      <c r="BK386" s="28"/>
      <c r="BL386" s="304" t="str">
        <f t="shared" si="286"/>
        <v/>
      </c>
      <c r="BM386" s="304" t="str">
        <f t="shared" si="286"/>
        <v/>
      </c>
      <c r="BN386" s="28"/>
      <c r="BO386" s="304" t="str">
        <f t="shared" si="287"/>
        <v/>
      </c>
      <c r="BP386" s="304" t="str">
        <f t="shared" si="287"/>
        <v/>
      </c>
      <c r="BQ386" s="28"/>
      <c r="BR386" s="304" t="str">
        <f t="shared" si="288"/>
        <v/>
      </c>
      <c r="BS386" s="304" t="str">
        <f t="shared" si="288"/>
        <v/>
      </c>
      <c r="BT386" s="28"/>
      <c r="BU386" s="304" t="str">
        <f t="shared" si="289"/>
        <v/>
      </c>
      <c r="BV386" s="304" t="str">
        <f t="shared" si="289"/>
        <v/>
      </c>
      <c r="BW386" s="28"/>
      <c r="BX386" s="139"/>
    </row>
    <row r="387" spans="1:76" s="122" customFormat="1" ht="15.95" customHeight="1" x14ac:dyDescent="0.25">
      <c r="A387" s="195">
        <v>57</v>
      </c>
      <c r="B387" s="216" t="str">
        <f t="shared" si="264"/>
        <v>Middle East and Africa: FAO. 2017. Global Livestock Environmental Assessment Model (GLEAM)</v>
      </c>
      <c r="C387" s="221" t="s">
        <v>227</v>
      </c>
      <c r="D387" s="221" t="s">
        <v>252</v>
      </c>
      <c r="E387" s="221" t="s">
        <v>99</v>
      </c>
      <c r="F387" s="221" t="s">
        <v>253</v>
      </c>
      <c r="G387" s="340" t="s">
        <v>26</v>
      </c>
      <c r="H387" s="221">
        <v>2017</v>
      </c>
      <c r="I387" s="340"/>
      <c r="J387" s="338">
        <f t="shared" si="298"/>
        <v>1</v>
      </c>
      <c r="K387" s="339" t="s">
        <v>230</v>
      </c>
      <c r="L387" s="334">
        <f t="shared" si="294"/>
        <v>34.0625</v>
      </c>
      <c r="M387" s="335" t="str">
        <f t="shared" si="265"/>
        <v>US$2014/ kg of protein</v>
      </c>
      <c r="N387" s="227"/>
      <c r="O387" s="227" t="s">
        <v>267</v>
      </c>
      <c r="Q387" s="228"/>
      <c r="R387" s="231">
        <f t="shared" si="277"/>
        <v>34.0625</v>
      </c>
      <c r="S387" s="230">
        <f t="shared" si="266"/>
        <v>34.0625</v>
      </c>
      <c r="T387" s="231"/>
      <c r="U387" s="232" t="str">
        <f t="shared" si="267"/>
        <v>US$2014/ kg of protein</v>
      </c>
      <c r="V387" s="28"/>
      <c r="W387" s="28"/>
      <c r="Y387" s="139"/>
      <c r="AO387" s="139"/>
      <c r="AP387" s="28"/>
      <c r="AQ387" s="28"/>
      <c r="AR387" s="237"/>
      <c r="AS387" s="28"/>
      <c r="AT387" s="304" t="str">
        <f t="shared" si="290"/>
        <v/>
      </c>
      <c r="AU387" s="304" t="str">
        <f t="shared" si="290"/>
        <v/>
      </c>
      <c r="AV387" s="28"/>
      <c r="AW387" s="304" t="str">
        <f t="shared" si="281"/>
        <v/>
      </c>
      <c r="AX387" s="304" t="str">
        <f t="shared" si="281"/>
        <v/>
      </c>
      <c r="AY387" s="28"/>
      <c r="AZ387" s="304" t="str">
        <f t="shared" si="282"/>
        <v/>
      </c>
      <c r="BA387" s="304" t="str">
        <f t="shared" si="282"/>
        <v/>
      </c>
      <c r="BB387" s="28"/>
      <c r="BC387" s="304" t="str">
        <f t="shared" si="283"/>
        <v/>
      </c>
      <c r="BD387" s="304" t="str">
        <f t="shared" si="283"/>
        <v/>
      </c>
      <c r="BE387" s="28"/>
      <c r="BF387" s="304">
        <f t="shared" si="284"/>
        <v>34.0625</v>
      </c>
      <c r="BG387" s="304">
        <f t="shared" si="284"/>
        <v>34.0625</v>
      </c>
      <c r="BH387" s="28"/>
      <c r="BI387" s="304" t="str">
        <f t="shared" si="285"/>
        <v/>
      </c>
      <c r="BJ387" s="304" t="str">
        <f t="shared" si="285"/>
        <v/>
      </c>
      <c r="BK387" s="28"/>
      <c r="BL387" s="304" t="str">
        <f t="shared" si="286"/>
        <v/>
      </c>
      <c r="BM387" s="304" t="str">
        <f t="shared" si="286"/>
        <v/>
      </c>
      <c r="BN387" s="28"/>
      <c r="BO387" s="304" t="str">
        <f t="shared" si="287"/>
        <v/>
      </c>
      <c r="BP387" s="304" t="str">
        <f t="shared" si="287"/>
        <v/>
      </c>
      <c r="BQ387" s="28"/>
      <c r="BR387" s="304" t="str">
        <f t="shared" si="288"/>
        <v/>
      </c>
      <c r="BS387" s="304" t="str">
        <f t="shared" si="288"/>
        <v/>
      </c>
      <c r="BT387" s="28"/>
      <c r="BU387" s="304" t="str">
        <f t="shared" si="289"/>
        <v/>
      </c>
      <c r="BV387" s="304" t="str">
        <f t="shared" si="289"/>
        <v/>
      </c>
      <c r="BW387" s="28"/>
      <c r="BX387" s="139"/>
    </row>
    <row r="388" spans="1:76" s="122" customFormat="1" ht="15.95" customHeight="1" x14ac:dyDescent="0.25">
      <c r="A388" s="195">
        <v>58</v>
      </c>
      <c r="B388" s="216" t="str">
        <f t="shared" si="264"/>
        <v>Middle East and Africa: FAO. 2017. Global Livestock Environmental Assessment Model (GLEAM)</v>
      </c>
      <c r="C388" s="221" t="s">
        <v>227</v>
      </c>
      <c r="D388" s="221" t="s">
        <v>252</v>
      </c>
      <c r="E388" s="221" t="s">
        <v>99</v>
      </c>
      <c r="F388" s="221" t="s">
        <v>253</v>
      </c>
      <c r="G388" s="340" t="s">
        <v>26</v>
      </c>
      <c r="H388" s="221">
        <v>2017</v>
      </c>
      <c r="I388" s="340"/>
      <c r="J388" s="338">
        <f t="shared" si="298"/>
        <v>1</v>
      </c>
      <c r="K388" s="339" t="s">
        <v>230</v>
      </c>
      <c r="L388" s="334">
        <f t="shared" si="294"/>
        <v>34.0625</v>
      </c>
      <c r="M388" s="335" t="str">
        <f t="shared" si="265"/>
        <v>US$2014/ kg of protein</v>
      </c>
      <c r="N388" s="227"/>
      <c r="O388" s="227" t="s">
        <v>268</v>
      </c>
      <c r="Q388" s="228"/>
      <c r="R388" s="231">
        <f t="shared" si="277"/>
        <v>34.0625</v>
      </c>
      <c r="S388" s="230">
        <f t="shared" si="266"/>
        <v>34.0625</v>
      </c>
      <c r="T388" s="231"/>
      <c r="U388" s="232" t="str">
        <f t="shared" si="267"/>
        <v>US$2014/ kg of protein</v>
      </c>
      <c r="V388" s="28"/>
      <c r="W388" s="28"/>
      <c r="Y388" s="139"/>
      <c r="AO388" s="139"/>
      <c r="AP388" s="28"/>
      <c r="AQ388" s="28"/>
      <c r="AR388" s="237"/>
      <c r="AS388" s="28"/>
      <c r="AT388" s="304" t="str">
        <f t="shared" si="290"/>
        <v/>
      </c>
      <c r="AU388" s="304" t="str">
        <f t="shared" si="290"/>
        <v/>
      </c>
      <c r="AV388" s="28"/>
      <c r="AW388" s="304" t="str">
        <f t="shared" si="281"/>
        <v/>
      </c>
      <c r="AX388" s="304" t="str">
        <f t="shared" si="281"/>
        <v/>
      </c>
      <c r="AY388" s="28"/>
      <c r="AZ388" s="304" t="str">
        <f t="shared" si="282"/>
        <v/>
      </c>
      <c r="BA388" s="304" t="str">
        <f t="shared" si="282"/>
        <v/>
      </c>
      <c r="BB388" s="28"/>
      <c r="BC388" s="304" t="str">
        <f t="shared" si="283"/>
        <v/>
      </c>
      <c r="BD388" s="304" t="str">
        <f t="shared" si="283"/>
        <v/>
      </c>
      <c r="BE388" s="28"/>
      <c r="BF388" s="304">
        <f t="shared" si="284"/>
        <v>34.0625</v>
      </c>
      <c r="BG388" s="304">
        <f t="shared" si="284"/>
        <v>34.0625</v>
      </c>
      <c r="BH388" s="28"/>
      <c r="BI388" s="304" t="str">
        <f t="shared" si="285"/>
        <v/>
      </c>
      <c r="BJ388" s="304" t="str">
        <f t="shared" si="285"/>
        <v/>
      </c>
      <c r="BK388" s="28"/>
      <c r="BL388" s="304" t="str">
        <f t="shared" si="286"/>
        <v/>
      </c>
      <c r="BM388" s="304" t="str">
        <f t="shared" si="286"/>
        <v/>
      </c>
      <c r="BN388" s="28"/>
      <c r="BO388" s="304" t="str">
        <f t="shared" si="287"/>
        <v/>
      </c>
      <c r="BP388" s="304" t="str">
        <f t="shared" si="287"/>
        <v/>
      </c>
      <c r="BQ388" s="28"/>
      <c r="BR388" s="304" t="str">
        <f t="shared" si="288"/>
        <v/>
      </c>
      <c r="BS388" s="304" t="str">
        <f t="shared" si="288"/>
        <v/>
      </c>
      <c r="BT388" s="28"/>
      <c r="BU388" s="304" t="str">
        <f t="shared" si="289"/>
        <v/>
      </c>
      <c r="BV388" s="304" t="str">
        <f t="shared" si="289"/>
        <v/>
      </c>
      <c r="BW388" s="28"/>
      <c r="BX388" s="139"/>
    </row>
    <row r="389" spans="1:76" s="122" customFormat="1" ht="15.95" customHeight="1" x14ac:dyDescent="0.25">
      <c r="A389" s="195">
        <v>59</v>
      </c>
      <c r="B389" s="216" t="str">
        <f t="shared" si="264"/>
        <v>Asia (Sans Japan): FAO. 2017. Global Livestock Environmental Assessment Model (GLEAM)</v>
      </c>
      <c r="C389" s="221" t="s">
        <v>227</v>
      </c>
      <c r="D389" s="221" t="s">
        <v>269</v>
      </c>
      <c r="E389" s="221" t="s">
        <v>98</v>
      </c>
      <c r="F389" s="221" t="s">
        <v>270</v>
      </c>
      <c r="G389" s="340" t="s">
        <v>26</v>
      </c>
      <c r="H389" s="221">
        <v>2017</v>
      </c>
      <c r="I389" s="340"/>
      <c r="J389" s="338">
        <v>1.9</v>
      </c>
      <c r="K389" s="339" t="s">
        <v>230</v>
      </c>
      <c r="L389" s="334">
        <f t="shared" si="294"/>
        <v>17.92763157894737</v>
      </c>
      <c r="M389" s="335" t="str">
        <f t="shared" si="265"/>
        <v>US$2014/ kg of protein</v>
      </c>
      <c r="N389" s="227"/>
      <c r="O389" s="227" t="s">
        <v>271</v>
      </c>
      <c r="Q389" s="228"/>
      <c r="R389" s="231">
        <f t="shared" si="277"/>
        <v>17.92763157894737</v>
      </c>
      <c r="S389" s="230">
        <f t="shared" si="266"/>
        <v>17.92763157894737</v>
      </c>
      <c r="T389" s="231"/>
      <c r="U389" s="232" t="str">
        <f t="shared" si="267"/>
        <v>US$2014/ kg of protein</v>
      </c>
      <c r="V389" s="28"/>
      <c r="W389" s="28"/>
      <c r="Y389" s="139"/>
      <c r="AO389" s="139"/>
      <c r="AP389" s="28"/>
      <c r="AQ389" s="28"/>
      <c r="AR389" s="237"/>
      <c r="AS389" s="28"/>
      <c r="AT389" s="304" t="str">
        <f t="shared" si="290"/>
        <v/>
      </c>
      <c r="AU389" s="304" t="str">
        <f t="shared" si="290"/>
        <v/>
      </c>
      <c r="AV389" s="28"/>
      <c r="AW389" s="304" t="str">
        <f t="shared" si="281"/>
        <v/>
      </c>
      <c r="AX389" s="304" t="str">
        <f t="shared" si="281"/>
        <v/>
      </c>
      <c r="AY389" s="28"/>
      <c r="AZ389" s="304" t="str">
        <f t="shared" si="282"/>
        <v/>
      </c>
      <c r="BA389" s="304" t="str">
        <f t="shared" si="282"/>
        <v/>
      </c>
      <c r="BB389" s="28"/>
      <c r="BC389" s="304">
        <f t="shared" si="283"/>
        <v>17.92763157894737</v>
      </c>
      <c r="BD389" s="304">
        <f t="shared" si="283"/>
        <v>17.92763157894737</v>
      </c>
      <c r="BE389" s="28"/>
      <c r="BF389" s="304" t="str">
        <f t="shared" si="284"/>
        <v/>
      </c>
      <c r="BG389" s="304" t="str">
        <f t="shared" si="284"/>
        <v/>
      </c>
      <c r="BH389" s="28"/>
      <c r="BI389" s="304" t="str">
        <f t="shared" si="285"/>
        <v/>
      </c>
      <c r="BJ389" s="304" t="str">
        <f t="shared" si="285"/>
        <v/>
      </c>
      <c r="BK389" s="28"/>
      <c r="BL389" s="304" t="str">
        <f t="shared" si="286"/>
        <v/>
      </c>
      <c r="BM389" s="304" t="str">
        <f t="shared" si="286"/>
        <v/>
      </c>
      <c r="BN389" s="28"/>
      <c r="BO389" s="304" t="str">
        <f t="shared" si="287"/>
        <v/>
      </c>
      <c r="BP389" s="304" t="str">
        <f t="shared" si="287"/>
        <v/>
      </c>
      <c r="BQ389" s="28"/>
      <c r="BR389" s="304" t="str">
        <f t="shared" si="288"/>
        <v/>
      </c>
      <c r="BS389" s="304" t="str">
        <f t="shared" si="288"/>
        <v/>
      </c>
      <c r="BT389" s="28"/>
      <c r="BU389" s="304" t="str">
        <f t="shared" si="289"/>
        <v/>
      </c>
      <c r="BV389" s="304" t="str">
        <f t="shared" si="289"/>
        <v/>
      </c>
      <c r="BW389" s="28"/>
      <c r="BX389" s="139"/>
    </row>
    <row r="390" spans="1:76" s="122" customFormat="1" ht="15.95" customHeight="1" x14ac:dyDescent="0.25">
      <c r="A390" s="195">
        <v>60</v>
      </c>
      <c r="B390" s="216" t="str">
        <f t="shared" si="264"/>
        <v>Asia (Sans Japan): FAO. 2017. Global Livestock Environmental Assessment Model (GLEAM)</v>
      </c>
      <c r="C390" s="221" t="s">
        <v>227</v>
      </c>
      <c r="D390" s="221" t="s">
        <v>269</v>
      </c>
      <c r="E390" s="221" t="s">
        <v>98</v>
      </c>
      <c r="F390" s="221" t="s">
        <v>270</v>
      </c>
      <c r="G390" s="340" t="s">
        <v>26</v>
      </c>
      <c r="H390" s="221">
        <v>2017</v>
      </c>
      <c r="I390" s="340"/>
      <c r="J390" s="338">
        <v>1.88</v>
      </c>
      <c r="K390" s="339" t="s">
        <v>230</v>
      </c>
      <c r="L390" s="334">
        <f t="shared" si="294"/>
        <v>18.118351063829788</v>
      </c>
      <c r="M390" s="335" t="str">
        <f t="shared" si="265"/>
        <v>US$2014/ kg of protein</v>
      </c>
      <c r="N390" s="227"/>
      <c r="O390" s="227" t="s">
        <v>272</v>
      </c>
      <c r="Q390" s="228"/>
      <c r="R390" s="231">
        <f t="shared" si="277"/>
        <v>18.118351063829788</v>
      </c>
      <c r="S390" s="230">
        <f t="shared" si="266"/>
        <v>18.118351063829788</v>
      </c>
      <c r="T390" s="231"/>
      <c r="U390" s="232" t="str">
        <f t="shared" si="267"/>
        <v>US$2014/ kg of protein</v>
      </c>
      <c r="V390" s="28"/>
      <c r="W390" s="28"/>
      <c r="Y390" s="139"/>
      <c r="AO390" s="139"/>
      <c r="AP390" s="28"/>
      <c r="AQ390" s="28"/>
      <c r="AR390" s="237"/>
      <c r="AS390" s="28"/>
      <c r="AT390" s="304" t="str">
        <f t="shared" si="290"/>
        <v/>
      </c>
      <c r="AU390" s="304" t="str">
        <f t="shared" si="290"/>
        <v/>
      </c>
      <c r="AV390" s="28"/>
      <c r="AW390" s="304" t="str">
        <f t="shared" si="281"/>
        <v/>
      </c>
      <c r="AX390" s="304" t="str">
        <f t="shared" si="281"/>
        <v/>
      </c>
      <c r="AY390" s="28"/>
      <c r="AZ390" s="304" t="str">
        <f t="shared" si="282"/>
        <v/>
      </c>
      <c r="BA390" s="304" t="str">
        <f t="shared" si="282"/>
        <v/>
      </c>
      <c r="BB390" s="28"/>
      <c r="BC390" s="304">
        <f t="shared" si="283"/>
        <v>18.118351063829788</v>
      </c>
      <c r="BD390" s="304">
        <f t="shared" si="283"/>
        <v>18.118351063829788</v>
      </c>
      <c r="BE390" s="28"/>
      <c r="BF390" s="304" t="str">
        <f t="shared" si="284"/>
        <v/>
      </c>
      <c r="BG390" s="304" t="str">
        <f t="shared" si="284"/>
        <v/>
      </c>
      <c r="BH390" s="28"/>
      <c r="BI390" s="304" t="str">
        <f t="shared" si="285"/>
        <v/>
      </c>
      <c r="BJ390" s="304" t="str">
        <f t="shared" si="285"/>
        <v/>
      </c>
      <c r="BK390" s="28"/>
      <c r="BL390" s="304" t="str">
        <f t="shared" si="286"/>
        <v/>
      </c>
      <c r="BM390" s="304" t="str">
        <f t="shared" si="286"/>
        <v/>
      </c>
      <c r="BN390" s="28"/>
      <c r="BO390" s="304" t="str">
        <f t="shared" si="287"/>
        <v/>
      </c>
      <c r="BP390" s="304" t="str">
        <f t="shared" si="287"/>
        <v/>
      </c>
      <c r="BQ390" s="28"/>
      <c r="BR390" s="304" t="str">
        <f t="shared" si="288"/>
        <v/>
      </c>
      <c r="BS390" s="304" t="str">
        <f t="shared" si="288"/>
        <v/>
      </c>
      <c r="BT390" s="28"/>
      <c r="BU390" s="304" t="str">
        <f t="shared" si="289"/>
        <v/>
      </c>
      <c r="BV390" s="304" t="str">
        <f t="shared" si="289"/>
        <v/>
      </c>
      <c r="BW390" s="28"/>
      <c r="BX390" s="139"/>
    </row>
    <row r="391" spans="1:76" s="122" customFormat="1" ht="15.95" customHeight="1" x14ac:dyDescent="0.25">
      <c r="A391" s="195">
        <v>61</v>
      </c>
      <c r="B391" s="216" t="str">
        <f t="shared" si="264"/>
        <v>Asia (Sans Japan): FAO. 2017. Global Livestock Environmental Assessment Model (GLEAM)</v>
      </c>
      <c r="C391" s="221" t="s">
        <v>227</v>
      </c>
      <c r="D391" s="221" t="s">
        <v>269</v>
      </c>
      <c r="E391" s="221" t="s">
        <v>98</v>
      </c>
      <c r="F391" s="221" t="s">
        <v>270</v>
      </c>
      <c r="G391" s="340" t="s">
        <v>26</v>
      </c>
      <c r="H391" s="221">
        <v>2017</v>
      </c>
      <c r="I391" s="340"/>
      <c r="J391" s="338">
        <v>2.08</v>
      </c>
      <c r="K391" s="339" t="s">
        <v>230</v>
      </c>
      <c r="L391" s="334">
        <f t="shared" si="294"/>
        <v>16.376201923076923</v>
      </c>
      <c r="M391" s="335" t="str">
        <f t="shared" si="265"/>
        <v>US$2014/ kg of protein</v>
      </c>
      <c r="N391" s="227"/>
      <c r="O391" s="227" t="s">
        <v>273</v>
      </c>
      <c r="Q391" s="228"/>
      <c r="R391" s="231">
        <f t="shared" si="277"/>
        <v>16.376201923076923</v>
      </c>
      <c r="S391" s="230">
        <f t="shared" si="266"/>
        <v>16.376201923076923</v>
      </c>
      <c r="T391" s="231"/>
      <c r="U391" s="232" t="str">
        <f t="shared" si="267"/>
        <v>US$2014/ kg of protein</v>
      </c>
      <c r="V391" s="28"/>
      <c r="W391" s="28"/>
      <c r="Y391" s="139"/>
      <c r="AO391" s="139"/>
      <c r="AP391" s="28"/>
      <c r="AQ391" s="28"/>
      <c r="AR391" s="237"/>
      <c r="AS391" s="28"/>
      <c r="AT391" s="304" t="str">
        <f t="shared" si="290"/>
        <v/>
      </c>
      <c r="AU391" s="304" t="str">
        <f t="shared" si="290"/>
        <v/>
      </c>
      <c r="AV391" s="28"/>
      <c r="AW391" s="304" t="str">
        <f t="shared" si="281"/>
        <v/>
      </c>
      <c r="AX391" s="304" t="str">
        <f t="shared" si="281"/>
        <v/>
      </c>
      <c r="AY391" s="28"/>
      <c r="AZ391" s="304" t="str">
        <f t="shared" si="282"/>
        <v/>
      </c>
      <c r="BA391" s="304" t="str">
        <f t="shared" si="282"/>
        <v/>
      </c>
      <c r="BB391" s="28"/>
      <c r="BC391" s="304">
        <f t="shared" si="283"/>
        <v>16.376201923076923</v>
      </c>
      <c r="BD391" s="304">
        <f t="shared" si="283"/>
        <v>16.376201923076923</v>
      </c>
      <c r="BE391" s="28"/>
      <c r="BF391" s="304" t="str">
        <f t="shared" si="284"/>
        <v/>
      </c>
      <c r="BG391" s="304" t="str">
        <f t="shared" si="284"/>
        <v/>
      </c>
      <c r="BH391" s="28"/>
      <c r="BI391" s="304" t="str">
        <f t="shared" si="285"/>
        <v/>
      </c>
      <c r="BJ391" s="304" t="str">
        <f t="shared" si="285"/>
        <v/>
      </c>
      <c r="BK391" s="28"/>
      <c r="BL391" s="304" t="str">
        <f t="shared" si="286"/>
        <v/>
      </c>
      <c r="BM391" s="304" t="str">
        <f t="shared" si="286"/>
        <v/>
      </c>
      <c r="BN391" s="28"/>
      <c r="BO391" s="304" t="str">
        <f t="shared" si="287"/>
        <v/>
      </c>
      <c r="BP391" s="304" t="str">
        <f t="shared" si="287"/>
        <v/>
      </c>
      <c r="BQ391" s="28"/>
      <c r="BR391" s="304" t="str">
        <f t="shared" si="288"/>
        <v/>
      </c>
      <c r="BS391" s="304" t="str">
        <f t="shared" si="288"/>
        <v/>
      </c>
      <c r="BT391" s="28"/>
      <c r="BU391" s="304" t="str">
        <f t="shared" si="289"/>
        <v/>
      </c>
      <c r="BV391" s="304" t="str">
        <f t="shared" si="289"/>
        <v/>
      </c>
      <c r="BW391" s="28"/>
      <c r="BX391" s="139"/>
    </row>
    <row r="392" spans="1:76" s="122" customFormat="1" ht="15.95" customHeight="1" x14ac:dyDescent="0.25">
      <c r="A392" s="195">
        <v>62</v>
      </c>
      <c r="B392" s="216" t="str">
        <f t="shared" si="264"/>
        <v>Asia (Sans Japan): FAO. 2017. Global Livestock Environmental Assessment Model (GLEAM)</v>
      </c>
      <c r="C392" s="221" t="s">
        <v>227</v>
      </c>
      <c r="D392" s="221" t="s">
        <v>269</v>
      </c>
      <c r="E392" s="221" t="s">
        <v>98</v>
      </c>
      <c r="F392" s="221" t="s">
        <v>270</v>
      </c>
      <c r="G392" s="340" t="s">
        <v>26</v>
      </c>
      <c r="H392" s="221">
        <v>2017</v>
      </c>
      <c r="I392" s="340"/>
      <c r="J392" s="338">
        <v>2.95</v>
      </c>
      <c r="K392" s="339" t="s">
        <v>230</v>
      </c>
      <c r="L392" s="334">
        <f t="shared" si="294"/>
        <v>11.546610169491526</v>
      </c>
      <c r="M392" s="335" t="str">
        <f t="shared" si="265"/>
        <v>US$2014/ kg of protein</v>
      </c>
      <c r="N392" s="227"/>
      <c r="O392" s="227" t="s">
        <v>274</v>
      </c>
      <c r="Q392" s="228"/>
      <c r="R392" s="231">
        <f t="shared" si="277"/>
        <v>11.546610169491526</v>
      </c>
      <c r="S392" s="230">
        <f t="shared" si="266"/>
        <v>11.546610169491526</v>
      </c>
      <c r="T392" s="231">
        <f>IF(OR(Q392="Y",IFERROR(R392&gt;R476+R480*$AA$35,0),IFERROR(R392&lt;R476-R480*$AA$35,0)),"",IFERROR(R392*N392,""))</f>
        <v>0</v>
      </c>
      <c r="U392" s="232" t="str">
        <f t="shared" si="267"/>
        <v>US$2014/ kg of protein</v>
      </c>
      <c r="V392" s="28"/>
      <c r="W392" s="28"/>
      <c r="Y392" s="139"/>
      <c r="AO392" s="139"/>
      <c r="AP392" s="28"/>
      <c r="AQ392" s="28"/>
      <c r="AR392" s="237"/>
      <c r="AS392" s="28"/>
      <c r="AT392" s="304" t="str">
        <f t="shared" si="290"/>
        <v/>
      </c>
      <c r="AU392" s="304" t="str">
        <f t="shared" si="290"/>
        <v/>
      </c>
      <c r="AV392" s="28"/>
      <c r="AW392" s="304" t="str">
        <f t="shared" si="281"/>
        <v/>
      </c>
      <c r="AX392" s="304" t="str">
        <f t="shared" si="281"/>
        <v/>
      </c>
      <c r="AY392" s="28"/>
      <c r="AZ392" s="304" t="str">
        <f t="shared" si="282"/>
        <v/>
      </c>
      <c r="BA392" s="304" t="str">
        <f t="shared" si="282"/>
        <v/>
      </c>
      <c r="BB392" s="28"/>
      <c r="BC392" s="304">
        <f t="shared" si="283"/>
        <v>11.546610169491526</v>
      </c>
      <c r="BD392" s="304">
        <f t="shared" si="283"/>
        <v>11.546610169491526</v>
      </c>
      <c r="BE392" s="28"/>
      <c r="BF392" s="304" t="str">
        <f t="shared" si="284"/>
        <v/>
      </c>
      <c r="BG392" s="304" t="str">
        <f t="shared" si="284"/>
        <v/>
      </c>
      <c r="BH392" s="28"/>
      <c r="BI392" s="304" t="str">
        <f t="shared" si="285"/>
        <v/>
      </c>
      <c r="BJ392" s="304" t="str">
        <f t="shared" si="285"/>
        <v/>
      </c>
      <c r="BK392" s="28"/>
      <c r="BL392" s="304" t="str">
        <f t="shared" si="286"/>
        <v/>
      </c>
      <c r="BM392" s="304" t="str">
        <f t="shared" si="286"/>
        <v/>
      </c>
      <c r="BN392" s="28"/>
      <c r="BO392" s="304" t="str">
        <f t="shared" si="287"/>
        <v/>
      </c>
      <c r="BP392" s="304" t="str">
        <f t="shared" si="287"/>
        <v/>
      </c>
      <c r="BQ392" s="28"/>
      <c r="BR392" s="304" t="str">
        <f t="shared" si="288"/>
        <v/>
      </c>
      <c r="BS392" s="304" t="str">
        <f t="shared" si="288"/>
        <v/>
      </c>
      <c r="BT392" s="28"/>
      <c r="BU392" s="304" t="str">
        <f t="shared" si="289"/>
        <v/>
      </c>
      <c r="BV392" s="304" t="str">
        <f t="shared" si="289"/>
        <v/>
      </c>
      <c r="BW392" s="28"/>
      <c r="BX392" s="139"/>
    </row>
    <row r="393" spans="1:76" s="122" customFormat="1" ht="15.95" customHeight="1" x14ac:dyDescent="0.25">
      <c r="A393" s="195">
        <v>63</v>
      </c>
      <c r="B393" s="216" t="str">
        <f t="shared" si="264"/>
        <v>Asia (Sans Japan): FAO. 2017. Global Livestock Environmental Assessment Model (GLEAM)</v>
      </c>
      <c r="C393" s="221" t="s">
        <v>227</v>
      </c>
      <c r="D393" s="221" t="s">
        <v>269</v>
      </c>
      <c r="E393" s="221" t="s">
        <v>98</v>
      </c>
      <c r="F393" s="221" t="s">
        <v>270</v>
      </c>
      <c r="G393" s="340" t="s">
        <v>26</v>
      </c>
      <c r="H393" s="221">
        <v>2017</v>
      </c>
      <c r="I393" s="340"/>
      <c r="J393" s="338">
        <v>1.79</v>
      </c>
      <c r="K393" s="339" t="s">
        <v>230</v>
      </c>
      <c r="L393" s="334">
        <f t="shared" si="294"/>
        <v>19.029329608938546</v>
      </c>
      <c r="M393" s="335" t="str">
        <f t="shared" si="265"/>
        <v>US$2014/ kg of protein</v>
      </c>
      <c r="N393" s="227"/>
      <c r="O393" s="227" t="s">
        <v>275</v>
      </c>
      <c r="Q393" s="228"/>
      <c r="R393" s="231">
        <f t="shared" si="277"/>
        <v>19.029329608938546</v>
      </c>
      <c r="S393" s="230">
        <f t="shared" si="266"/>
        <v>19.029329608938546</v>
      </c>
      <c r="T393" s="231"/>
      <c r="U393" s="232" t="str">
        <f t="shared" si="267"/>
        <v>US$2014/ kg of protein</v>
      </c>
      <c r="V393" s="28"/>
      <c r="W393" s="28"/>
      <c r="Y393" s="139"/>
      <c r="AO393" s="139"/>
      <c r="AP393" s="28"/>
      <c r="AQ393" s="28"/>
      <c r="AR393" s="237"/>
      <c r="AS393" s="28"/>
      <c r="AT393" s="304" t="str">
        <f t="shared" si="290"/>
        <v/>
      </c>
      <c r="AU393" s="304" t="str">
        <f t="shared" si="290"/>
        <v/>
      </c>
      <c r="AV393" s="28"/>
      <c r="AW393" s="304" t="str">
        <f t="shared" si="281"/>
        <v/>
      </c>
      <c r="AX393" s="304" t="str">
        <f t="shared" si="281"/>
        <v/>
      </c>
      <c r="AY393" s="28"/>
      <c r="AZ393" s="304" t="str">
        <f t="shared" si="282"/>
        <v/>
      </c>
      <c r="BA393" s="304" t="str">
        <f t="shared" si="282"/>
        <v/>
      </c>
      <c r="BB393" s="28"/>
      <c r="BC393" s="304">
        <f t="shared" si="283"/>
        <v>19.029329608938546</v>
      </c>
      <c r="BD393" s="304">
        <f t="shared" si="283"/>
        <v>19.029329608938546</v>
      </c>
      <c r="BE393" s="28"/>
      <c r="BF393" s="304" t="str">
        <f t="shared" si="284"/>
        <v/>
      </c>
      <c r="BG393" s="304" t="str">
        <f t="shared" si="284"/>
        <v/>
      </c>
      <c r="BH393" s="28"/>
      <c r="BI393" s="304" t="str">
        <f t="shared" si="285"/>
        <v/>
      </c>
      <c r="BJ393" s="304" t="str">
        <f t="shared" si="285"/>
        <v/>
      </c>
      <c r="BK393" s="28"/>
      <c r="BL393" s="304" t="str">
        <f t="shared" si="286"/>
        <v/>
      </c>
      <c r="BM393" s="304" t="str">
        <f t="shared" si="286"/>
        <v/>
      </c>
      <c r="BN393" s="28"/>
      <c r="BO393" s="304" t="str">
        <f t="shared" si="287"/>
        <v/>
      </c>
      <c r="BP393" s="304" t="str">
        <f t="shared" si="287"/>
        <v/>
      </c>
      <c r="BQ393" s="28"/>
      <c r="BR393" s="304" t="str">
        <f t="shared" si="288"/>
        <v/>
      </c>
      <c r="BS393" s="304" t="str">
        <f t="shared" si="288"/>
        <v/>
      </c>
      <c r="BT393" s="28"/>
      <c r="BU393" s="304" t="str">
        <f t="shared" si="289"/>
        <v/>
      </c>
      <c r="BV393" s="304" t="str">
        <f t="shared" si="289"/>
        <v/>
      </c>
      <c r="BW393" s="28"/>
      <c r="BX393" s="139"/>
    </row>
    <row r="394" spans="1:76" s="122" customFormat="1" ht="15.95" customHeight="1" x14ac:dyDescent="0.25">
      <c r="A394" s="195">
        <v>64</v>
      </c>
      <c r="B394" s="216" t="str">
        <f t="shared" si="264"/>
        <v>Asia (Sans Japan): FAO. 2017. Global Livestock Environmental Assessment Model (GLEAM)</v>
      </c>
      <c r="C394" s="221" t="s">
        <v>227</v>
      </c>
      <c r="D394" s="221" t="s">
        <v>269</v>
      </c>
      <c r="E394" s="221" t="s">
        <v>98</v>
      </c>
      <c r="F394" s="221" t="s">
        <v>270</v>
      </c>
      <c r="G394" s="340" t="s">
        <v>26</v>
      </c>
      <c r="H394" s="221">
        <v>2017</v>
      </c>
      <c r="I394" s="340"/>
      <c r="J394" s="338">
        <v>2.8</v>
      </c>
      <c r="K394" s="339" t="s">
        <v>230</v>
      </c>
      <c r="L394" s="334">
        <f t="shared" si="294"/>
        <v>12.165178571428573</v>
      </c>
      <c r="M394" s="335" t="str">
        <f t="shared" si="265"/>
        <v>US$2014/ kg of protein</v>
      </c>
      <c r="N394" s="227"/>
      <c r="O394" s="227" t="s">
        <v>276</v>
      </c>
      <c r="Q394" s="228"/>
      <c r="R394" s="231">
        <f t="shared" si="277"/>
        <v>12.165178571428573</v>
      </c>
      <c r="S394" s="230">
        <f t="shared" si="266"/>
        <v>12.165178571428573</v>
      </c>
      <c r="T394" s="231"/>
      <c r="U394" s="232" t="str">
        <f t="shared" si="267"/>
        <v>US$2014/ kg of protein</v>
      </c>
      <c r="V394" s="28"/>
      <c r="W394" s="28"/>
      <c r="Y394" s="139"/>
      <c r="AO394" s="139"/>
      <c r="AP394" s="28"/>
      <c r="AQ394" s="28"/>
      <c r="AR394" s="237"/>
      <c r="AS394" s="28"/>
      <c r="AT394" s="304" t="str">
        <f t="shared" si="290"/>
        <v/>
      </c>
      <c r="AU394" s="304" t="str">
        <f t="shared" si="290"/>
        <v/>
      </c>
      <c r="AV394" s="28"/>
      <c r="AW394" s="304" t="str">
        <f t="shared" si="281"/>
        <v/>
      </c>
      <c r="AX394" s="304" t="str">
        <f t="shared" si="281"/>
        <v/>
      </c>
      <c r="AY394" s="28"/>
      <c r="AZ394" s="304" t="str">
        <f t="shared" si="282"/>
        <v/>
      </c>
      <c r="BA394" s="304" t="str">
        <f t="shared" si="282"/>
        <v/>
      </c>
      <c r="BB394" s="28"/>
      <c r="BC394" s="304">
        <f t="shared" si="283"/>
        <v>12.165178571428573</v>
      </c>
      <c r="BD394" s="304">
        <f t="shared" si="283"/>
        <v>12.165178571428573</v>
      </c>
      <c r="BE394" s="28"/>
      <c r="BF394" s="304" t="str">
        <f t="shared" si="284"/>
        <v/>
      </c>
      <c r="BG394" s="304" t="str">
        <f t="shared" si="284"/>
        <v/>
      </c>
      <c r="BH394" s="28"/>
      <c r="BI394" s="304" t="str">
        <f t="shared" si="285"/>
        <v/>
      </c>
      <c r="BJ394" s="304" t="str">
        <f t="shared" si="285"/>
        <v/>
      </c>
      <c r="BK394" s="28"/>
      <c r="BL394" s="304" t="str">
        <f t="shared" si="286"/>
        <v/>
      </c>
      <c r="BM394" s="304" t="str">
        <f t="shared" si="286"/>
        <v/>
      </c>
      <c r="BN394" s="28"/>
      <c r="BO394" s="304" t="str">
        <f t="shared" si="287"/>
        <v/>
      </c>
      <c r="BP394" s="304" t="str">
        <f t="shared" si="287"/>
        <v/>
      </c>
      <c r="BQ394" s="28"/>
      <c r="BR394" s="304" t="str">
        <f t="shared" si="288"/>
        <v/>
      </c>
      <c r="BS394" s="304" t="str">
        <f t="shared" si="288"/>
        <v/>
      </c>
      <c r="BT394" s="28"/>
      <c r="BU394" s="304" t="str">
        <f t="shared" si="289"/>
        <v/>
      </c>
      <c r="BV394" s="304" t="str">
        <f t="shared" si="289"/>
        <v/>
      </c>
      <c r="BW394" s="28"/>
      <c r="BX394" s="139"/>
    </row>
    <row r="395" spans="1:76" s="122" customFormat="1" ht="15.95" customHeight="1" x14ac:dyDescent="0.25">
      <c r="A395" s="195">
        <v>65</v>
      </c>
      <c r="B395" s="216" t="str">
        <f t="shared" si="264"/>
        <v>Asia (Sans Japan): FAO. 2017. Global Livestock Environmental Assessment Model (GLEAM)</v>
      </c>
      <c r="C395" s="221" t="s">
        <v>227</v>
      </c>
      <c r="D395" s="221" t="s">
        <v>269</v>
      </c>
      <c r="E395" s="221" t="s">
        <v>98</v>
      </c>
      <c r="F395" s="221" t="s">
        <v>270</v>
      </c>
      <c r="G395" s="340" t="s">
        <v>26</v>
      </c>
      <c r="H395" s="221">
        <v>2017</v>
      </c>
      <c r="I395" s="340"/>
      <c r="J395" s="338">
        <v>3.73</v>
      </c>
      <c r="K395" s="339" t="s">
        <v>230</v>
      </c>
      <c r="L395" s="334">
        <f t="shared" si="294"/>
        <v>9.1320375335120652</v>
      </c>
      <c r="M395" s="335" t="str">
        <f t="shared" si="265"/>
        <v>US$2014/ kg of protein</v>
      </c>
      <c r="N395" s="227"/>
      <c r="O395" s="227" t="s">
        <v>277</v>
      </c>
      <c r="Q395" s="228"/>
      <c r="R395" s="231">
        <f t="shared" si="277"/>
        <v>9.1320375335120652</v>
      </c>
      <c r="S395" s="230">
        <f t="shared" ref="S395:S430" si="299">IF(R395="","",IF($R$441="Y",T395,IF(R395&gt;=$R$433-$AA$35*$R$437,IF(R395&lt;=$R$433+$AA$35*$R$437,R395,""),"")))</f>
        <v>9.1320375335120652</v>
      </c>
      <c r="T395" s="231"/>
      <c r="U395" s="232" t="str">
        <f t="shared" ref="U395:U477" si="300">IF(AND(M395="",K395=""),"",IF(M395="",K395,M395))</f>
        <v>US$2014/ kg of protein</v>
      </c>
      <c r="V395" s="28"/>
      <c r="W395" s="28"/>
      <c r="Y395" s="139"/>
      <c r="AO395" s="139"/>
      <c r="AP395" s="28"/>
      <c r="AQ395" s="28"/>
      <c r="AR395" s="237"/>
      <c r="AS395" s="28"/>
      <c r="AT395" s="304" t="str">
        <f t="shared" si="290"/>
        <v/>
      </c>
      <c r="AU395" s="304" t="str">
        <f t="shared" si="290"/>
        <v/>
      </c>
      <c r="AV395" s="28"/>
      <c r="AW395" s="304" t="str">
        <f t="shared" si="281"/>
        <v/>
      </c>
      <c r="AX395" s="304" t="str">
        <f t="shared" si="281"/>
        <v/>
      </c>
      <c r="AY395" s="28"/>
      <c r="AZ395" s="304" t="str">
        <f t="shared" si="282"/>
        <v/>
      </c>
      <c r="BA395" s="304" t="str">
        <f t="shared" si="282"/>
        <v/>
      </c>
      <c r="BB395" s="28"/>
      <c r="BC395" s="304">
        <f t="shared" si="283"/>
        <v>9.1320375335120652</v>
      </c>
      <c r="BD395" s="304">
        <f t="shared" si="283"/>
        <v>9.1320375335120652</v>
      </c>
      <c r="BE395" s="28"/>
      <c r="BF395" s="304" t="str">
        <f t="shared" si="284"/>
        <v/>
      </c>
      <c r="BG395" s="304" t="str">
        <f t="shared" si="284"/>
        <v/>
      </c>
      <c r="BH395" s="28"/>
      <c r="BI395" s="304" t="str">
        <f t="shared" si="285"/>
        <v/>
      </c>
      <c r="BJ395" s="304" t="str">
        <f t="shared" si="285"/>
        <v/>
      </c>
      <c r="BK395" s="28"/>
      <c r="BL395" s="304" t="str">
        <f t="shared" si="286"/>
        <v/>
      </c>
      <c r="BM395" s="304" t="str">
        <f t="shared" si="286"/>
        <v/>
      </c>
      <c r="BN395" s="28"/>
      <c r="BO395" s="304" t="str">
        <f t="shared" si="287"/>
        <v/>
      </c>
      <c r="BP395" s="304" t="str">
        <f t="shared" si="287"/>
        <v/>
      </c>
      <c r="BQ395" s="28"/>
      <c r="BR395" s="304" t="str">
        <f t="shared" si="288"/>
        <v/>
      </c>
      <c r="BS395" s="304" t="str">
        <f t="shared" si="288"/>
        <v/>
      </c>
      <c r="BT395" s="28"/>
      <c r="BU395" s="304" t="str">
        <f t="shared" si="289"/>
        <v/>
      </c>
      <c r="BV395" s="304" t="str">
        <f t="shared" si="289"/>
        <v/>
      </c>
      <c r="BW395" s="28"/>
      <c r="BX395" s="139"/>
    </row>
    <row r="396" spans="1:76" s="122" customFormat="1" ht="15.95" customHeight="1" x14ac:dyDescent="0.25">
      <c r="A396" s="195">
        <v>66</v>
      </c>
      <c r="B396" s="216" t="str">
        <f t="shared" si="264"/>
        <v>Asia (Sans Japan): FAO. 2017. Global Livestock Environmental Assessment Model (GLEAM)</v>
      </c>
      <c r="C396" s="221" t="s">
        <v>227</v>
      </c>
      <c r="D396" s="221" t="s">
        <v>269</v>
      </c>
      <c r="E396" s="221" t="s">
        <v>98</v>
      </c>
      <c r="F396" s="221" t="s">
        <v>270</v>
      </c>
      <c r="G396" s="340" t="s">
        <v>26</v>
      </c>
      <c r="H396" s="221">
        <v>2017</v>
      </c>
      <c r="I396" s="340"/>
      <c r="J396" s="338">
        <v>4.28</v>
      </c>
      <c r="K396" s="339" t="s">
        <v>230</v>
      </c>
      <c r="L396" s="334">
        <f t="shared" si="294"/>
        <v>7.9585280373831777</v>
      </c>
      <c r="M396" s="335" t="str">
        <f t="shared" si="265"/>
        <v>US$2014/ kg of protein</v>
      </c>
      <c r="N396" s="227"/>
      <c r="O396" s="227" t="s">
        <v>278</v>
      </c>
      <c r="Q396" s="228"/>
      <c r="R396" s="231">
        <f t="shared" ref="R396:R478" si="301">IF(Q396="Y","",IF(AND(L396="",J396=""),"",IF(L396="",J396,L396)))</f>
        <v>7.9585280373831777</v>
      </c>
      <c r="S396" s="230">
        <f t="shared" si="299"/>
        <v>7.9585280373831777</v>
      </c>
      <c r="T396" s="231"/>
      <c r="U396" s="232" t="str">
        <f t="shared" si="300"/>
        <v>US$2014/ kg of protein</v>
      </c>
      <c r="V396" s="28"/>
      <c r="W396" s="28"/>
      <c r="Y396" s="139"/>
      <c r="AO396" s="139"/>
      <c r="AP396" s="28"/>
      <c r="AQ396" s="28"/>
      <c r="AR396" s="237"/>
      <c r="AS396" s="28"/>
      <c r="AT396" s="304" t="str">
        <f t="shared" si="290"/>
        <v/>
      </c>
      <c r="AU396" s="304" t="str">
        <f t="shared" si="290"/>
        <v/>
      </c>
      <c r="AV396" s="28"/>
      <c r="AW396" s="304" t="str">
        <f t="shared" si="281"/>
        <v/>
      </c>
      <c r="AX396" s="304" t="str">
        <f t="shared" si="281"/>
        <v/>
      </c>
      <c r="AY396" s="28"/>
      <c r="AZ396" s="304" t="str">
        <f t="shared" si="282"/>
        <v/>
      </c>
      <c r="BA396" s="304" t="str">
        <f t="shared" si="282"/>
        <v/>
      </c>
      <c r="BB396" s="28"/>
      <c r="BC396" s="304">
        <f t="shared" si="283"/>
        <v>7.9585280373831777</v>
      </c>
      <c r="BD396" s="304">
        <f t="shared" si="283"/>
        <v>7.9585280373831777</v>
      </c>
      <c r="BE396" s="28"/>
      <c r="BF396" s="304" t="str">
        <f t="shared" si="284"/>
        <v/>
      </c>
      <c r="BG396" s="304" t="str">
        <f t="shared" si="284"/>
        <v/>
      </c>
      <c r="BH396" s="28"/>
      <c r="BI396" s="304" t="str">
        <f t="shared" si="285"/>
        <v/>
      </c>
      <c r="BJ396" s="304" t="str">
        <f t="shared" si="285"/>
        <v/>
      </c>
      <c r="BK396" s="28"/>
      <c r="BL396" s="304" t="str">
        <f t="shared" si="286"/>
        <v/>
      </c>
      <c r="BM396" s="304" t="str">
        <f t="shared" si="286"/>
        <v/>
      </c>
      <c r="BN396" s="28"/>
      <c r="BO396" s="304" t="str">
        <f t="shared" si="287"/>
        <v/>
      </c>
      <c r="BP396" s="304" t="str">
        <f t="shared" si="287"/>
        <v/>
      </c>
      <c r="BQ396" s="28"/>
      <c r="BR396" s="304" t="str">
        <f t="shared" si="288"/>
        <v/>
      </c>
      <c r="BS396" s="304" t="str">
        <f t="shared" si="288"/>
        <v/>
      </c>
      <c r="BT396" s="28"/>
      <c r="BU396" s="304" t="str">
        <f t="shared" si="289"/>
        <v/>
      </c>
      <c r="BV396" s="304" t="str">
        <f t="shared" si="289"/>
        <v/>
      </c>
      <c r="BW396" s="28"/>
      <c r="BX396" s="139"/>
    </row>
    <row r="397" spans="1:76" s="122" customFormat="1" ht="15.95" customHeight="1" x14ac:dyDescent="0.25">
      <c r="A397" s="195">
        <v>67</v>
      </c>
      <c r="B397" s="216" t="str">
        <f t="shared" si="264"/>
        <v>Middle East and Africa: FAO. 2017. Global Livestock Environmental Assessment Model (GLEAM)</v>
      </c>
      <c r="C397" s="221" t="s">
        <v>227</v>
      </c>
      <c r="D397" s="221" t="s">
        <v>279</v>
      </c>
      <c r="E397" s="221" t="s">
        <v>99</v>
      </c>
      <c r="F397" s="221" t="s">
        <v>280</v>
      </c>
      <c r="G397" s="340" t="s">
        <v>26</v>
      </c>
      <c r="H397" s="221">
        <v>2017</v>
      </c>
      <c r="I397" s="340"/>
      <c r="J397" s="338">
        <v>0.41</v>
      </c>
      <c r="K397" s="339" t="s">
        <v>230</v>
      </c>
      <c r="L397" s="334">
        <f t="shared" si="294"/>
        <v>83.079268292682926</v>
      </c>
      <c r="M397" s="335" t="str">
        <f t="shared" si="265"/>
        <v>US$2014/ kg of protein</v>
      </c>
      <c r="N397" s="227"/>
      <c r="O397" s="227" t="s">
        <v>281</v>
      </c>
      <c r="Q397" s="228"/>
      <c r="R397" s="231">
        <f>IF(Q397="Y","",IF(AND(L397="",J397=""),"",IF(L397="",J397,L397)))</f>
        <v>83.079268292682926</v>
      </c>
      <c r="S397" s="230" t="str">
        <f t="shared" si="299"/>
        <v/>
      </c>
      <c r="T397" s="231"/>
      <c r="U397" s="232" t="str">
        <f t="shared" si="300"/>
        <v>US$2014/ kg of protein</v>
      </c>
      <c r="V397" s="28"/>
      <c r="W397" s="28"/>
      <c r="Y397" s="139"/>
      <c r="AO397" s="139"/>
      <c r="AP397" s="28"/>
      <c r="AQ397" s="28"/>
      <c r="AR397" s="237"/>
      <c r="AS397" s="28"/>
      <c r="AT397" s="304" t="str">
        <f t="shared" si="290"/>
        <v/>
      </c>
      <c r="AU397" s="304" t="str">
        <f t="shared" si="290"/>
        <v/>
      </c>
      <c r="AV397" s="28"/>
      <c r="AW397" s="304" t="str">
        <f t="shared" si="281"/>
        <v/>
      </c>
      <c r="AX397" s="304" t="str">
        <f t="shared" si="281"/>
        <v/>
      </c>
      <c r="AY397" s="28"/>
      <c r="AZ397" s="304" t="str">
        <f t="shared" si="282"/>
        <v/>
      </c>
      <c r="BA397" s="304" t="str">
        <f t="shared" si="282"/>
        <v/>
      </c>
      <c r="BB397" s="28"/>
      <c r="BC397" s="304" t="str">
        <f t="shared" si="283"/>
        <v/>
      </c>
      <c r="BD397" s="304" t="str">
        <f t="shared" si="283"/>
        <v/>
      </c>
      <c r="BE397" s="28"/>
      <c r="BF397" s="304">
        <f t="shared" si="284"/>
        <v>83.079268292682926</v>
      </c>
      <c r="BG397" s="304" t="str">
        <f t="shared" si="284"/>
        <v/>
      </c>
      <c r="BH397" s="28"/>
      <c r="BI397" s="304" t="str">
        <f t="shared" si="285"/>
        <v/>
      </c>
      <c r="BJ397" s="304" t="str">
        <f t="shared" si="285"/>
        <v/>
      </c>
      <c r="BK397" s="28"/>
      <c r="BL397" s="304" t="str">
        <f t="shared" si="286"/>
        <v/>
      </c>
      <c r="BM397" s="304" t="str">
        <f t="shared" si="286"/>
        <v/>
      </c>
      <c r="BN397" s="28"/>
      <c r="BO397" s="304" t="str">
        <f t="shared" si="287"/>
        <v/>
      </c>
      <c r="BP397" s="304" t="str">
        <f t="shared" si="287"/>
        <v/>
      </c>
      <c r="BQ397" s="28"/>
      <c r="BR397" s="304" t="str">
        <f t="shared" si="288"/>
        <v/>
      </c>
      <c r="BS397" s="304" t="str">
        <f t="shared" si="288"/>
        <v/>
      </c>
      <c r="BT397" s="28"/>
      <c r="BU397" s="304" t="str">
        <f t="shared" si="289"/>
        <v/>
      </c>
      <c r="BV397" s="304" t="str">
        <f t="shared" si="289"/>
        <v/>
      </c>
      <c r="BW397" s="28"/>
      <c r="BX397" s="139"/>
    </row>
    <row r="398" spans="1:76" s="122" customFormat="1" ht="15.95" customHeight="1" x14ac:dyDescent="0.25">
      <c r="A398" s="195">
        <v>68</v>
      </c>
      <c r="B398" s="216" t="str">
        <f t="shared" si="264"/>
        <v>Middle East and Africa: FAO. 2017. Global Livestock Environmental Assessment Model (GLEAM)</v>
      </c>
      <c r="C398" s="221" t="s">
        <v>227</v>
      </c>
      <c r="D398" s="221" t="s">
        <v>279</v>
      </c>
      <c r="E398" s="221" t="s">
        <v>99</v>
      </c>
      <c r="F398" s="221" t="s">
        <v>280</v>
      </c>
      <c r="G398" s="340" t="s">
        <v>26</v>
      </c>
      <c r="H398" s="221">
        <v>2017</v>
      </c>
      <c r="I398" s="340"/>
      <c r="J398" s="338">
        <v>0.4</v>
      </c>
      <c r="K398" s="339" t="s">
        <v>230</v>
      </c>
      <c r="L398" s="334">
        <f t="shared" si="294"/>
        <v>85.15625</v>
      </c>
      <c r="M398" s="335" t="str">
        <f t="shared" si="265"/>
        <v>US$2014/ kg of protein</v>
      </c>
      <c r="N398" s="227"/>
      <c r="O398" s="227" t="s">
        <v>282</v>
      </c>
      <c r="Q398" s="228"/>
      <c r="R398" s="231">
        <f t="shared" si="301"/>
        <v>85.15625</v>
      </c>
      <c r="S398" s="230" t="str">
        <f t="shared" si="299"/>
        <v/>
      </c>
      <c r="T398" s="231"/>
      <c r="U398" s="232" t="str">
        <f t="shared" si="300"/>
        <v>US$2014/ kg of protein</v>
      </c>
      <c r="V398" s="28"/>
      <c r="W398" s="28"/>
      <c r="Y398" s="139"/>
      <c r="AO398" s="139"/>
      <c r="AP398" s="28"/>
      <c r="AQ398" s="28"/>
      <c r="AR398" s="237"/>
      <c r="AS398" s="28"/>
      <c r="AT398" s="304" t="str">
        <f t="shared" si="290"/>
        <v/>
      </c>
      <c r="AU398" s="304" t="str">
        <f t="shared" si="290"/>
        <v/>
      </c>
      <c r="AV398" s="28"/>
      <c r="AW398" s="304" t="str">
        <f t="shared" si="281"/>
        <v/>
      </c>
      <c r="AX398" s="304" t="str">
        <f t="shared" si="281"/>
        <v/>
      </c>
      <c r="AY398" s="28"/>
      <c r="AZ398" s="304" t="str">
        <f t="shared" si="282"/>
        <v/>
      </c>
      <c r="BA398" s="304" t="str">
        <f t="shared" si="282"/>
        <v/>
      </c>
      <c r="BB398" s="28"/>
      <c r="BC398" s="304" t="str">
        <f t="shared" si="283"/>
        <v/>
      </c>
      <c r="BD398" s="304" t="str">
        <f t="shared" si="283"/>
        <v/>
      </c>
      <c r="BE398" s="28"/>
      <c r="BF398" s="304">
        <f t="shared" si="284"/>
        <v>85.15625</v>
      </c>
      <c r="BG398" s="304" t="str">
        <f t="shared" si="284"/>
        <v/>
      </c>
      <c r="BH398" s="28"/>
      <c r="BI398" s="304" t="str">
        <f t="shared" si="285"/>
        <v/>
      </c>
      <c r="BJ398" s="304" t="str">
        <f t="shared" si="285"/>
        <v/>
      </c>
      <c r="BK398" s="28"/>
      <c r="BL398" s="304" t="str">
        <f t="shared" si="286"/>
        <v/>
      </c>
      <c r="BM398" s="304" t="str">
        <f t="shared" si="286"/>
        <v/>
      </c>
      <c r="BN398" s="28"/>
      <c r="BO398" s="304" t="str">
        <f t="shared" si="287"/>
        <v/>
      </c>
      <c r="BP398" s="304" t="str">
        <f t="shared" si="287"/>
        <v/>
      </c>
      <c r="BQ398" s="28"/>
      <c r="BR398" s="304" t="str">
        <f t="shared" si="288"/>
        <v/>
      </c>
      <c r="BS398" s="304" t="str">
        <f t="shared" si="288"/>
        <v/>
      </c>
      <c r="BT398" s="28"/>
      <c r="BU398" s="304" t="str">
        <f t="shared" si="289"/>
        <v/>
      </c>
      <c r="BV398" s="304" t="str">
        <f t="shared" si="289"/>
        <v/>
      </c>
      <c r="BW398" s="28"/>
      <c r="BX398" s="139"/>
    </row>
    <row r="399" spans="1:76" s="122" customFormat="1" ht="15.95" customHeight="1" x14ac:dyDescent="0.25">
      <c r="A399" s="195">
        <v>69</v>
      </c>
      <c r="B399" s="216" t="str">
        <f t="shared" si="264"/>
        <v>Middle East and Africa: FAO. 2017. Global Livestock Environmental Assessment Model (GLEAM)</v>
      </c>
      <c r="C399" s="221" t="s">
        <v>227</v>
      </c>
      <c r="D399" s="221" t="s">
        <v>279</v>
      </c>
      <c r="E399" s="221" t="s">
        <v>99</v>
      </c>
      <c r="F399" s="221" t="s">
        <v>280</v>
      </c>
      <c r="G399" s="340" t="s">
        <v>26</v>
      </c>
      <c r="H399" s="221">
        <v>2017</v>
      </c>
      <c r="I399" s="340"/>
      <c r="J399" s="338">
        <v>0.62</v>
      </c>
      <c r="K399" s="339" t="s">
        <v>230</v>
      </c>
      <c r="L399" s="334">
        <f t="shared" si="294"/>
        <v>54.939516129032263</v>
      </c>
      <c r="M399" s="335" t="str">
        <f t="shared" si="265"/>
        <v>US$2014/ kg of protein</v>
      </c>
      <c r="N399" s="227"/>
      <c r="O399" s="227" t="s">
        <v>283</v>
      </c>
      <c r="Q399" s="228"/>
      <c r="R399" s="231">
        <f t="shared" si="301"/>
        <v>54.939516129032263</v>
      </c>
      <c r="S399" s="230">
        <f t="shared" si="299"/>
        <v>54.939516129032263</v>
      </c>
      <c r="T399" s="231"/>
      <c r="U399" s="232" t="str">
        <f t="shared" si="300"/>
        <v>US$2014/ kg of protein</v>
      </c>
      <c r="V399" s="28"/>
      <c r="W399" s="28"/>
      <c r="Y399" s="139"/>
      <c r="AO399" s="139"/>
      <c r="AP399" s="28"/>
      <c r="AQ399" s="28"/>
      <c r="AR399" s="237"/>
      <c r="AS399" s="28"/>
      <c r="AT399" s="304" t="str">
        <f t="shared" si="290"/>
        <v/>
      </c>
      <c r="AU399" s="304" t="str">
        <f t="shared" si="290"/>
        <v/>
      </c>
      <c r="AV399" s="28"/>
      <c r="AW399" s="304" t="str">
        <f t="shared" si="281"/>
        <v/>
      </c>
      <c r="AX399" s="304" t="str">
        <f t="shared" si="281"/>
        <v/>
      </c>
      <c r="AY399" s="28"/>
      <c r="AZ399" s="304" t="str">
        <f t="shared" si="282"/>
        <v/>
      </c>
      <c r="BA399" s="304" t="str">
        <f t="shared" si="282"/>
        <v/>
      </c>
      <c r="BB399" s="28"/>
      <c r="BC399" s="304" t="str">
        <f t="shared" si="283"/>
        <v/>
      </c>
      <c r="BD399" s="304" t="str">
        <f t="shared" si="283"/>
        <v/>
      </c>
      <c r="BE399" s="28"/>
      <c r="BF399" s="304">
        <f t="shared" si="284"/>
        <v>54.939516129032263</v>
      </c>
      <c r="BG399" s="304">
        <f t="shared" si="284"/>
        <v>54.939516129032263</v>
      </c>
      <c r="BH399" s="28"/>
      <c r="BI399" s="304" t="str">
        <f t="shared" si="285"/>
        <v/>
      </c>
      <c r="BJ399" s="304" t="str">
        <f t="shared" si="285"/>
        <v/>
      </c>
      <c r="BK399" s="28"/>
      <c r="BL399" s="304" t="str">
        <f t="shared" si="286"/>
        <v/>
      </c>
      <c r="BM399" s="304" t="str">
        <f t="shared" si="286"/>
        <v/>
      </c>
      <c r="BN399" s="28"/>
      <c r="BO399" s="304" t="str">
        <f t="shared" si="287"/>
        <v/>
      </c>
      <c r="BP399" s="304" t="str">
        <f t="shared" si="287"/>
        <v/>
      </c>
      <c r="BQ399" s="28"/>
      <c r="BR399" s="304" t="str">
        <f t="shared" si="288"/>
        <v/>
      </c>
      <c r="BS399" s="304" t="str">
        <f t="shared" si="288"/>
        <v/>
      </c>
      <c r="BT399" s="28"/>
      <c r="BU399" s="304" t="str">
        <f t="shared" si="289"/>
        <v/>
      </c>
      <c r="BV399" s="304" t="str">
        <f t="shared" si="289"/>
        <v/>
      </c>
      <c r="BW399" s="28"/>
      <c r="BX399" s="139"/>
    </row>
    <row r="400" spans="1:76" s="122" customFormat="1" ht="15.95" customHeight="1" x14ac:dyDescent="0.25">
      <c r="A400" s="195">
        <v>70</v>
      </c>
      <c r="B400" s="216" t="str">
        <f t="shared" si="264"/>
        <v>Middle East and Africa: FAO. 2017. Global Livestock Environmental Assessment Model (GLEAM)</v>
      </c>
      <c r="C400" s="221" t="s">
        <v>227</v>
      </c>
      <c r="D400" s="221" t="s">
        <v>279</v>
      </c>
      <c r="E400" s="221" t="s">
        <v>99</v>
      </c>
      <c r="F400" s="221" t="s">
        <v>280</v>
      </c>
      <c r="G400" s="340" t="s">
        <v>26</v>
      </c>
      <c r="H400" s="221">
        <v>2017</v>
      </c>
      <c r="I400" s="340"/>
      <c r="J400" s="338">
        <v>2.5099999999999998</v>
      </c>
      <c r="K400" s="339" t="s">
        <v>230</v>
      </c>
      <c r="L400" s="334">
        <f t="shared" si="294"/>
        <v>13.570717131474105</v>
      </c>
      <c r="M400" s="335" t="str">
        <f t="shared" si="265"/>
        <v>US$2014/ kg of protein</v>
      </c>
      <c r="N400" s="227"/>
      <c r="O400" s="227" t="s">
        <v>284</v>
      </c>
      <c r="Q400" s="228"/>
      <c r="R400" s="231">
        <f t="shared" si="301"/>
        <v>13.570717131474105</v>
      </c>
      <c r="S400" s="230">
        <f t="shared" si="299"/>
        <v>13.570717131474105</v>
      </c>
      <c r="T400" s="231"/>
      <c r="U400" s="232" t="str">
        <f t="shared" si="300"/>
        <v>US$2014/ kg of protein</v>
      </c>
      <c r="V400" s="28"/>
      <c r="W400" s="28"/>
      <c r="Y400" s="139"/>
      <c r="AO400" s="139"/>
      <c r="AP400" s="28"/>
      <c r="AQ400" s="28"/>
      <c r="AR400" s="237"/>
      <c r="AS400" s="28"/>
      <c r="AT400" s="304" t="str">
        <f t="shared" si="290"/>
        <v/>
      </c>
      <c r="AU400" s="304" t="str">
        <f t="shared" si="290"/>
        <v/>
      </c>
      <c r="AV400" s="28"/>
      <c r="AW400" s="304" t="str">
        <f t="shared" si="281"/>
        <v/>
      </c>
      <c r="AX400" s="304" t="str">
        <f t="shared" si="281"/>
        <v/>
      </c>
      <c r="AY400" s="28"/>
      <c r="AZ400" s="304" t="str">
        <f t="shared" si="282"/>
        <v/>
      </c>
      <c r="BA400" s="304" t="str">
        <f t="shared" si="282"/>
        <v/>
      </c>
      <c r="BB400" s="28"/>
      <c r="BC400" s="304" t="str">
        <f t="shared" si="283"/>
        <v/>
      </c>
      <c r="BD400" s="304" t="str">
        <f t="shared" si="283"/>
        <v/>
      </c>
      <c r="BE400" s="28"/>
      <c r="BF400" s="304">
        <f t="shared" si="284"/>
        <v>13.570717131474105</v>
      </c>
      <c r="BG400" s="304">
        <f t="shared" si="284"/>
        <v>13.570717131474105</v>
      </c>
      <c r="BH400" s="28"/>
      <c r="BI400" s="304" t="str">
        <f t="shared" si="285"/>
        <v/>
      </c>
      <c r="BJ400" s="304" t="str">
        <f t="shared" si="285"/>
        <v/>
      </c>
      <c r="BK400" s="28"/>
      <c r="BL400" s="304" t="str">
        <f t="shared" si="286"/>
        <v/>
      </c>
      <c r="BM400" s="304" t="str">
        <f t="shared" si="286"/>
        <v/>
      </c>
      <c r="BN400" s="28"/>
      <c r="BO400" s="304" t="str">
        <f t="shared" si="287"/>
        <v/>
      </c>
      <c r="BP400" s="304" t="str">
        <f t="shared" si="287"/>
        <v/>
      </c>
      <c r="BQ400" s="28"/>
      <c r="BR400" s="304" t="str">
        <f t="shared" si="288"/>
        <v/>
      </c>
      <c r="BS400" s="304" t="str">
        <f t="shared" si="288"/>
        <v/>
      </c>
      <c r="BT400" s="28"/>
      <c r="BU400" s="304" t="str">
        <f t="shared" si="289"/>
        <v/>
      </c>
      <c r="BV400" s="304" t="str">
        <f t="shared" si="289"/>
        <v/>
      </c>
      <c r="BW400" s="28"/>
      <c r="BX400" s="139"/>
    </row>
    <row r="401" spans="1:76" s="122" customFormat="1" ht="15.95" customHeight="1" x14ac:dyDescent="0.25">
      <c r="A401" s="195">
        <v>71</v>
      </c>
      <c r="B401" s="216" t="str">
        <f t="shared" si="264"/>
        <v>Middle East and Africa: FAO. 2017. Global Livestock Environmental Assessment Model (GLEAM)</v>
      </c>
      <c r="C401" s="221" t="s">
        <v>227</v>
      </c>
      <c r="D401" s="221" t="s">
        <v>279</v>
      </c>
      <c r="E401" s="221" t="s">
        <v>99</v>
      </c>
      <c r="F401" s="221" t="s">
        <v>280</v>
      </c>
      <c r="G401" s="340" t="s">
        <v>26</v>
      </c>
      <c r="H401" s="221">
        <v>2017</v>
      </c>
      <c r="I401" s="340"/>
      <c r="J401" s="338">
        <v>2.39</v>
      </c>
      <c r="K401" s="339" t="s">
        <v>230</v>
      </c>
      <c r="L401" s="334">
        <f t="shared" si="294"/>
        <v>14.252092050209205</v>
      </c>
      <c r="M401" s="335" t="str">
        <f t="shared" si="265"/>
        <v>US$2014/ kg of protein</v>
      </c>
      <c r="N401" s="227"/>
      <c r="O401" s="227" t="s">
        <v>285</v>
      </c>
      <c r="Q401" s="228"/>
      <c r="R401" s="231">
        <f t="shared" si="301"/>
        <v>14.252092050209205</v>
      </c>
      <c r="S401" s="230">
        <f t="shared" si="299"/>
        <v>14.252092050209205</v>
      </c>
      <c r="T401" s="231"/>
      <c r="U401" s="232" t="str">
        <f t="shared" si="300"/>
        <v>US$2014/ kg of protein</v>
      </c>
      <c r="V401" s="28"/>
      <c r="W401" s="28"/>
      <c r="Y401" s="139"/>
      <c r="AO401" s="139"/>
      <c r="AP401" s="28"/>
      <c r="AQ401" s="28"/>
      <c r="AR401" s="237"/>
      <c r="AS401" s="28"/>
      <c r="AT401" s="304" t="str">
        <f t="shared" si="290"/>
        <v/>
      </c>
      <c r="AU401" s="304" t="str">
        <f t="shared" si="290"/>
        <v/>
      </c>
      <c r="AV401" s="28"/>
      <c r="AW401" s="304" t="str">
        <f t="shared" si="281"/>
        <v/>
      </c>
      <c r="AX401" s="304" t="str">
        <f t="shared" si="281"/>
        <v/>
      </c>
      <c r="AY401" s="28"/>
      <c r="AZ401" s="304" t="str">
        <f t="shared" si="282"/>
        <v/>
      </c>
      <c r="BA401" s="304" t="str">
        <f t="shared" si="282"/>
        <v/>
      </c>
      <c r="BB401" s="28"/>
      <c r="BC401" s="304" t="str">
        <f t="shared" si="283"/>
        <v/>
      </c>
      <c r="BD401" s="304" t="str">
        <f t="shared" si="283"/>
        <v/>
      </c>
      <c r="BE401" s="28"/>
      <c r="BF401" s="304">
        <f t="shared" si="284"/>
        <v>14.252092050209205</v>
      </c>
      <c r="BG401" s="304">
        <f t="shared" si="284"/>
        <v>14.252092050209205</v>
      </c>
      <c r="BH401" s="28"/>
      <c r="BI401" s="304" t="str">
        <f t="shared" si="285"/>
        <v/>
      </c>
      <c r="BJ401" s="304" t="str">
        <f t="shared" si="285"/>
        <v/>
      </c>
      <c r="BK401" s="28"/>
      <c r="BL401" s="304" t="str">
        <f t="shared" si="286"/>
        <v/>
      </c>
      <c r="BM401" s="304" t="str">
        <f t="shared" si="286"/>
        <v/>
      </c>
      <c r="BN401" s="28"/>
      <c r="BO401" s="304" t="str">
        <f t="shared" si="287"/>
        <v/>
      </c>
      <c r="BP401" s="304" t="str">
        <f t="shared" si="287"/>
        <v/>
      </c>
      <c r="BQ401" s="28"/>
      <c r="BR401" s="304" t="str">
        <f t="shared" si="288"/>
        <v/>
      </c>
      <c r="BS401" s="304" t="str">
        <f t="shared" si="288"/>
        <v/>
      </c>
      <c r="BT401" s="28"/>
      <c r="BU401" s="304" t="str">
        <f t="shared" si="289"/>
        <v/>
      </c>
      <c r="BV401" s="304" t="str">
        <f t="shared" si="289"/>
        <v/>
      </c>
      <c r="BW401" s="28"/>
      <c r="BX401" s="139"/>
    </row>
    <row r="402" spans="1:76" s="122" customFormat="1" ht="15.95" customHeight="1" x14ac:dyDescent="0.25">
      <c r="A402" s="195">
        <v>72</v>
      </c>
      <c r="B402" s="216" t="str">
        <f t="shared" si="264"/>
        <v>Middle East and Africa: FAO. 2017. Global Livestock Environmental Assessment Model (GLEAM)</v>
      </c>
      <c r="C402" s="221" t="s">
        <v>227</v>
      </c>
      <c r="D402" s="221" t="s">
        <v>279</v>
      </c>
      <c r="E402" s="221" t="s">
        <v>99</v>
      </c>
      <c r="F402" s="221" t="s">
        <v>280</v>
      </c>
      <c r="G402" s="340" t="s">
        <v>26</v>
      </c>
      <c r="H402" s="221">
        <v>2017</v>
      </c>
      <c r="I402" s="340"/>
      <c r="J402" s="338">
        <v>2.57</v>
      </c>
      <c r="K402" s="339" t="s">
        <v>230</v>
      </c>
      <c r="L402" s="334">
        <f t="shared" si="294"/>
        <v>13.253891050583659</v>
      </c>
      <c r="M402" s="335" t="str">
        <f t="shared" si="265"/>
        <v>US$2014/ kg of protein</v>
      </c>
      <c r="N402" s="227"/>
      <c r="O402" s="227" t="s">
        <v>286</v>
      </c>
      <c r="Q402" s="228"/>
      <c r="R402" s="231">
        <f t="shared" si="301"/>
        <v>13.253891050583659</v>
      </c>
      <c r="S402" s="230">
        <f t="shared" si="299"/>
        <v>13.253891050583659</v>
      </c>
      <c r="T402" s="231"/>
      <c r="U402" s="232" t="str">
        <f t="shared" si="300"/>
        <v>US$2014/ kg of protein</v>
      </c>
      <c r="V402" s="28"/>
      <c r="W402" s="28"/>
      <c r="Y402" s="139"/>
      <c r="AO402" s="139"/>
      <c r="AP402" s="28"/>
      <c r="AQ402" s="28"/>
      <c r="AR402" s="237"/>
      <c r="AS402" s="28"/>
      <c r="AT402" s="304" t="str">
        <f t="shared" si="290"/>
        <v/>
      </c>
      <c r="AU402" s="304" t="str">
        <f t="shared" si="290"/>
        <v/>
      </c>
      <c r="AV402" s="28"/>
      <c r="AW402" s="304" t="str">
        <f t="shared" si="281"/>
        <v/>
      </c>
      <c r="AX402" s="304" t="str">
        <f t="shared" si="281"/>
        <v/>
      </c>
      <c r="AY402" s="28"/>
      <c r="AZ402" s="304" t="str">
        <f t="shared" si="282"/>
        <v/>
      </c>
      <c r="BA402" s="304" t="str">
        <f t="shared" si="282"/>
        <v/>
      </c>
      <c r="BB402" s="28"/>
      <c r="BC402" s="304" t="str">
        <f t="shared" si="283"/>
        <v/>
      </c>
      <c r="BD402" s="304" t="str">
        <f t="shared" si="283"/>
        <v/>
      </c>
      <c r="BE402" s="28"/>
      <c r="BF402" s="304">
        <f t="shared" si="284"/>
        <v>13.253891050583659</v>
      </c>
      <c r="BG402" s="304">
        <f t="shared" si="284"/>
        <v>13.253891050583659</v>
      </c>
      <c r="BH402" s="28"/>
      <c r="BI402" s="304" t="str">
        <f t="shared" si="285"/>
        <v/>
      </c>
      <c r="BJ402" s="304" t="str">
        <f t="shared" si="285"/>
        <v/>
      </c>
      <c r="BK402" s="28"/>
      <c r="BL402" s="304" t="str">
        <f t="shared" si="286"/>
        <v/>
      </c>
      <c r="BM402" s="304" t="str">
        <f t="shared" si="286"/>
        <v/>
      </c>
      <c r="BN402" s="28"/>
      <c r="BO402" s="304" t="str">
        <f t="shared" si="287"/>
        <v/>
      </c>
      <c r="BP402" s="304" t="str">
        <f t="shared" si="287"/>
        <v/>
      </c>
      <c r="BQ402" s="28"/>
      <c r="BR402" s="304" t="str">
        <f t="shared" si="288"/>
        <v/>
      </c>
      <c r="BS402" s="304" t="str">
        <f t="shared" si="288"/>
        <v/>
      </c>
      <c r="BT402" s="28"/>
      <c r="BU402" s="304" t="str">
        <f t="shared" si="289"/>
        <v/>
      </c>
      <c r="BV402" s="304" t="str">
        <f t="shared" si="289"/>
        <v/>
      </c>
      <c r="BW402" s="28"/>
      <c r="BX402" s="139"/>
    </row>
    <row r="403" spans="1:76" s="122" customFormat="1" ht="15.95" customHeight="1" x14ac:dyDescent="0.25">
      <c r="A403" s="195">
        <v>73</v>
      </c>
      <c r="B403" s="216" t="str">
        <f t="shared" si="264"/>
        <v>Middle East and Africa: FAO. 2017. Global Livestock Environmental Assessment Model (GLEAM)</v>
      </c>
      <c r="C403" s="221" t="s">
        <v>227</v>
      </c>
      <c r="D403" s="341" t="s">
        <v>287</v>
      </c>
      <c r="E403" s="221" t="s">
        <v>99</v>
      </c>
      <c r="F403" s="221" t="s">
        <v>288</v>
      </c>
      <c r="G403" s="340" t="s">
        <v>26</v>
      </c>
      <c r="H403" s="221">
        <v>2017</v>
      </c>
      <c r="I403" s="340"/>
      <c r="J403" s="338">
        <f>AVERAGE(0,5)</f>
        <v>2.5</v>
      </c>
      <c r="K403" s="339" t="s">
        <v>230</v>
      </c>
      <c r="L403" s="334">
        <f t="shared" si="294"/>
        <v>13.625000000000002</v>
      </c>
      <c r="M403" s="335" t="str">
        <f t="shared" si="265"/>
        <v>US$2014/ kg of protein</v>
      </c>
      <c r="N403" s="227"/>
      <c r="O403" s="227" t="s">
        <v>289</v>
      </c>
      <c r="Q403" s="228"/>
      <c r="R403" s="231">
        <f t="shared" si="301"/>
        <v>13.625000000000002</v>
      </c>
      <c r="S403" s="230">
        <f t="shared" si="299"/>
        <v>13.625000000000002</v>
      </c>
      <c r="T403" s="231"/>
      <c r="U403" s="232" t="str">
        <f t="shared" si="300"/>
        <v>US$2014/ kg of protein</v>
      </c>
      <c r="V403" s="28"/>
      <c r="W403" s="28"/>
      <c r="Y403" s="139"/>
      <c r="AO403" s="139"/>
      <c r="AP403" s="28"/>
      <c r="AQ403" s="28"/>
      <c r="AR403" s="237"/>
      <c r="AS403" s="28"/>
      <c r="AT403" s="304" t="str">
        <f t="shared" si="290"/>
        <v/>
      </c>
      <c r="AU403" s="304" t="str">
        <f t="shared" si="290"/>
        <v/>
      </c>
      <c r="AV403" s="28"/>
      <c r="AW403" s="304" t="str">
        <f t="shared" si="281"/>
        <v/>
      </c>
      <c r="AX403" s="304" t="str">
        <f t="shared" si="281"/>
        <v/>
      </c>
      <c r="AY403" s="28"/>
      <c r="AZ403" s="304" t="str">
        <f t="shared" si="282"/>
        <v/>
      </c>
      <c r="BA403" s="304" t="str">
        <f t="shared" si="282"/>
        <v/>
      </c>
      <c r="BB403" s="28"/>
      <c r="BC403" s="304" t="str">
        <f t="shared" si="283"/>
        <v/>
      </c>
      <c r="BD403" s="304" t="str">
        <f t="shared" si="283"/>
        <v/>
      </c>
      <c r="BE403" s="28"/>
      <c r="BF403" s="304">
        <f t="shared" si="284"/>
        <v>13.625000000000002</v>
      </c>
      <c r="BG403" s="304">
        <f t="shared" si="284"/>
        <v>13.625000000000002</v>
      </c>
      <c r="BH403" s="28"/>
      <c r="BI403" s="304" t="str">
        <f t="shared" si="285"/>
        <v/>
      </c>
      <c r="BJ403" s="304" t="str">
        <f t="shared" si="285"/>
        <v/>
      </c>
      <c r="BK403" s="28"/>
      <c r="BL403" s="304" t="str">
        <f t="shared" si="286"/>
        <v/>
      </c>
      <c r="BM403" s="304" t="str">
        <f t="shared" si="286"/>
        <v/>
      </c>
      <c r="BN403" s="28"/>
      <c r="BO403" s="304" t="str">
        <f t="shared" si="287"/>
        <v/>
      </c>
      <c r="BP403" s="304" t="str">
        <f t="shared" si="287"/>
        <v/>
      </c>
      <c r="BQ403" s="28"/>
      <c r="BR403" s="304" t="str">
        <f t="shared" si="288"/>
        <v/>
      </c>
      <c r="BS403" s="304" t="str">
        <f t="shared" si="288"/>
        <v/>
      </c>
      <c r="BT403" s="28"/>
      <c r="BU403" s="304" t="str">
        <f t="shared" si="289"/>
        <v/>
      </c>
      <c r="BV403" s="304" t="str">
        <f t="shared" si="289"/>
        <v/>
      </c>
      <c r="BW403" s="28"/>
      <c r="BX403" s="139"/>
    </row>
    <row r="404" spans="1:76" s="122" customFormat="1" ht="15.95" customHeight="1" x14ac:dyDescent="0.25">
      <c r="A404" s="195">
        <v>74</v>
      </c>
      <c r="B404" s="216" t="str">
        <f t="shared" si="264"/>
        <v>Middle East and Africa: FAO. 2017. Global Livestock Environmental Assessment Model (GLEAM)</v>
      </c>
      <c r="C404" s="221" t="s">
        <v>227</v>
      </c>
      <c r="D404" s="341" t="s">
        <v>287</v>
      </c>
      <c r="E404" s="221" t="s">
        <v>99</v>
      </c>
      <c r="F404" s="221" t="s">
        <v>288</v>
      </c>
      <c r="G404" s="340" t="s">
        <v>26</v>
      </c>
      <c r="H404" s="221">
        <v>2017</v>
      </c>
      <c r="I404" s="340"/>
      <c r="J404" s="338">
        <f t="shared" ref="J404:J408" si="302">AVERAGE(0,5)</f>
        <v>2.5</v>
      </c>
      <c r="K404" s="339" t="s">
        <v>230</v>
      </c>
      <c r="L404" s="334">
        <f t="shared" si="294"/>
        <v>13.625000000000002</v>
      </c>
      <c r="M404" s="335" t="str">
        <f t="shared" si="265"/>
        <v>US$2014/ kg of protein</v>
      </c>
      <c r="N404" s="227"/>
      <c r="O404" s="227" t="s">
        <v>290</v>
      </c>
      <c r="Q404" s="228"/>
      <c r="R404" s="231">
        <f t="shared" si="301"/>
        <v>13.625000000000002</v>
      </c>
      <c r="S404" s="230">
        <f t="shared" si="299"/>
        <v>13.625000000000002</v>
      </c>
      <c r="T404" s="231"/>
      <c r="U404" s="232" t="str">
        <f t="shared" si="300"/>
        <v>US$2014/ kg of protein</v>
      </c>
      <c r="V404" s="28"/>
      <c r="W404" s="28"/>
      <c r="Y404" s="139"/>
      <c r="AO404" s="139"/>
      <c r="AP404" s="28"/>
      <c r="AQ404" s="28"/>
      <c r="AR404" s="237"/>
      <c r="AS404" s="28"/>
      <c r="AT404" s="304" t="str">
        <f t="shared" si="290"/>
        <v/>
      </c>
      <c r="AU404" s="304" t="str">
        <f t="shared" si="290"/>
        <v/>
      </c>
      <c r="AV404" s="28"/>
      <c r="AW404" s="304" t="str">
        <f t="shared" si="281"/>
        <v/>
      </c>
      <c r="AX404" s="304" t="str">
        <f t="shared" si="281"/>
        <v/>
      </c>
      <c r="AY404" s="28"/>
      <c r="AZ404" s="304" t="str">
        <f t="shared" si="282"/>
        <v/>
      </c>
      <c r="BA404" s="304" t="str">
        <f t="shared" si="282"/>
        <v/>
      </c>
      <c r="BB404" s="28"/>
      <c r="BC404" s="304" t="str">
        <f t="shared" si="283"/>
        <v/>
      </c>
      <c r="BD404" s="304" t="str">
        <f t="shared" si="283"/>
        <v/>
      </c>
      <c r="BE404" s="28"/>
      <c r="BF404" s="304">
        <f t="shared" si="284"/>
        <v>13.625000000000002</v>
      </c>
      <c r="BG404" s="304">
        <f t="shared" si="284"/>
        <v>13.625000000000002</v>
      </c>
      <c r="BH404" s="28"/>
      <c r="BI404" s="304" t="str">
        <f t="shared" si="285"/>
        <v/>
      </c>
      <c r="BJ404" s="304" t="str">
        <f t="shared" si="285"/>
        <v/>
      </c>
      <c r="BK404" s="28"/>
      <c r="BL404" s="304" t="str">
        <f t="shared" si="286"/>
        <v/>
      </c>
      <c r="BM404" s="304" t="str">
        <f t="shared" si="286"/>
        <v/>
      </c>
      <c r="BN404" s="28"/>
      <c r="BO404" s="304" t="str">
        <f t="shared" si="287"/>
        <v/>
      </c>
      <c r="BP404" s="304" t="str">
        <f t="shared" si="287"/>
        <v/>
      </c>
      <c r="BQ404" s="28"/>
      <c r="BR404" s="304" t="str">
        <f t="shared" si="288"/>
        <v/>
      </c>
      <c r="BS404" s="304" t="str">
        <f t="shared" si="288"/>
        <v/>
      </c>
      <c r="BT404" s="28"/>
      <c r="BU404" s="304" t="str">
        <f t="shared" si="289"/>
        <v/>
      </c>
      <c r="BV404" s="304" t="str">
        <f t="shared" si="289"/>
        <v/>
      </c>
      <c r="BW404" s="28"/>
      <c r="BX404" s="139"/>
    </row>
    <row r="405" spans="1:76" s="122" customFormat="1" ht="15.95" customHeight="1" x14ac:dyDescent="0.25">
      <c r="A405" s="195">
        <v>75</v>
      </c>
      <c r="B405" s="216" t="str">
        <f t="shared" si="264"/>
        <v>Middle East and Africa: FAO. 2017. Global Livestock Environmental Assessment Model (GLEAM)</v>
      </c>
      <c r="C405" s="221" t="s">
        <v>227</v>
      </c>
      <c r="D405" s="341" t="s">
        <v>287</v>
      </c>
      <c r="E405" s="221" t="s">
        <v>99</v>
      </c>
      <c r="F405" s="221" t="s">
        <v>288</v>
      </c>
      <c r="G405" s="340" t="s">
        <v>26</v>
      </c>
      <c r="H405" s="221">
        <v>2017</v>
      </c>
      <c r="I405" s="340"/>
      <c r="J405" s="338">
        <f t="shared" si="302"/>
        <v>2.5</v>
      </c>
      <c r="K405" s="339" t="s">
        <v>230</v>
      </c>
      <c r="L405" s="334">
        <f t="shared" si="294"/>
        <v>13.625000000000002</v>
      </c>
      <c r="M405" s="335" t="str">
        <f t="shared" si="265"/>
        <v>US$2014/ kg of protein</v>
      </c>
      <c r="N405" s="227"/>
      <c r="O405" s="227" t="s">
        <v>291</v>
      </c>
      <c r="Q405" s="228"/>
      <c r="R405" s="231">
        <f t="shared" si="301"/>
        <v>13.625000000000002</v>
      </c>
      <c r="S405" s="230">
        <f t="shared" si="299"/>
        <v>13.625000000000002</v>
      </c>
      <c r="T405" s="231"/>
      <c r="U405" s="232" t="str">
        <f t="shared" si="300"/>
        <v>US$2014/ kg of protein</v>
      </c>
      <c r="V405" s="28"/>
      <c r="W405" s="28"/>
      <c r="Y405" s="139"/>
      <c r="AO405" s="139"/>
      <c r="AP405" s="28"/>
      <c r="AQ405" s="28"/>
      <c r="AR405" s="237"/>
      <c r="AS405" s="28"/>
      <c r="AT405" s="304" t="str">
        <f t="shared" si="290"/>
        <v/>
      </c>
      <c r="AU405" s="304" t="str">
        <f t="shared" si="290"/>
        <v/>
      </c>
      <c r="AV405" s="28"/>
      <c r="AW405" s="304" t="str">
        <f t="shared" si="281"/>
        <v/>
      </c>
      <c r="AX405" s="304" t="str">
        <f t="shared" si="281"/>
        <v/>
      </c>
      <c r="AY405" s="28"/>
      <c r="AZ405" s="304" t="str">
        <f t="shared" si="282"/>
        <v/>
      </c>
      <c r="BA405" s="304" t="str">
        <f t="shared" si="282"/>
        <v/>
      </c>
      <c r="BB405" s="28"/>
      <c r="BC405" s="304" t="str">
        <f t="shared" si="283"/>
        <v/>
      </c>
      <c r="BD405" s="304" t="str">
        <f t="shared" si="283"/>
        <v/>
      </c>
      <c r="BE405" s="28"/>
      <c r="BF405" s="304">
        <f t="shared" si="284"/>
        <v>13.625000000000002</v>
      </c>
      <c r="BG405" s="304">
        <f t="shared" si="284"/>
        <v>13.625000000000002</v>
      </c>
      <c r="BH405" s="28"/>
      <c r="BI405" s="304" t="str">
        <f t="shared" si="285"/>
        <v/>
      </c>
      <c r="BJ405" s="304" t="str">
        <f t="shared" si="285"/>
        <v/>
      </c>
      <c r="BK405" s="28"/>
      <c r="BL405" s="304" t="str">
        <f t="shared" si="286"/>
        <v/>
      </c>
      <c r="BM405" s="304" t="str">
        <f t="shared" si="286"/>
        <v/>
      </c>
      <c r="BN405" s="28"/>
      <c r="BO405" s="304" t="str">
        <f t="shared" si="287"/>
        <v/>
      </c>
      <c r="BP405" s="304" t="str">
        <f t="shared" si="287"/>
        <v/>
      </c>
      <c r="BQ405" s="28"/>
      <c r="BR405" s="304" t="str">
        <f t="shared" si="288"/>
        <v/>
      </c>
      <c r="BS405" s="304" t="str">
        <f t="shared" si="288"/>
        <v/>
      </c>
      <c r="BT405" s="28"/>
      <c r="BU405" s="304" t="str">
        <f t="shared" si="289"/>
        <v/>
      </c>
      <c r="BV405" s="304" t="str">
        <f t="shared" si="289"/>
        <v/>
      </c>
      <c r="BW405" s="28"/>
      <c r="BX405" s="139"/>
    </row>
    <row r="406" spans="1:76" s="122" customFormat="1" ht="15.95" customHeight="1" x14ac:dyDescent="0.25">
      <c r="A406" s="195">
        <v>76</v>
      </c>
      <c r="B406" s="216" t="str">
        <f t="shared" si="264"/>
        <v>Middle East and Africa: FAO. 2017. Global Livestock Environmental Assessment Model (GLEAM)</v>
      </c>
      <c r="C406" s="221" t="s">
        <v>227</v>
      </c>
      <c r="D406" s="341" t="s">
        <v>287</v>
      </c>
      <c r="E406" s="221" t="s">
        <v>99</v>
      </c>
      <c r="F406" s="221" t="s">
        <v>288</v>
      </c>
      <c r="G406" s="340" t="s">
        <v>26</v>
      </c>
      <c r="H406" s="221">
        <v>2017</v>
      </c>
      <c r="I406" s="340"/>
      <c r="J406" s="338">
        <f t="shared" si="302"/>
        <v>2.5</v>
      </c>
      <c r="K406" s="339" t="s">
        <v>230</v>
      </c>
      <c r="L406" s="334">
        <f t="shared" si="294"/>
        <v>13.625000000000002</v>
      </c>
      <c r="M406" s="335" t="str">
        <f t="shared" si="265"/>
        <v>US$2014/ kg of protein</v>
      </c>
      <c r="N406" s="227"/>
      <c r="O406" s="227" t="s">
        <v>292</v>
      </c>
      <c r="Q406" s="228"/>
      <c r="R406" s="231">
        <f t="shared" si="301"/>
        <v>13.625000000000002</v>
      </c>
      <c r="S406" s="230">
        <f t="shared" si="299"/>
        <v>13.625000000000002</v>
      </c>
      <c r="T406" s="231"/>
      <c r="U406" s="232" t="str">
        <f t="shared" si="300"/>
        <v>US$2014/ kg of protein</v>
      </c>
      <c r="V406" s="28"/>
      <c r="W406" s="28"/>
      <c r="Y406" s="139"/>
      <c r="AO406" s="139"/>
      <c r="AP406" s="28"/>
      <c r="AQ406" s="28"/>
      <c r="AR406" s="237"/>
      <c r="AS406" s="28"/>
      <c r="AT406" s="304" t="str">
        <f t="shared" si="290"/>
        <v/>
      </c>
      <c r="AU406" s="304" t="str">
        <f t="shared" si="290"/>
        <v/>
      </c>
      <c r="AV406" s="28"/>
      <c r="AW406" s="304" t="str">
        <f t="shared" si="281"/>
        <v/>
      </c>
      <c r="AX406" s="304" t="str">
        <f t="shared" si="281"/>
        <v/>
      </c>
      <c r="AY406" s="28"/>
      <c r="AZ406" s="304" t="str">
        <f t="shared" si="282"/>
        <v/>
      </c>
      <c r="BA406" s="304" t="str">
        <f t="shared" si="282"/>
        <v/>
      </c>
      <c r="BB406" s="28"/>
      <c r="BC406" s="304" t="str">
        <f t="shared" si="283"/>
        <v/>
      </c>
      <c r="BD406" s="304" t="str">
        <f t="shared" si="283"/>
        <v/>
      </c>
      <c r="BE406" s="28"/>
      <c r="BF406" s="304">
        <f t="shared" si="284"/>
        <v>13.625000000000002</v>
      </c>
      <c r="BG406" s="304">
        <f t="shared" si="284"/>
        <v>13.625000000000002</v>
      </c>
      <c r="BH406" s="28"/>
      <c r="BI406" s="304" t="str">
        <f t="shared" si="285"/>
        <v/>
      </c>
      <c r="BJ406" s="304" t="str">
        <f t="shared" si="285"/>
        <v/>
      </c>
      <c r="BK406" s="28"/>
      <c r="BL406" s="304" t="str">
        <f t="shared" si="286"/>
        <v/>
      </c>
      <c r="BM406" s="304" t="str">
        <f t="shared" si="286"/>
        <v/>
      </c>
      <c r="BN406" s="28"/>
      <c r="BO406" s="304" t="str">
        <f t="shared" si="287"/>
        <v/>
      </c>
      <c r="BP406" s="304" t="str">
        <f t="shared" si="287"/>
        <v/>
      </c>
      <c r="BQ406" s="28"/>
      <c r="BR406" s="304" t="str">
        <f t="shared" si="288"/>
        <v/>
      </c>
      <c r="BS406" s="304" t="str">
        <f t="shared" si="288"/>
        <v/>
      </c>
      <c r="BT406" s="28"/>
      <c r="BU406" s="304" t="str">
        <f t="shared" si="289"/>
        <v/>
      </c>
      <c r="BV406" s="304" t="str">
        <f t="shared" si="289"/>
        <v/>
      </c>
      <c r="BW406" s="28"/>
      <c r="BX406" s="139"/>
    </row>
    <row r="407" spans="1:76" s="122" customFormat="1" ht="15.95" customHeight="1" x14ac:dyDescent="0.25">
      <c r="A407" s="195">
        <v>77</v>
      </c>
      <c r="B407" s="216" t="str">
        <f t="shared" si="264"/>
        <v>Middle East and Africa: FAO. 2017. Global Livestock Environmental Assessment Model (GLEAM)</v>
      </c>
      <c r="C407" s="221" t="s">
        <v>227</v>
      </c>
      <c r="D407" s="341" t="s">
        <v>287</v>
      </c>
      <c r="E407" s="221" t="s">
        <v>99</v>
      </c>
      <c r="F407" s="221" t="s">
        <v>288</v>
      </c>
      <c r="G407" s="340" t="s">
        <v>26</v>
      </c>
      <c r="H407" s="221">
        <v>2017</v>
      </c>
      <c r="I407" s="340"/>
      <c r="J407" s="338">
        <f t="shared" si="302"/>
        <v>2.5</v>
      </c>
      <c r="K407" s="339" t="s">
        <v>230</v>
      </c>
      <c r="L407" s="334">
        <f t="shared" si="294"/>
        <v>13.625000000000002</v>
      </c>
      <c r="M407" s="335" t="str">
        <f t="shared" si="265"/>
        <v>US$2014/ kg of protein</v>
      </c>
      <c r="N407" s="227"/>
      <c r="O407" s="227" t="s">
        <v>293</v>
      </c>
      <c r="Q407" s="228"/>
      <c r="R407" s="231">
        <f t="shared" si="301"/>
        <v>13.625000000000002</v>
      </c>
      <c r="S407" s="230">
        <f t="shared" si="299"/>
        <v>13.625000000000002</v>
      </c>
      <c r="T407" s="231"/>
      <c r="U407" s="232" t="str">
        <f t="shared" si="300"/>
        <v>US$2014/ kg of protein</v>
      </c>
      <c r="V407" s="28"/>
      <c r="W407" s="28"/>
      <c r="Y407" s="139"/>
      <c r="AO407" s="139"/>
      <c r="AP407" s="28"/>
      <c r="AQ407" s="28"/>
      <c r="AR407" s="237"/>
      <c r="AS407" s="28"/>
      <c r="AT407" s="304" t="str">
        <f t="shared" si="290"/>
        <v/>
      </c>
      <c r="AU407" s="304" t="str">
        <f t="shared" si="290"/>
        <v/>
      </c>
      <c r="AV407" s="28"/>
      <c r="AW407" s="304" t="str">
        <f t="shared" si="281"/>
        <v/>
      </c>
      <c r="AX407" s="304" t="str">
        <f t="shared" si="281"/>
        <v/>
      </c>
      <c r="AY407" s="28"/>
      <c r="AZ407" s="304" t="str">
        <f t="shared" si="282"/>
        <v/>
      </c>
      <c r="BA407" s="304" t="str">
        <f t="shared" si="282"/>
        <v/>
      </c>
      <c r="BB407" s="28"/>
      <c r="BC407" s="304" t="str">
        <f t="shared" si="283"/>
        <v/>
      </c>
      <c r="BD407" s="304" t="str">
        <f t="shared" si="283"/>
        <v/>
      </c>
      <c r="BE407" s="28"/>
      <c r="BF407" s="304">
        <f t="shared" si="284"/>
        <v>13.625000000000002</v>
      </c>
      <c r="BG407" s="304">
        <f t="shared" si="284"/>
        <v>13.625000000000002</v>
      </c>
      <c r="BH407" s="28"/>
      <c r="BI407" s="304" t="str">
        <f t="shared" si="285"/>
        <v/>
      </c>
      <c r="BJ407" s="304" t="str">
        <f t="shared" si="285"/>
        <v/>
      </c>
      <c r="BK407" s="28"/>
      <c r="BL407" s="304" t="str">
        <f t="shared" si="286"/>
        <v/>
      </c>
      <c r="BM407" s="304" t="str">
        <f t="shared" si="286"/>
        <v/>
      </c>
      <c r="BN407" s="28"/>
      <c r="BO407" s="304" t="str">
        <f t="shared" si="287"/>
        <v/>
      </c>
      <c r="BP407" s="304" t="str">
        <f t="shared" si="287"/>
        <v/>
      </c>
      <c r="BQ407" s="28"/>
      <c r="BR407" s="304" t="str">
        <f t="shared" si="288"/>
        <v/>
      </c>
      <c r="BS407" s="304" t="str">
        <f t="shared" si="288"/>
        <v/>
      </c>
      <c r="BT407" s="28"/>
      <c r="BU407" s="304" t="str">
        <f t="shared" si="289"/>
        <v/>
      </c>
      <c r="BV407" s="304" t="str">
        <f t="shared" si="289"/>
        <v/>
      </c>
      <c r="BW407" s="28"/>
      <c r="BX407" s="139"/>
    </row>
    <row r="408" spans="1:76" s="122" customFormat="1" ht="15.95" customHeight="1" x14ac:dyDescent="0.25">
      <c r="A408" s="195">
        <v>78</v>
      </c>
      <c r="B408" s="216" t="str">
        <f t="shared" si="264"/>
        <v>Middle East and Africa: FAO. 2017. Global Livestock Environmental Assessment Model (GLEAM)</v>
      </c>
      <c r="C408" s="221" t="s">
        <v>227</v>
      </c>
      <c r="D408" s="341" t="s">
        <v>287</v>
      </c>
      <c r="E408" s="221" t="s">
        <v>99</v>
      </c>
      <c r="F408" s="221" t="s">
        <v>288</v>
      </c>
      <c r="G408" s="340" t="s">
        <v>26</v>
      </c>
      <c r="H408" s="221">
        <v>2017</v>
      </c>
      <c r="I408" s="340"/>
      <c r="J408" s="338">
        <f t="shared" si="302"/>
        <v>2.5</v>
      </c>
      <c r="K408" s="339" t="s">
        <v>230</v>
      </c>
      <c r="L408" s="334">
        <f t="shared" si="294"/>
        <v>13.625000000000002</v>
      </c>
      <c r="M408" s="335" t="str">
        <f t="shared" si="265"/>
        <v>US$2014/ kg of protein</v>
      </c>
      <c r="N408" s="227"/>
      <c r="O408" s="227" t="s">
        <v>294</v>
      </c>
      <c r="Q408" s="228"/>
      <c r="R408" s="231">
        <f t="shared" si="301"/>
        <v>13.625000000000002</v>
      </c>
      <c r="S408" s="230">
        <f t="shared" si="299"/>
        <v>13.625000000000002</v>
      </c>
      <c r="T408" s="231"/>
      <c r="U408" s="232" t="str">
        <f t="shared" si="300"/>
        <v>US$2014/ kg of protein</v>
      </c>
      <c r="V408" s="28"/>
      <c r="W408" s="28"/>
      <c r="Y408" s="139"/>
      <c r="AO408" s="139"/>
      <c r="AP408" s="28"/>
      <c r="AQ408" s="28"/>
      <c r="AR408" s="237"/>
      <c r="AS408" s="28"/>
      <c r="AT408" s="304" t="str">
        <f t="shared" si="290"/>
        <v/>
      </c>
      <c r="AU408" s="304" t="str">
        <f t="shared" si="290"/>
        <v/>
      </c>
      <c r="AV408" s="28"/>
      <c r="AW408" s="304" t="str">
        <f t="shared" si="281"/>
        <v/>
      </c>
      <c r="AX408" s="304" t="str">
        <f t="shared" si="281"/>
        <v/>
      </c>
      <c r="AY408" s="28"/>
      <c r="AZ408" s="304" t="str">
        <f t="shared" si="282"/>
        <v/>
      </c>
      <c r="BA408" s="304" t="str">
        <f t="shared" si="282"/>
        <v/>
      </c>
      <c r="BB408" s="28"/>
      <c r="BC408" s="304" t="str">
        <f t="shared" si="283"/>
        <v/>
      </c>
      <c r="BD408" s="304" t="str">
        <f t="shared" si="283"/>
        <v/>
      </c>
      <c r="BE408" s="28"/>
      <c r="BF408" s="304">
        <f t="shared" si="284"/>
        <v>13.625000000000002</v>
      </c>
      <c r="BG408" s="304">
        <f t="shared" si="284"/>
        <v>13.625000000000002</v>
      </c>
      <c r="BH408" s="28"/>
      <c r="BI408" s="304" t="str">
        <f t="shared" si="285"/>
        <v/>
      </c>
      <c r="BJ408" s="304" t="str">
        <f t="shared" si="285"/>
        <v/>
      </c>
      <c r="BK408" s="28"/>
      <c r="BL408" s="304" t="str">
        <f t="shared" si="286"/>
        <v/>
      </c>
      <c r="BM408" s="304" t="str">
        <f t="shared" si="286"/>
        <v/>
      </c>
      <c r="BN408" s="28"/>
      <c r="BO408" s="304" t="str">
        <f t="shared" si="287"/>
        <v/>
      </c>
      <c r="BP408" s="304" t="str">
        <f t="shared" si="287"/>
        <v/>
      </c>
      <c r="BQ408" s="28"/>
      <c r="BR408" s="304" t="str">
        <f t="shared" si="288"/>
        <v/>
      </c>
      <c r="BS408" s="304" t="str">
        <f t="shared" si="288"/>
        <v/>
      </c>
      <c r="BT408" s="28"/>
      <c r="BU408" s="304" t="str">
        <f t="shared" si="289"/>
        <v/>
      </c>
      <c r="BV408" s="304" t="str">
        <f t="shared" si="289"/>
        <v/>
      </c>
      <c r="BW408" s="28"/>
      <c r="BX408" s="139"/>
    </row>
    <row r="409" spans="1:76" s="122" customFormat="1" ht="15.95" customHeight="1" x14ac:dyDescent="0.25">
      <c r="A409" s="195">
        <v>79</v>
      </c>
      <c r="B409" s="216" t="str">
        <f t="shared" si="264"/>
        <v>Latin America: FAO. 2017. Global Livestock Environmental Assessment Model (GLEAM)</v>
      </c>
      <c r="C409" s="221" t="s">
        <v>227</v>
      </c>
      <c r="D409" s="221" t="s">
        <v>295</v>
      </c>
      <c r="E409" s="221" t="s">
        <v>100</v>
      </c>
      <c r="F409" s="221" t="s">
        <v>296</v>
      </c>
      <c r="G409" s="340" t="s">
        <v>26</v>
      </c>
      <c r="H409" s="221">
        <v>2017</v>
      </c>
      <c r="I409" s="340"/>
      <c r="J409" s="338">
        <f>AVERAGE(25,50)</f>
        <v>37.5</v>
      </c>
      <c r="K409" s="339" t="s">
        <v>230</v>
      </c>
      <c r="L409" s="334">
        <f t="shared" ref="L409:L421" si="303">1/J409*$AB$14/(0.75*0.2113)</f>
        <v>0.18341483935426203</v>
      </c>
      <c r="M409" s="335" t="str">
        <f t="shared" si="265"/>
        <v>US$2014/ kg of protein</v>
      </c>
      <c r="N409" s="227"/>
      <c r="O409" s="227" t="s">
        <v>297</v>
      </c>
      <c r="Q409" s="228"/>
      <c r="R409" s="231">
        <f t="shared" si="301"/>
        <v>0.18341483935426203</v>
      </c>
      <c r="S409" s="230">
        <f t="shared" si="299"/>
        <v>0.18341483935426203</v>
      </c>
      <c r="T409" s="231"/>
      <c r="U409" s="232" t="str">
        <f t="shared" si="300"/>
        <v>US$2014/ kg of protein</v>
      </c>
      <c r="V409" s="28"/>
      <c r="W409" s="28"/>
      <c r="Y409" s="139"/>
      <c r="AO409" s="139"/>
      <c r="AP409" s="28"/>
      <c r="AQ409" s="28"/>
      <c r="AR409" s="237"/>
      <c r="AS409" s="28"/>
      <c r="AT409" s="304" t="str">
        <f t="shared" si="290"/>
        <v/>
      </c>
      <c r="AU409" s="304" t="str">
        <f t="shared" si="290"/>
        <v/>
      </c>
      <c r="AV409" s="28"/>
      <c r="AW409" s="304" t="str">
        <f t="shared" si="281"/>
        <v/>
      </c>
      <c r="AX409" s="304" t="str">
        <f t="shared" si="281"/>
        <v/>
      </c>
      <c r="AY409" s="28"/>
      <c r="AZ409" s="304" t="str">
        <f t="shared" si="282"/>
        <v/>
      </c>
      <c r="BA409" s="304" t="str">
        <f t="shared" si="282"/>
        <v/>
      </c>
      <c r="BB409" s="28"/>
      <c r="BC409" s="304" t="str">
        <f t="shared" si="283"/>
        <v/>
      </c>
      <c r="BD409" s="304" t="str">
        <f t="shared" si="283"/>
        <v/>
      </c>
      <c r="BE409" s="28"/>
      <c r="BF409" s="304" t="str">
        <f t="shared" si="284"/>
        <v/>
      </c>
      <c r="BG409" s="304" t="str">
        <f t="shared" si="284"/>
        <v/>
      </c>
      <c r="BH409" s="28"/>
      <c r="BI409" s="304">
        <f t="shared" si="285"/>
        <v>0.18341483935426203</v>
      </c>
      <c r="BJ409" s="304">
        <f t="shared" si="285"/>
        <v>0.18341483935426203</v>
      </c>
      <c r="BK409" s="28"/>
      <c r="BL409" s="304" t="str">
        <f t="shared" si="286"/>
        <v/>
      </c>
      <c r="BM409" s="304" t="str">
        <f t="shared" si="286"/>
        <v/>
      </c>
      <c r="BN409" s="28"/>
      <c r="BO409" s="304" t="str">
        <f t="shared" si="287"/>
        <v/>
      </c>
      <c r="BP409" s="304" t="str">
        <f t="shared" si="287"/>
        <v/>
      </c>
      <c r="BQ409" s="28"/>
      <c r="BR409" s="304" t="str">
        <f t="shared" si="288"/>
        <v/>
      </c>
      <c r="BS409" s="304" t="str">
        <f t="shared" si="288"/>
        <v/>
      </c>
      <c r="BT409" s="28"/>
      <c r="BU409" s="304" t="str">
        <f t="shared" si="289"/>
        <v/>
      </c>
      <c r="BV409" s="304" t="str">
        <f t="shared" si="289"/>
        <v/>
      </c>
      <c r="BW409" s="28"/>
      <c r="BX409" s="139"/>
    </row>
    <row r="410" spans="1:76" s="122" customFormat="1" ht="15.95" customHeight="1" x14ac:dyDescent="0.25">
      <c r="A410" s="195">
        <v>80</v>
      </c>
      <c r="B410" s="216" t="str">
        <f t="shared" si="264"/>
        <v>Latin America: FAO. 2017. Global Livestock Environmental Assessment Model (GLEAM)</v>
      </c>
      <c r="C410" s="221" t="s">
        <v>227</v>
      </c>
      <c r="D410" s="221" t="s">
        <v>295</v>
      </c>
      <c r="E410" s="221" t="s">
        <v>100</v>
      </c>
      <c r="F410" s="221" t="s">
        <v>296</v>
      </c>
      <c r="G410" s="340" t="s">
        <v>26</v>
      </c>
      <c r="H410" s="221">
        <v>2017</v>
      </c>
      <c r="I410" s="340"/>
      <c r="J410" s="338">
        <f>AVERAGE(0,25)</f>
        <v>12.5</v>
      </c>
      <c r="K410" s="339" t="s">
        <v>230</v>
      </c>
      <c r="L410" s="334">
        <f t="shared" si="303"/>
        <v>0.55024451806278607</v>
      </c>
      <c r="M410" s="335" t="str">
        <f t="shared" si="265"/>
        <v>US$2014/ kg of protein</v>
      </c>
      <c r="N410" s="227"/>
      <c r="O410" s="227" t="s">
        <v>298</v>
      </c>
      <c r="Q410" s="228"/>
      <c r="R410" s="231">
        <f t="shared" si="301"/>
        <v>0.55024451806278607</v>
      </c>
      <c r="S410" s="230">
        <f t="shared" si="299"/>
        <v>0.55024451806278607</v>
      </c>
      <c r="T410" s="231"/>
      <c r="U410" s="232" t="str">
        <f t="shared" si="300"/>
        <v>US$2014/ kg of protein</v>
      </c>
      <c r="V410" s="28"/>
      <c r="W410" s="28"/>
      <c r="Y410" s="139"/>
      <c r="AO410" s="139"/>
      <c r="AP410" s="28"/>
      <c r="AQ410" s="28"/>
      <c r="AR410" s="237"/>
      <c r="AS410" s="28"/>
      <c r="AT410" s="304" t="str">
        <f t="shared" si="290"/>
        <v/>
      </c>
      <c r="AU410" s="304" t="str">
        <f t="shared" si="290"/>
        <v/>
      </c>
      <c r="AV410" s="28"/>
      <c r="AW410" s="304" t="str">
        <f t="shared" si="281"/>
        <v/>
      </c>
      <c r="AX410" s="304" t="str">
        <f t="shared" si="281"/>
        <v/>
      </c>
      <c r="AY410" s="28"/>
      <c r="AZ410" s="304" t="str">
        <f t="shared" si="282"/>
        <v/>
      </c>
      <c r="BA410" s="304" t="str">
        <f t="shared" si="282"/>
        <v/>
      </c>
      <c r="BB410" s="28"/>
      <c r="BC410" s="304" t="str">
        <f t="shared" si="283"/>
        <v/>
      </c>
      <c r="BD410" s="304" t="str">
        <f t="shared" si="283"/>
        <v/>
      </c>
      <c r="BE410" s="28"/>
      <c r="BF410" s="304" t="str">
        <f t="shared" si="284"/>
        <v/>
      </c>
      <c r="BG410" s="304" t="str">
        <f t="shared" si="284"/>
        <v/>
      </c>
      <c r="BH410" s="28"/>
      <c r="BI410" s="304">
        <f t="shared" si="285"/>
        <v>0.55024451806278607</v>
      </c>
      <c r="BJ410" s="304">
        <f t="shared" si="285"/>
        <v>0.55024451806278607</v>
      </c>
      <c r="BK410" s="28"/>
      <c r="BL410" s="304" t="str">
        <f t="shared" si="286"/>
        <v/>
      </c>
      <c r="BM410" s="304" t="str">
        <f t="shared" si="286"/>
        <v/>
      </c>
      <c r="BN410" s="28"/>
      <c r="BO410" s="304" t="str">
        <f t="shared" si="287"/>
        <v/>
      </c>
      <c r="BP410" s="304" t="str">
        <f t="shared" si="287"/>
        <v/>
      </c>
      <c r="BQ410" s="28"/>
      <c r="BR410" s="304" t="str">
        <f t="shared" si="288"/>
        <v/>
      </c>
      <c r="BS410" s="304" t="str">
        <f t="shared" si="288"/>
        <v/>
      </c>
      <c r="BT410" s="28"/>
      <c r="BU410" s="304" t="str">
        <f t="shared" si="289"/>
        <v/>
      </c>
      <c r="BV410" s="304" t="str">
        <f t="shared" si="289"/>
        <v/>
      </c>
      <c r="BW410" s="28"/>
      <c r="BX410" s="139"/>
    </row>
    <row r="411" spans="1:76" s="122" customFormat="1" ht="15.95" customHeight="1" x14ac:dyDescent="0.25">
      <c r="A411" s="195">
        <v>81</v>
      </c>
      <c r="B411" s="216" t="str">
        <f t="shared" si="264"/>
        <v>Latin America: FAO. 2017. Global Livestock Environmental Assessment Model (GLEAM)</v>
      </c>
      <c r="C411" s="221" t="s">
        <v>227</v>
      </c>
      <c r="D411" s="221" t="s">
        <v>295</v>
      </c>
      <c r="E411" s="221" t="s">
        <v>100</v>
      </c>
      <c r="F411" s="221" t="s">
        <v>296</v>
      </c>
      <c r="G411" s="340" t="s">
        <v>26</v>
      </c>
      <c r="H411" s="221">
        <v>2017</v>
      </c>
      <c r="I411" s="340"/>
      <c r="J411" s="338">
        <f>AVERAGE(0,25)</f>
        <v>12.5</v>
      </c>
      <c r="K411" s="339" t="s">
        <v>230</v>
      </c>
      <c r="L411" s="334">
        <f t="shared" si="303"/>
        <v>0.55024451806278607</v>
      </c>
      <c r="M411" s="335" t="str">
        <f t="shared" si="265"/>
        <v>US$2014/ kg of protein</v>
      </c>
      <c r="N411" s="227"/>
      <c r="O411" s="227" t="s">
        <v>299</v>
      </c>
      <c r="Q411" s="228"/>
      <c r="R411" s="231">
        <f t="shared" si="301"/>
        <v>0.55024451806278607</v>
      </c>
      <c r="S411" s="230">
        <f t="shared" si="299"/>
        <v>0.55024451806278607</v>
      </c>
      <c r="T411" s="231"/>
      <c r="U411" s="232" t="str">
        <f t="shared" si="300"/>
        <v>US$2014/ kg of protein</v>
      </c>
      <c r="V411" s="28"/>
      <c r="W411" s="28"/>
      <c r="Y411" s="139"/>
      <c r="AO411" s="139"/>
      <c r="AP411" s="28"/>
      <c r="AQ411" s="28"/>
      <c r="AR411" s="237"/>
      <c r="AS411" s="28"/>
      <c r="AT411" s="304" t="str">
        <f t="shared" si="290"/>
        <v/>
      </c>
      <c r="AU411" s="304" t="str">
        <f t="shared" si="290"/>
        <v/>
      </c>
      <c r="AV411" s="28"/>
      <c r="AW411" s="304" t="str">
        <f t="shared" ref="AW411:AX450" si="304">IF($E411=$AW$83,R411,"")</f>
        <v/>
      </c>
      <c r="AX411" s="304" t="str">
        <f t="shared" si="304"/>
        <v/>
      </c>
      <c r="AY411" s="28"/>
      <c r="AZ411" s="304" t="str">
        <f t="shared" ref="AZ411:BA450" si="305">IF($E411=$AZ$83,R411,"")</f>
        <v/>
      </c>
      <c r="BA411" s="304" t="str">
        <f t="shared" si="305"/>
        <v/>
      </c>
      <c r="BB411" s="28"/>
      <c r="BC411" s="304" t="str">
        <f t="shared" ref="BC411:BD450" si="306">IF($E411=$BC$83,R411,"")</f>
        <v/>
      </c>
      <c r="BD411" s="304" t="str">
        <f t="shared" si="306"/>
        <v/>
      </c>
      <c r="BE411" s="28"/>
      <c r="BF411" s="304" t="str">
        <f t="shared" ref="BF411:BG450" si="307">IF($E411=$BF$83,R411,"")</f>
        <v/>
      </c>
      <c r="BG411" s="304" t="str">
        <f t="shared" si="307"/>
        <v/>
      </c>
      <c r="BH411" s="28"/>
      <c r="BI411" s="304">
        <f t="shared" ref="BI411:BJ450" si="308">IF($E411=$BI$83,R411,"")</f>
        <v>0.55024451806278607</v>
      </c>
      <c r="BJ411" s="304">
        <f t="shared" si="308"/>
        <v>0.55024451806278607</v>
      </c>
      <c r="BK411" s="28"/>
      <c r="BL411" s="304" t="str">
        <f t="shared" ref="BL411:BM450" si="309">IF($E411=$BL$83,R411,"")</f>
        <v/>
      </c>
      <c r="BM411" s="304" t="str">
        <f t="shared" si="309"/>
        <v/>
      </c>
      <c r="BN411" s="28"/>
      <c r="BO411" s="304" t="str">
        <f t="shared" ref="BO411:BP450" si="310">IF($E411=$BO$83,R411,"")</f>
        <v/>
      </c>
      <c r="BP411" s="304" t="str">
        <f t="shared" si="310"/>
        <v/>
      </c>
      <c r="BQ411" s="28"/>
      <c r="BR411" s="304" t="str">
        <f t="shared" ref="BR411:BS450" si="311">IF($E411=$BR$83,R411,"")</f>
        <v/>
      </c>
      <c r="BS411" s="304" t="str">
        <f t="shared" si="311"/>
        <v/>
      </c>
      <c r="BT411" s="28"/>
      <c r="BU411" s="304" t="str">
        <f t="shared" ref="BU411:BV450" si="312">IF($E411=$BU$83,R411,"")</f>
        <v/>
      </c>
      <c r="BV411" s="304" t="str">
        <f t="shared" si="312"/>
        <v/>
      </c>
      <c r="BW411" s="28"/>
      <c r="BX411" s="139"/>
    </row>
    <row r="412" spans="1:76" s="122" customFormat="1" ht="15.95" customHeight="1" x14ac:dyDescent="0.25">
      <c r="A412" s="195">
        <v>82</v>
      </c>
      <c r="B412" s="216" t="str">
        <f t="shared" si="264"/>
        <v>Latin America: FAO. 2017. Global Livestock Environmental Assessment Model (GLEAM)</v>
      </c>
      <c r="C412" s="221" t="s">
        <v>227</v>
      </c>
      <c r="D412" s="221" t="s">
        <v>295</v>
      </c>
      <c r="E412" s="221" t="s">
        <v>100</v>
      </c>
      <c r="F412" s="221" t="s">
        <v>296</v>
      </c>
      <c r="G412" s="340" t="s">
        <v>26</v>
      </c>
      <c r="H412" s="221">
        <v>2017</v>
      </c>
      <c r="I412" s="340"/>
      <c r="J412" s="338">
        <f>AVERAGE(25,50)</f>
        <v>37.5</v>
      </c>
      <c r="K412" s="339" t="s">
        <v>230</v>
      </c>
      <c r="L412" s="334">
        <f>1/J412*$AB$14/(0.75*0.2113)</f>
        <v>0.18341483935426203</v>
      </c>
      <c r="M412" s="335" t="str">
        <f t="shared" si="265"/>
        <v>US$2014/ kg of protein</v>
      </c>
      <c r="N412" s="227"/>
      <c r="O412" s="227" t="s">
        <v>300</v>
      </c>
      <c r="Q412" s="228"/>
      <c r="R412" s="231">
        <f t="shared" si="301"/>
        <v>0.18341483935426203</v>
      </c>
      <c r="S412" s="230">
        <f t="shared" si="299"/>
        <v>0.18341483935426203</v>
      </c>
      <c r="T412" s="231"/>
      <c r="U412" s="232" t="str">
        <f t="shared" si="300"/>
        <v>US$2014/ kg of protein</v>
      </c>
      <c r="V412" s="28"/>
      <c r="W412" s="28"/>
      <c r="Y412" s="139"/>
      <c r="AO412" s="139"/>
      <c r="AP412" s="28"/>
      <c r="AQ412" s="28"/>
      <c r="AR412" s="237"/>
      <c r="AS412" s="28"/>
      <c r="AT412" s="304" t="str">
        <f t="shared" ref="AT412:AU451" si="313">IF($E412=$AT$47,R412,"")</f>
        <v/>
      </c>
      <c r="AU412" s="304" t="str">
        <f t="shared" si="313"/>
        <v/>
      </c>
      <c r="AV412" s="28"/>
      <c r="AW412" s="304" t="str">
        <f t="shared" si="304"/>
        <v/>
      </c>
      <c r="AX412" s="304" t="str">
        <f t="shared" si="304"/>
        <v/>
      </c>
      <c r="AY412" s="28"/>
      <c r="AZ412" s="304" t="str">
        <f t="shared" si="305"/>
        <v/>
      </c>
      <c r="BA412" s="304" t="str">
        <f t="shared" si="305"/>
        <v/>
      </c>
      <c r="BB412" s="28"/>
      <c r="BC412" s="304" t="str">
        <f t="shared" si="306"/>
        <v/>
      </c>
      <c r="BD412" s="304" t="str">
        <f t="shared" si="306"/>
        <v/>
      </c>
      <c r="BE412" s="28"/>
      <c r="BF412" s="304" t="str">
        <f t="shared" si="307"/>
        <v/>
      </c>
      <c r="BG412" s="304" t="str">
        <f t="shared" si="307"/>
        <v/>
      </c>
      <c r="BH412" s="28"/>
      <c r="BI412" s="304">
        <f t="shared" si="308"/>
        <v>0.18341483935426203</v>
      </c>
      <c r="BJ412" s="304">
        <f t="shared" si="308"/>
        <v>0.18341483935426203</v>
      </c>
      <c r="BK412" s="28"/>
      <c r="BL412" s="304" t="str">
        <f t="shared" si="309"/>
        <v/>
      </c>
      <c r="BM412" s="304" t="str">
        <f t="shared" si="309"/>
        <v/>
      </c>
      <c r="BN412" s="28"/>
      <c r="BO412" s="304" t="str">
        <f t="shared" si="310"/>
        <v/>
      </c>
      <c r="BP412" s="304" t="str">
        <f t="shared" si="310"/>
        <v/>
      </c>
      <c r="BQ412" s="28"/>
      <c r="BR412" s="304" t="str">
        <f t="shared" si="311"/>
        <v/>
      </c>
      <c r="BS412" s="304" t="str">
        <f t="shared" si="311"/>
        <v/>
      </c>
      <c r="BT412" s="28"/>
      <c r="BU412" s="304" t="str">
        <f t="shared" si="312"/>
        <v/>
      </c>
      <c r="BV412" s="304" t="str">
        <f t="shared" si="312"/>
        <v/>
      </c>
      <c r="BW412" s="28"/>
      <c r="BX412" s="139"/>
    </row>
    <row r="413" spans="1:76" s="122" customFormat="1" ht="15.95" customHeight="1" x14ac:dyDescent="0.25">
      <c r="A413" s="195">
        <v>83</v>
      </c>
      <c r="B413" s="216" t="str">
        <f t="shared" si="264"/>
        <v>Latin America: FAO. 2017. Global Livestock Environmental Assessment Model (GLEAM)</v>
      </c>
      <c r="C413" s="221" t="s">
        <v>227</v>
      </c>
      <c r="D413" s="221" t="s">
        <v>295</v>
      </c>
      <c r="E413" s="221" t="s">
        <v>100</v>
      </c>
      <c r="F413" s="221" t="s">
        <v>296</v>
      </c>
      <c r="G413" s="340" t="s">
        <v>26</v>
      </c>
      <c r="H413" s="221">
        <v>2017</v>
      </c>
      <c r="I413" s="340"/>
      <c r="J413" s="338">
        <f t="shared" ref="J413:J420" si="314">AVERAGE(25,50)</f>
        <v>37.5</v>
      </c>
      <c r="K413" s="339" t="s">
        <v>230</v>
      </c>
      <c r="L413" s="334">
        <f t="shared" si="303"/>
        <v>0.18341483935426203</v>
      </c>
      <c r="M413" s="335" t="str">
        <f t="shared" si="265"/>
        <v>US$2014/ kg of protein</v>
      </c>
      <c r="N413" s="227"/>
      <c r="O413" s="227" t="s">
        <v>301</v>
      </c>
      <c r="Q413" s="228"/>
      <c r="R413" s="231">
        <f t="shared" si="301"/>
        <v>0.18341483935426203</v>
      </c>
      <c r="S413" s="230">
        <f t="shared" si="299"/>
        <v>0.18341483935426203</v>
      </c>
      <c r="T413" s="231"/>
      <c r="U413" s="232" t="str">
        <f t="shared" si="300"/>
        <v>US$2014/ kg of protein</v>
      </c>
      <c r="V413" s="28"/>
      <c r="W413" s="28"/>
      <c r="Y413" s="139"/>
      <c r="AO413" s="139"/>
      <c r="AP413" s="28"/>
      <c r="AQ413" s="28"/>
      <c r="AR413" s="237"/>
      <c r="AS413" s="28"/>
      <c r="AT413" s="304" t="str">
        <f t="shared" si="313"/>
        <v/>
      </c>
      <c r="AU413" s="304" t="str">
        <f t="shared" si="313"/>
        <v/>
      </c>
      <c r="AV413" s="28"/>
      <c r="AW413" s="304" t="str">
        <f t="shared" si="304"/>
        <v/>
      </c>
      <c r="AX413" s="304" t="str">
        <f t="shared" si="304"/>
        <v/>
      </c>
      <c r="AY413" s="28"/>
      <c r="AZ413" s="304" t="str">
        <f t="shared" si="305"/>
        <v/>
      </c>
      <c r="BA413" s="304" t="str">
        <f t="shared" si="305"/>
        <v/>
      </c>
      <c r="BB413" s="28"/>
      <c r="BC413" s="304" t="str">
        <f t="shared" si="306"/>
        <v/>
      </c>
      <c r="BD413" s="304" t="str">
        <f t="shared" si="306"/>
        <v/>
      </c>
      <c r="BE413" s="28"/>
      <c r="BF413" s="304" t="str">
        <f t="shared" si="307"/>
        <v/>
      </c>
      <c r="BG413" s="304" t="str">
        <f t="shared" si="307"/>
        <v/>
      </c>
      <c r="BH413" s="28"/>
      <c r="BI413" s="304">
        <f t="shared" si="308"/>
        <v>0.18341483935426203</v>
      </c>
      <c r="BJ413" s="304">
        <f t="shared" si="308"/>
        <v>0.18341483935426203</v>
      </c>
      <c r="BK413" s="28"/>
      <c r="BL413" s="304" t="str">
        <f t="shared" si="309"/>
        <v/>
      </c>
      <c r="BM413" s="304" t="str">
        <f t="shared" si="309"/>
        <v/>
      </c>
      <c r="BN413" s="28"/>
      <c r="BO413" s="304" t="str">
        <f t="shared" si="310"/>
        <v/>
      </c>
      <c r="BP413" s="304" t="str">
        <f t="shared" si="310"/>
        <v/>
      </c>
      <c r="BQ413" s="28"/>
      <c r="BR413" s="304" t="str">
        <f t="shared" si="311"/>
        <v/>
      </c>
      <c r="BS413" s="304" t="str">
        <f t="shared" si="311"/>
        <v/>
      </c>
      <c r="BT413" s="28"/>
      <c r="BU413" s="304" t="str">
        <f t="shared" si="312"/>
        <v/>
      </c>
      <c r="BV413" s="304" t="str">
        <f t="shared" si="312"/>
        <v/>
      </c>
      <c r="BW413" s="28"/>
      <c r="BX413" s="139"/>
    </row>
    <row r="414" spans="1:76" s="122" customFormat="1" ht="15.95" customHeight="1" x14ac:dyDescent="0.25">
      <c r="A414" s="195">
        <v>84</v>
      </c>
      <c r="B414" s="216" t="str">
        <f t="shared" si="264"/>
        <v>Latin America: FAO. 2017. Global Livestock Environmental Assessment Model (GLEAM)</v>
      </c>
      <c r="C414" s="221" t="s">
        <v>227</v>
      </c>
      <c r="D414" s="221" t="s">
        <v>295</v>
      </c>
      <c r="E414" s="221" t="s">
        <v>100</v>
      </c>
      <c r="F414" s="221" t="s">
        <v>296</v>
      </c>
      <c r="G414" s="340" t="s">
        <v>26</v>
      </c>
      <c r="H414" s="221">
        <v>2017</v>
      </c>
      <c r="I414" s="340"/>
      <c r="J414" s="338">
        <f t="shared" si="314"/>
        <v>37.5</v>
      </c>
      <c r="K414" s="339" t="s">
        <v>230</v>
      </c>
      <c r="L414" s="334">
        <f t="shared" si="303"/>
        <v>0.18341483935426203</v>
      </c>
      <c r="M414" s="335" t="str">
        <f t="shared" si="265"/>
        <v>US$2014/ kg of protein</v>
      </c>
      <c r="N414" s="227"/>
      <c r="O414" s="227" t="s">
        <v>302</v>
      </c>
      <c r="Q414" s="228"/>
      <c r="R414" s="231">
        <f t="shared" si="301"/>
        <v>0.18341483935426203</v>
      </c>
      <c r="S414" s="230">
        <f t="shared" si="299"/>
        <v>0.18341483935426203</v>
      </c>
      <c r="T414" s="231"/>
      <c r="U414" s="232" t="str">
        <f t="shared" si="300"/>
        <v>US$2014/ kg of protein</v>
      </c>
      <c r="V414" s="28"/>
      <c r="W414" s="28"/>
      <c r="Y414" s="139"/>
      <c r="AO414" s="139"/>
      <c r="AP414" s="28"/>
      <c r="AQ414" s="28"/>
      <c r="AR414" s="237"/>
      <c r="AS414" s="28"/>
      <c r="AT414" s="304" t="str">
        <f t="shared" si="313"/>
        <v/>
      </c>
      <c r="AU414" s="304" t="str">
        <f t="shared" si="313"/>
        <v/>
      </c>
      <c r="AV414" s="28"/>
      <c r="AW414" s="304" t="str">
        <f t="shared" si="304"/>
        <v/>
      </c>
      <c r="AX414" s="304" t="str">
        <f t="shared" si="304"/>
        <v/>
      </c>
      <c r="AY414" s="28"/>
      <c r="AZ414" s="304" t="str">
        <f t="shared" si="305"/>
        <v/>
      </c>
      <c r="BA414" s="304" t="str">
        <f t="shared" si="305"/>
        <v/>
      </c>
      <c r="BB414" s="28"/>
      <c r="BC414" s="304" t="str">
        <f t="shared" si="306"/>
        <v/>
      </c>
      <c r="BD414" s="304" t="str">
        <f t="shared" si="306"/>
        <v/>
      </c>
      <c r="BE414" s="28"/>
      <c r="BF414" s="304" t="str">
        <f t="shared" si="307"/>
        <v/>
      </c>
      <c r="BG414" s="304" t="str">
        <f t="shared" si="307"/>
        <v/>
      </c>
      <c r="BH414" s="28"/>
      <c r="BI414" s="304">
        <f t="shared" si="308"/>
        <v>0.18341483935426203</v>
      </c>
      <c r="BJ414" s="304">
        <f t="shared" si="308"/>
        <v>0.18341483935426203</v>
      </c>
      <c r="BK414" s="28"/>
      <c r="BL414" s="304" t="str">
        <f t="shared" si="309"/>
        <v/>
      </c>
      <c r="BM414" s="304" t="str">
        <f t="shared" si="309"/>
        <v/>
      </c>
      <c r="BN414" s="28"/>
      <c r="BO414" s="304" t="str">
        <f t="shared" si="310"/>
        <v/>
      </c>
      <c r="BP414" s="304" t="str">
        <f t="shared" si="310"/>
        <v/>
      </c>
      <c r="BQ414" s="28"/>
      <c r="BR414" s="304" t="str">
        <f t="shared" si="311"/>
        <v/>
      </c>
      <c r="BS414" s="304" t="str">
        <f t="shared" si="311"/>
        <v/>
      </c>
      <c r="BT414" s="28"/>
      <c r="BU414" s="304" t="str">
        <f t="shared" si="312"/>
        <v/>
      </c>
      <c r="BV414" s="304" t="str">
        <f t="shared" si="312"/>
        <v/>
      </c>
      <c r="BW414" s="28"/>
      <c r="BX414" s="139"/>
    </row>
    <row r="415" spans="1:76" s="122" customFormat="1" ht="15.95" customHeight="1" x14ac:dyDescent="0.25">
      <c r="A415" s="195">
        <v>85</v>
      </c>
      <c r="B415" s="216" t="str">
        <f t="shared" si="264"/>
        <v>Latin America: FAO. 2017. Global Livestock Environmental Assessment Model (GLEAM)</v>
      </c>
      <c r="C415" s="221" t="s">
        <v>227</v>
      </c>
      <c r="D415" s="221" t="s">
        <v>295</v>
      </c>
      <c r="E415" s="221" t="s">
        <v>100</v>
      </c>
      <c r="F415" s="221" t="s">
        <v>296</v>
      </c>
      <c r="G415" s="340" t="s">
        <v>26</v>
      </c>
      <c r="H415" s="221">
        <v>2017</v>
      </c>
      <c r="I415" s="340"/>
      <c r="J415" s="338">
        <f>AVERAGE(0,25)</f>
        <v>12.5</v>
      </c>
      <c r="K415" s="339" t="s">
        <v>230</v>
      </c>
      <c r="L415" s="334">
        <f>1/J415*$AB$14/(0.75*0.2113)</f>
        <v>0.55024451806278607</v>
      </c>
      <c r="M415" s="335" t="str">
        <f t="shared" si="265"/>
        <v>US$2014/ kg of protein</v>
      </c>
      <c r="N415" s="227"/>
      <c r="O415" s="227" t="s">
        <v>303</v>
      </c>
      <c r="Q415" s="228"/>
      <c r="R415" s="231">
        <f t="shared" si="301"/>
        <v>0.55024451806278607</v>
      </c>
      <c r="S415" s="230">
        <f t="shared" si="299"/>
        <v>0.55024451806278607</v>
      </c>
      <c r="T415" s="231"/>
      <c r="U415" s="232" t="str">
        <f t="shared" si="300"/>
        <v>US$2014/ kg of protein</v>
      </c>
      <c r="V415" s="28"/>
      <c r="W415" s="28"/>
      <c r="Y415" s="139"/>
      <c r="AO415" s="139"/>
      <c r="AP415" s="28"/>
      <c r="AQ415" s="28"/>
      <c r="AR415" s="237"/>
      <c r="AS415" s="28"/>
      <c r="AT415" s="304" t="str">
        <f t="shared" si="313"/>
        <v/>
      </c>
      <c r="AU415" s="304" t="str">
        <f t="shared" si="313"/>
        <v/>
      </c>
      <c r="AV415" s="28"/>
      <c r="AW415" s="304" t="str">
        <f t="shared" si="304"/>
        <v/>
      </c>
      <c r="AX415" s="304" t="str">
        <f t="shared" si="304"/>
        <v/>
      </c>
      <c r="AY415" s="28"/>
      <c r="AZ415" s="304" t="str">
        <f t="shared" si="305"/>
        <v/>
      </c>
      <c r="BA415" s="304" t="str">
        <f t="shared" si="305"/>
        <v/>
      </c>
      <c r="BB415" s="28"/>
      <c r="BC415" s="304" t="str">
        <f t="shared" si="306"/>
        <v/>
      </c>
      <c r="BD415" s="304" t="str">
        <f t="shared" si="306"/>
        <v/>
      </c>
      <c r="BE415" s="28"/>
      <c r="BF415" s="304" t="str">
        <f t="shared" si="307"/>
        <v/>
      </c>
      <c r="BG415" s="304" t="str">
        <f t="shared" si="307"/>
        <v/>
      </c>
      <c r="BH415" s="28"/>
      <c r="BI415" s="304">
        <f t="shared" si="308"/>
        <v>0.55024451806278607</v>
      </c>
      <c r="BJ415" s="304">
        <f t="shared" si="308"/>
        <v>0.55024451806278607</v>
      </c>
      <c r="BK415" s="28"/>
      <c r="BL415" s="304" t="str">
        <f t="shared" si="309"/>
        <v/>
      </c>
      <c r="BM415" s="304" t="str">
        <f t="shared" si="309"/>
        <v/>
      </c>
      <c r="BN415" s="28"/>
      <c r="BO415" s="304" t="str">
        <f t="shared" si="310"/>
        <v/>
      </c>
      <c r="BP415" s="304" t="str">
        <f t="shared" si="310"/>
        <v/>
      </c>
      <c r="BQ415" s="28"/>
      <c r="BR415" s="304" t="str">
        <f t="shared" si="311"/>
        <v/>
      </c>
      <c r="BS415" s="304" t="str">
        <f t="shared" si="311"/>
        <v/>
      </c>
      <c r="BT415" s="28"/>
      <c r="BU415" s="304" t="str">
        <f t="shared" si="312"/>
        <v/>
      </c>
      <c r="BV415" s="304" t="str">
        <f t="shared" si="312"/>
        <v/>
      </c>
      <c r="BW415" s="28"/>
      <c r="BX415" s="139"/>
    </row>
    <row r="416" spans="1:76" s="122" customFormat="1" ht="15.95" customHeight="1" x14ac:dyDescent="0.25">
      <c r="A416" s="195">
        <v>86</v>
      </c>
      <c r="B416" s="216" t="str">
        <f t="shared" si="264"/>
        <v>Latin America: FAO. 2017. Global Livestock Environmental Assessment Model (GLEAM)</v>
      </c>
      <c r="C416" s="221" t="s">
        <v>227</v>
      </c>
      <c r="D416" s="221" t="s">
        <v>295</v>
      </c>
      <c r="E416" s="221" t="s">
        <v>100</v>
      </c>
      <c r="F416" s="221" t="s">
        <v>296</v>
      </c>
      <c r="G416" s="340" t="s">
        <v>26</v>
      </c>
      <c r="H416" s="221">
        <v>2017</v>
      </c>
      <c r="I416" s="340"/>
      <c r="J416" s="338">
        <f t="shared" si="314"/>
        <v>37.5</v>
      </c>
      <c r="K416" s="339" t="s">
        <v>230</v>
      </c>
      <c r="L416" s="334">
        <f t="shared" si="303"/>
        <v>0.18341483935426203</v>
      </c>
      <c r="M416" s="335" t="str">
        <f t="shared" si="265"/>
        <v>US$2014/ kg of protein</v>
      </c>
      <c r="N416" s="227"/>
      <c r="O416" s="227" t="s">
        <v>304</v>
      </c>
      <c r="Q416" s="228"/>
      <c r="R416" s="231">
        <f t="shared" si="301"/>
        <v>0.18341483935426203</v>
      </c>
      <c r="S416" s="230">
        <f t="shared" si="299"/>
        <v>0.18341483935426203</v>
      </c>
      <c r="T416" s="231"/>
      <c r="U416" s="232" t="str">
        <f t="shared" si="300"/>
        <v>US$2014/ kg of protein</v>
      </c>
      <c r="V416" s="28"/>
      <c r="W416" s="28"/>
      <c r="Y416" s="139"/>
      <c r="AO416" s="139"/>
      <c r="AP416" s="28"/>
      <c r="AQ416" s="28"/>
      <c r="AR416" s="237"/>
      <c r="AS416" s="28"/>
      <c r="AT416" s="304" t="str">
        <f t="shared" si="313"/>
        <v/>
      </c>
      <c r="AU416" s="304" t="str">
        <f t="shared" si="313"/>
        <v/>
      </c>
      <c r="AV416" s="28"/>
      <c r="AW416" s="304" t="str">
        <f t="shared" si="304"/>
        <v/>
      </c>
      <c r="AX416" s="304" t="str">
        <f t="shared" si="304"/>
        <v/>
      </c>
      <c r="AY416" s="28"/>
      <c r="AZ416" s="304" t="str">
        <f t="shared" si="305"/>
        <v/>
      </c>
      <c r="BA416" s="304" t="str">
        <f t="shared" si="305"/>
        <v/>
      </c>
      <c r="BB416" s="28"/>
      <c r="BC416" s="304" t="str">
        <f t="shared" si="306"/>
        <v/>
      </c>
      <c r="BD416" s="304" t="str">
        <f t="shared" si="306"/>
        <v/>
      </c>
      <c r="BE416" s="28"/>
      <c r="BF416" s="304" t="str">
        <f t="shared" si="307"/>
        <v/>
      </c>
      <c r="BG416" s="304" t="str">
        <f t="shared" si="307"/>
        <v/>
      </c>
      <c r="BH416" s="28"/>
      <c r="BI416" s="304">
        <f t="shared" si="308"/>
        <v>0.18341483935426203</v>
      </c>
      <c r="BJ416" s="304">
        <f t="shared" si="308"/>
        <v>0.18341483935426203</v>
      </c>
      <c r="BK416" s="28"/>
      <c r="BL416" s="304" t="str">
        <f t="shared" si="309"/>
        <v/>
      </c>
      <c r="BM416" s="304" t="str">
        <f t="shared" si="309"/>
        <v/>
      </c>
      <c r="BN416" s="28"/>
      <c r="BO416" s="304" t="str">
        <f t="shared" si="310"/>
        <v/>
      </c>
      <c r="BP416" s="304" t="str">
        <f t="shared" si="310"/>
        <v/>
      </c>
      <c r="BQ416" s="28"/>
      <c r="BR416" s="304" t="str">
        <f t="shared" si="311"/>
        <v/>
      </c>
      <c r="BS416" s="304" t="str">
        <f t="shared" si="311"/>
        <v/>
      </c>
      <c r="BT416" s="28"/>
      <c r="BU416" s="304" t="str">
        <f t="shared" si="312"/>
        <v/>
      </c>
      <c r="BV416" s="304" t="str">
        <f t="shared" si="312"/>
        <v/>
      </c>
      <c r="BW416" s="28"/>
      <c r="BX416" s="139"/>
    </row>
    <row r="417" spans="1:76" s="122" customFormat="1" ht="15.95" customHeight="1" x14ac:dyDescent="0.25">
      <c r="A417" s="195">
        <v>87</v>
      </c>
      <c r="B417" s="216" t="str">
        <f t="shared" si="264"/>
        <v>Latin America: FAO. 2017. Global Livestock Environmental Assessment Model (GLEAM)</v>
      </c>
      <c r="C417" s="221" t="s">
        <v>227</v>
      </c>
      <c r="D417" s="221" t="s">
        <v>295</v>
      </c>
      <c r="E417" s="221" t="s">
        <v>100</v>
      </c>
      <c r="F417" s="221" t="s">
        <v>296</v>
      </c>
      <c r="G417" s="340" t="s">
        <v>26</v>
      </c>
      <c r="H417" s="221">
        <v>2017</v>
      </c>
      <c r="I417" s="340"/>
      <c r="J417" s="338">
        <v>50</v>
      </c>
      <c r="K417" s="339" t="s">
        <v>230</v>
      </c>
      <c r="L417" s="334">
        <f t="shared" si="303"/>
        <v>0.13756112951569652</v>
      </c>
      <c r="M417" s="335" t="str">
        <f t="shared" si="265"/>
        <v>US$2014/ kg of protein</v>
      </c>
      <c r="N417" s="227"/>
      <c r="O417" s="227" t="s">
        <v>305</v>
      </c>
      <c r="Q417" s="228"/>
      <c r="R417" s="231">
        <f t="shared" si="301"/>
        <v>0.13756112951569652</v>
      </c>
      <c r="S417" s="230">
        <f t="shared" si="299"/>
        <v>0.13756112951569652</v>
      </c>
      <c r="T417" s="231"/>
      <c r="U417" s="232" t="str">
        <f t="shared" si="300"/>
        <v>US$2014/ kg of protein</v>
      </c>
      <c r="V417" s="28"/>
      <c r="W417" s="28"/>
      <c r="Y417" s="139"/>
      <c r="AO417" s="139"/>
      <c r="AP417" s="28"/>
      <c r="AQ417" s="28"/>
      <c r="AR417" s="237"/>
      <c r="AS417" s="28"/>
      <c r="AT417" s="304" t="str">
        <f t="shared" si="313"/>
        <v/>
      </c>
      <c r="AU417" s="304" t="str">
        <f t="shared" si="313"/>
        <v/>
      </c>
      <c r="AV417" s="28"/>
      <c r="AW417" s="304" t="str">
        <f t="shared" si="304"/>
        <v/>
      </c>
      <c r="AX417" s="304" t="str">
        <f t="shared" si="304"/>
        <v/>
      </c>
      <c r="AY417" s="28"/>
      <c r="AZ417" s="304" t="str">
        <f t="shared" si="305"/>
        <v/>
      </c>
      <c r="BA417" s="304" t="str">
        <f t="shared" si="305"/>
        <v/>
      </c>
      <c r="BB417" s="28"/>
      <c r="BC417" s="304" t="str">
        <f t="shared" si="306"/>
        <v/>
      </c>
      <c r="BD417" s="304" t="str">
        <f t="shared" si="306"/>
        <v/>
      </c>
      <c r="BE417" s="28"/>
      <c r="BF417" s="304" t="str">
        <f t="shared" si="307"/>
        <v/>
      </c>
      <c r="BG417" s="304" t="str">
        <f t="shared" si="307"/>
        <v/>
      </c>
      <c r="BH417" s="28"/>
      <c r="BI417" s="304">
        <f t="shared" si="308"/>
        <v>0.13756112951569652</v>
      </c>
      <c r="BJ417" s="304">
        <f t="shared" si="308"/>
        <v>0.13756112951569652</v>
      </c>
      <c r="BK417" s="28"/>
      <c r="BL417" s="304" t="str">
        <f t="shared" si="309"/>
        <v/>
      </c>
      <c r="BM417" s="304" t="str">
        <f t="shared" si="309"/>
        <v/>
      </c>
      <c r="BN417" s="28"/>
      <c r="BO417" s="304" t="str">
        <f t="shared" si="310"/>
        <v/>
      </c>
      <c r="BP417" s="304" t="str">
        <f t="shared" si="310"/>
        <v/>
      </c>
      <c r="BQ417" s="28"/>
      <c r="BR417" s="304" t="str">
        <f t="shared" si="311"/>
        <v/>
      </c>
      <c r="BS417" s="304" t="str">
        <f t="shared" si="311"/>
        <v/>
      </c>
      <c r="BT417" s="28"/>
      <c r="BU417" s="304" t="str">
        <f t="shared" si="312"/>
        <v/>
      </c>
      <c r="BV417" s="304" t="str">
        <f t="shared" si="312"/>
        <v/>
      </c>
      <c r="BW417" s="28"/>
      <c r="BX417" s="139"/>
    </row>
    <row r="418" spans="1:76" s="122" customFormat="1" ht="15.95" customHeight="1" x14ac:dyDescent="0.25">
      <c r="A418" s="195">
        <v>88</v>
      </c>
      <c r="B418" s="216" t="str">
        <f t="shared" si="264"/>
        <v>Latin America: FAO. 2017. Global Livestock Environmental Assessment Model (GLEAM)</v>
      </c>
      <c r="C418" s="221" t="s">
        <v>227</v>
      </c>
      <c r="D418" s="221" t="s">
        <v>295</v>
      </c>
      <c r="E418" s="221" t="s">
        <v>100</v>
      </c>
      <c r="F418" s="221" t="s">
        <v>296</v>
      </c>
      <c r="G418" s="340" t="s">
        <v>26</v>
      </c>
      <c r="H418" s="221">
        <v>2017</v>
      </c>
      <c r="I418" s="340"/>
      <c r="J418" s="338">
        <f t="shared" si="314"/>
        <v>37.5</v>
      </c>
      <c r="K418" s="339" t="s">
        <v>230</v>
      </c>
      <c r="L418" s="334">
        <f t="shared" si="303"/>
        <v>0.18341483935426203</v>
      </c>
      <c r="M418" s="335" t="str">
        <f t="shared" si="265"/>
        <v>US$2014/ kg of protein</v>
      </c>
      <c r="N418" s="227"/>
      <c r="O418" s="227" t="s">
        <v>306</v>
      </c>
      <c r="Q418" s="228"/>
      <c r="R418" s="231">
        <f t="shared" si="301"/>
        <v>0.18341483935426203</v>
      </c>
      <c r="S418" s="230">
        <f t="shared" si="299"/>
        <v>0.18341483935426203</v>
      </c>
      <c r="T418" s="231"/>
      <c r="U418" s="232" t="str">
        <f t="shared" si="300"/>
        <v>US$2014/ kg of protein</v>
      </c>
      <c r="V418" s="28"/>
      <c r="W418" s="28"/>
      <c r="Y418" s="139"/>
      <c r="AO418" s="139"/>
      <c r="AP418" s="28"/>
      <c r="AQ418" s="28"/>
      <c r="AR418" s="237"/>
      <c r="AS418" s="28"/>
      <c r="AT418" s="304" t="str">
        <f t="shared" si="313"/>
        <v/>
      </c>
      <c r="AU418" s="304" t="str">
        <f t="shared" si="313"/>
        <v/>
      </c>
      <c r="AV418" s="28"/>
      <c r="AW418" s="304" t="str">
        <f t="shared" si="304"/>
        <v/>
      </c>
      <c r="AX418" s="304" t="str">
        <f t="shared" si="304"/>
        <v/>
      </c>
      <c r="AY418" s="28"/>
      <c r="AZ418" s="304" t="str">
        <f t="shared" si="305"/>
        <v/>
      </c>
      <c r="BA418" s="304" t="str">
        <f t="shared" si="305"/>
        <v/>
      </c>
      <c r="BB418" s="28"/>
      <c r="BC418" s="304" t="str">
        <f t="shared" si="306"/>
        <v/>
      </c>
      <c r="BD418" s="304" t="str">
        <f t="shared" si="306"/>
        <v/>
      </c>
      <c r="BE418" s="28"/>
      <c r="BF418" s="304" t="str">
        <f t="shared" si="307"/>
        <v/>
      </c>
      <c r="BG418" s="304" t="str">
        <f t="shared" si="307"/>
        <v/>
      </c>
      <c r="BH418" s="28"/>
      <c r="BI418" s="304">
        <f t="shared" si="308"/>
        <v>0.18341483935426203</v>
      </c>
      <c r="BJ418" s="304">
        <f t="shared" si="308"/>
        <v>0.18341483935426203</v>
      </c>
      <c r="BK418" s="28"/>
      <c r="BL418" s="304" t="str">
        <f t="shared" si="309"/>
        <v/>
      </c>
      <c r="BM418" s="304" t="str">
        <f t="shared" si="309"/>
        <v/>
      </c>
      <c r="BN418" s="28"/>
      <c r="BO418" s="304" t="str">
        <f t="shared" si="310"/>
        <v/>
      </c>
      <c r="BP418" s="304" t="str">
        <f t="shared" si="310"/>
        <v/>
      </c>
      <c r="BQ418" s="28"/>
      <c r="BR418" s="304" t="str">
        <f t="shared" si="311"/>
        <v/>
      </c>
      <c r="BS418" s="304" t="str">
        <f t="shared" si="311"/>
        <v/>
      </c>
      <c r="BT418" s="28"/>
      <c r="BU418" s="304" t="str">
        <f t="shared" si="312"/>
        <v/>
      </c>
      <c r="BV418" s="304" t="str">
        <f t="shared" si="312"/>
        <v/>
      </c>
      <c r="BW418" s="28"/>
      <c r="BX418" s="139"/>
    </row>
    <row r="419" spans="1:76" s="122" customFormat="1" ht="15.95" customHeight="1" x14ac:dyDescent="0.25">
      <c r="A419" s="195">
        <v>89</v>
      </c>
      <c r="B419" s="216" t="str">
        <f t="shared" si="264"/>
        <v>Latin America: FAO. 2017. Global Livestock Environmental Assessment Model (GLEAM)</v>
      </c>
      <c r="C419" s="221" t="s">
        <v>227</v>
      </c>
      <c r="D419" s="221" t="s">
        <v>295</v>
      </c>
      <c r="E419" s="221" t="s">
        <v>100</v>
      </c>
      <c r="F419" s="221" t="s">
        <v>296</v>
      </c>
      <c r="G419" s="340" t="s">
        <v>26</v>
      </c>
      <c r="H419" s="221">
        <v>2017</v>
      </c>
      <c r="I419" s="340"/>
      <c r="J419" s="338">
        <f t="shared" si="314"/>
        <v>37.5</v>
      </c>
      <c r="K419" s="339" t="s">
        <v>230</v>
      </c>
      <c r="L419" s="334">
        <f t="shared" si="303"/>
        <v>0.18341483935426203</v>
      </c>
      <c r="M419" s="335" t="str">
        <f t="shared" si="265"/>
        <v>US$2014/ kg of protein</v>
      </c>
      <c r="N419" s="227"/>
      <c r="O419" s="227" t="s">
        <v>307</v>
      </c>
      <c r="Q419" s="228"/>
      <c r="R419" s="231">
        <f t="shared" si="301"/>
        <v>0.18341483935426203</v>
      </c>
      <c r="S419" s="230">
        <f t="shared" si="299"/>
        <v>0.18341483935426203</v>
      </c>
      <c r="T419" s="231"/>
      <c r="U419" s="232" t="str">
        <f t="shared" si="300"/>
        <v>US$2014/ kg of protein</v>
      </c>
      <c r="V419" s="28"/>
      <c r="W419" s="28"/>
      <c r="Y419" s="139"/>
      <c r="AO419" s="139"/>
      <c r="AP419" s="28"/>
      <c r="AQ419" s="28"/>
      <c r="AR419" s="237"/>
      <c r="AS419" s="28"/>
      <c r="AT419" s="304" t="str">
        <f t="shared" si="313"/>
        <v/>
      </c>
      <c r="AU419" s="304" t="str">
        <f t="shared" si="313"/>
        <v/>
      </c>
      <c r="AV419" s="28"/>
      <c r="AW419" s="304" t="str">
        <f t="shared" si="304"/>
        <v/>
      </c>
      <c r="AX419" s="304" t="str">
        <f t="shared" si="304"/>
        <v/>
      </c>
      <c r="AY419" s="28"/>
      <c r="AZ419" s="304" t="str">
        <f t="shared" si="305"/>
        <v/>
      </c>
      <c r="BA419" s="304" t="str">
        <f t="shared" si="305"/>
        <v/>
      </c>
      <c r="BB419" s="28"/>
      <c r="BC419" s="304" t="str">
        <f t="shared" si="306"/>
        <v/>
      </c>
      <c r="BD419" s="304" t="str">
        <f t="shared" si="306"/>
        <v/>
      </c>
      <c r="BE419" s="28"/>
      <c r="BF419" s="304" t="str">
        <f t="shared" si="307"/>
        <v/>
      </c>
      <c r="BG419" s="304" t="str">
        <f t="shared" si="307"/>
        <v/>
      </c>
      <c r="BH419" s="28"/>
      <c r="BI419" s="304">
        <f t="shared" si="308"/>
        <v>0.18341483935426203</v>
      </c>
      <c r="BJ419" s="304">
        <f t="shared" si="308"/>
        <v>0.18341483935426203</v>
      </c>
      <c r="BK419" s="28"/>
      <c r="BL419" s="304" t="str">
        <f t="shared" si="309"/>
        <v/>
      </c>
      <c r="BM419" s="304" t="str">
        <f t="shared" si="309"/>
        <v/>
      </c>
      <c r="BN419" s="28"/>
      <c r="BO419" s="304" t="str">
        <f t="shared" si="310"/>
        <v/>
      </c>
      <c r="BP419" s="304" t="str">
        <f t="shared" si="310"/>
        <v/>
      </c>
      <c r="BQ419" s="28"/>
      <c r="BR419" s="304" t="str">
        <f t="shared" si="311"/>
        <v/>
      </c>
      <c r="BS419" s="304" t="str">
        <f t="shared" si="311"/>
        <v/>
      </c>
      <c r="BT419" s="28"/>
      <c r="BU419" s="304" t="str">
        <f t="shared" si="312"/>
        <v/>
      </c>
      <c r="BV419" s="304" t="str">
        <f t="shared" si="312"/>
        <v/>
      </c>
      <c r="BW419" s="28"/>
      <c r="BX419" s="139"/>
    </row>
    <row r="420" spans="1:76" s="122" customFormat="1" ht="15.95" customHeight="1" x14ac:dyDescent="0.25">
      <c r="A420" s="195">
        <v>90</v>
      </c>
      <c r="B420" s="216" t="str">
        <f t="shared" si="264"/>
        <v>Latin America: FAO. 2017. Global Livestock Environmental Assessment Model (GLEAM)</v>
      </c>
      <c r="C420" s="221" t="s">
        <v>227</v>
      </c>
      <c r="D420" s="221" t="s">
        <v>295</v>
      </c>
      <c r="E420" s="221" t="s">
        <v>100</v>
      </c>
      <c r="F420" s="221" t="s">
        <v>296</v>
      </c>
      <c r="G420" s="340" t="s">
        <v>26</v>
      </c>
      <c r="H420" s="221">
        <v>2017</v>
      </c>
      <c r="I420" s="340"/>
      <c r="J420" s="338">
        <f t="shared" si="314"/>
        <v>37.5</v>
      </c>
      <c r="K420" s="339" t="s">
        <v>230</v>
      </c>
      <c r="L420" s="334">
        <f t="shared" si="303"/>
        <v>0.18341483935426203</v>
      </c>
      <c r="M420" s="335" t="str">
        <f t="shared" si="265"/>
        <v>US$2014/ kg of protein</v>
      </c>
      <c r="N420" s="227"/>
      <c r="O420" s="227" t="s">
        <v>308</v>
      </c>
      <c r="Q420" s="228"/>
      <c r="R420" s="231">
        <f t="shared" si="301"/>
        <v>0.18341483935426203</v>
      </c>
      <c r="S420" s="230">
        <f t="shared" si="299"/>
        <v>0.18341483935426203</v>
      </c>
      <c r="T420" s="231"/>
      <c r="U420" s="232" t="str">
        <f t="shared" si="300"/>
        <v>US$2014/ kg of protein</v>
      </c>
      <c r="V420" s="28"/>
      <c r="W420" s="28"/>
      <c r="Y420" s="139"/>
      <c r="AO420" s="139"/>
      <c r="AP420" s="28"/>
      <c r="AQ420" s="28"/>
      <c r="AR420" s="237"/>
      <c r="AS420" s="28"/>
      <c r="AT420" s="304" t="str">
        <f t="shared" si="313"/>
        <v/>
      </c>
      <c r="AU420" s="304" t="str">
        <f t="shared" si="313"/>
        <v/>
      </c>
      <c r="AV420" s="28"/>
      <c r="AW420" s="304" t="str">
        <f t="shared" si="304"/>
        <v/>
      </c>
      <c r="AX420" s="304" t="str">
        <f t="shared" si="304"/>
        <v/>
      </c>
      <c r="AY420" s="28"/>
      <c r="AZ420" s="304" t="str">
        <f t="shared" si="305"/>
        <v/>
      </c>
      <c r="BA420" s="304" t="str">
        <f t="shared" si="305"/>
        <v/>
      </c>
      <c r="BB420" s="28"/>
      <c r="BC420" s="304" t="str">
        <f t="shared" si="306"/>
        <v/>
      </c>
      <c r="BD420" s="304" t="str">
        <f t="shared" si="306"/>
        <v/>
      </c>
      <c r="BE420" s="28"/>
      <c r="BF420" s="304" t="str">
        <f t="shared" si="307"/>
        <v/>
      </c>
      <c r="BG420" s="304" t="str">
        <f t="shared" si="307"/>
        <v/>
      </c>
      <c r="BH420" s="28"/>
      <c r="BI420" s="304">
        <f t="shared" si="308"/>
        <v>0.18341483935426203</v>
      </c>
      <c r="BJ420" s="304">
        <f t="shared" si="308"/>
        <v>0.18341483935426203</v>
      </c>
      <c r="BK420" s="28"/>
      <c r="BL420" s="304" t="str">
        <f t="shared" si="309"/>
        <v/>
      </c>
      <c r="BM420" s="304" t="str">
        <f t="shared" si="309"/>
        <v/>
      </c>
      <c r="BN420" s="28"/>
      <c r="BO420" s="304" t="str">
        <f t="shared" si="310"/>
        <v/>
      </c>
      <c r="BP420" s="304" t="str">
        <f t="shared" si="310"/>
        <v/>
      </c>
      <c r="BQ420" s="28"/>
      <c r="BR420" s="304" t="str">
        <f t="shared" si="311"/>
        <v/>
      </c>
      <c r="BS420" s="304" t="str">
        <f t="shared" si="311"/>
        <v/>
      </c>
      <c r="BT420" s="28"/>
      <c r="BU420" s="304" t="str">
        <f t="shared" si="312"/>
        <v/>
      </c>
      <c r="BV420" s="304" t="str">
        <f t="shared" si="312"/>
        <v/>
      </c>
      <c r="BW420" s="28"/>
      <c r="BX420" s="139"/>
    </row>
    <row r="421" spans="1:76" s="122" customFormat="1" ht="15.95" customHeight="1" x14ac:dyDescent="0.25">
      <c r="A421" s="195">
        <v>91</v>
      </c>
      <c r="B421" s="216" t="str">
        <f t="shared" si="264"/>
        <v>Latin America: FAO. 2017. Global Livestock Environmental Assessment Model (GLEAM)</v>
      </c>
      <c r="C421" s="221" t="s">
        <v>227</v>
      </c>
      <c r="D421" s="221" t="s">
        <v>295</v>
      </c>
      <c r="E421" s="221" t="s">
        <v>100</v>
      </c>
      <c r="F421" s="221" t="s">
        <v>296</v>
      </c>
      <c r="G421" s="340" t="s">
        <v>309</v>
      </c>
      <c r="H421" s="221">
        <v>2017</v>
      </c>
      <c r="I421" s="340"/>
      <c r="J421" s="338">
        <v>50</v>
      </c>
      <c r="K421" s="339" t="s">
        <v>230</v>
      </c>
      <c r="L421" s="334">
        <f t="shared" si="303"/>
        <v>0.13756112951569652</v>
      </c>
      <c r="M421" s="335" t="str">
        <f t="shared" si="265"/>
        <v>US$2014/ kg of protein</v>
      </c>
      <c r="N421" s="227"/>
      <c r="O421" s="227" t="s">
        <v>310</v>
      </c>
      <c r="Q421" s="228"/>
      <c r="R421" s="231">
        <f t="shared" si="301"/>
        <v>0.13756112951569652</v>
      </c>
      <c r="S421" s="230">
        <f t="shared" si="299"/>
        <v>0.13756112951569652</v>
      </c>
      <c r="T421" s="231"/>
      <c r="U421" s="232" t="str">
        <f t="shared" si="300"/>
        <v>US$2014/ kg of protein</v>
      </c>
      <c r="V421" s="28"/>
      <c r="W421" s="28"/>
      <c r="Y421" s="139"/>
      <c r="AO421" s="139"/>
      <c r="AP421" s="28"/>
      <c r="AQ421" s="28"/>
      <c r="AR421" s="237"/>
      <c r="AS421" s="28"/>
      <c r="AT421" s="304" t="str">
        <f t="shared" si="313"/>
        <v/>
      </c>
      <c r="AU421" s="304" t="str">
        <f t="shared" si="313"/>
        <v/>
      </c>
      <c r="AV421" s="28"/>
      <c r="AW421" s="304" t="str">
        <f t="shared" si="304"/>
        <v/>
      </c>
      <c r="AX421" s="304" t="str">
        <f t="shared" si="304"/>
        <v/>
      </c>
      <c r="AY421" s="28"/>
      <c r="AZ421" s="304" t="str">
        <f t="shared" si="305"/>
        <v/>
      </c>
      <c r="BA421" s="304" t="str">
        <f t="shared" si="305"/>
        <v/>
      </c>
      <c r="BB421" s="28"/>
      <c r="BC421" s="304" t="str">
        <f t="shared" si="306"/>
        <v/>
      </c>
      <c r="BD421" s="304" t="str">
        <f t="shared" si="306"/>
        <v/>
      </c>
      <c r="BE421" s="28"/>
      <c r="BF421" s="304" t="str">
        <f t="shared" si="307"/>
        <v/>
      </c>
      <c r="BG421" s="304" t="str">
        <f t="shared" si="307"/>
        <v/>
      </c>
      <c r="BH421" s="28"/>
      <c r="BI421" s="304">
        <f t="shared" si="308"/>
        <v>0.13756112951569652</v>
      </c>
      <c r="BJ421" s="304">
        <f t="shared" si="308"/>
        <v>0.13756112951569652</v>
      </c>
      <c r="BK421" s="28"/>
      <c r="BL421" s="304" t="str">
        <f t="shared" si="309"/>
        <v/>
      </c>
      <c r="BM421" s="304" t="str">
        <f t="shared" si="309"/>
        <v/>
      </c>
      <c r="BN421" s="28"/>
      <c r="BO421" s="304" t="str">
        <f t="shared" si="310"/>
        <v/>
      </c>
      <c r="BP421" s="304" t="str">
        <f t="shared" si="310"/>
        <v/>
      </c>
      <c r="BQ421" s="28"/>
      <c r="BR421" s="304" t="str">
        <f t="shared" si="311"/>
        <v/>
      </c>
      <c r="BS421" s="304" t="str">
        <f t="shared" si="311"/>
        <v/>
      </c>
      <c r="BT421" s="28"/>
      <c r="BU421" s="304" t="str">
        <f t="shared" si="312"/>
        <v/>
      </c>
      <c r="BV421" s="304" t="str">
        <f t="shared" si="312"/>
        <v/>
      </c>
      <c r="BW421" s="28"/>
      <c r="BX421" s="139"/>
    </row>
    <row r="422" spans="1:76" s="122" customFormat="1" ht="15.95" customHeight="1" x14ac:dyDescent="0.25">
      <c r="A422" s="195">
        <v>92</v>
      </c>
      <c r="B422" s="216" t="str">
        <f t="shared" si="264"/>
        <v>Middle East and Africa: FAO. 2017. Global Livestock Environmental Assessment Model (GLEAM)</v>
      </c>
      <c r="C422" s="221" t="s">
        <v>227</v>
      </c>
      <c r="D422" s="221" t="s">
        <v>311</v>
      </c>
      <c r="E422" s="221" t="s">
        <v>99</v>
      </c>
      <c r="F422" s="221" t="s">
        <v>312</v>
      </c>
      <c r="G422" s="340" t="s">
        <v>26</v>
      </c>
      <c r="H422" s="221">
        <v>2017</v>
      </c>
      <c r="I422" s="340"/>
      <c r="J422" s="241">
        <f>AVERAGE(2,3)</f>
        <v>2.5</v>
      </c>
      <c r="K422" s="339" t="s">
        <v>230</v>
      </c>
      <c r="L422" s="334">
        <f>1/J422*$AB$14/(0.032)</f>
        <v>13.625000000000002</v>
      </c>
      <c r="M422" s="335" t="str">
        <f t="shared" si="265"/>
        <v>US$2014/ kg of protein</v>
      </c>
      <c r="N422" s="227"/>
      <c r="O422" s="227" t="s">
        <v>313</v>
      </c>
      <c r="Q422" s="228"/>
      <c r="R422" s="231">
        <f t="shared" si="301"/>
        <v>13.625000000000002</v>
      </c>
      <c r="S422" s="230">
        <f t="shared" si="299"/>
        <v>13.625000000000002</v>
      </c>
      <c r="T422" s="231"/>
      <c r="U422" s="232" t="str">
        <f t="shared" si="300"/>
        <v>US$2014/ kg of protein</v>
      </c>
      <c r="V422" s="28"/>
      <c r="W422" s="28"/>
      <c r="Y422" s="139"/>
      <c r="AO422" s="139"/>
      <c r="AP422" s="28"/>
      <c r="AQ422" s="28"/>
      <c r="AR422" s="237"/>
      <c r="AS422" s="28"/>
      <c r="AT422" s="304" t="str">
        <f t="shared" si="313"/>
        <v/>
      </c>
      <c r="AU422" s="304" t="str">
        <f t="shared" si="313"/>
        <v/>
      </c>
      <c r="AV422" s="28"/>
      <c r="AW422" s="304" t="str">
        <f t="shared" si="304"/>
        <v/>
      </c>
      <c r="AX422" s="304" t="str">
        <f t="shared" si="304"/>
        <v/>
      </c>
      <c r="AY422" s="28"/>
      <c r="AZ422" s="304" t="str">
        <f t="shared" si="305"/>
        <v/>
      </c>
      <c r="BA422" s="304" t="str">
        <f t="shared" si="305"/>
        <v/>
      </c>
      <c r="BB422" s="28"/>
      <c r="BC422" s="304" t="str">
        <f t="shared" si="306"/>
        <v/>
      </c>
      <c r="BD422" s="304" t="str">
        <f t="shared" si="306"/>
        <v/>
      </c>
      <c r="BE422" s="28"/>
      <c r="BF422" s="304">
        <f t="shared" si="307"/>
        <v>13.625000000000002</v>
      </c>
      <c r="BG422" s="304">
        <f t="shared" si="307"/>
        <v>13.625000000000002</v>
      </c>
      <c r="BH422" s="28"/>
      <c r="BI422" s="304" t="str">
        <f t="shared" si="308"/>
        <v/>
      </c>
      <c r="BJ422" s="304" t="str">
        <f t="shared" si="308"/>
        <v/>
      </c>
      <c r="BK422" s="28"/>
      <c r="BL422" s="304" t="str">
        <f t="shared" si="309"/>
        <v/>
      </c>
      <c r="BM422" s="304" t="str">
        <f t="shared" si="309"/>
        <v/>
      </c>
      <c r="BN422" s="28"/>
      <c r="BO422" s="304" t="str">
        <f t="shared" si="310"/>
        <v/>
      </c>
      <c r="BP422" s="304" t="str">
        <f t="shared" si="310"/>
        <v/>
      </c>
      <c r="BQ422" s="28"/>
      <c r="BR422" s="304" t="str">
        <f t="shared" si="311"/>
        <v/>
      </c>
      <c r="BS422" s="304" t="str">
        <f t="shared" si="311"/>
        <v/>
      </c>
      <c r="BT422" s="28"/>
      <c r="BU422" s="304" t="str">
        <f t="shared" si="312"/>
        <v/>
      </c>
      <c r="BV422" s="304" t="str">
        <f t="shared" si="312"/>
        <v/>
      </c>
      <c r="BW422" s="28"/>
      <c r="BX422" s="139"/>
    </row>
    <row r="423" spans="1:76" s="122" customFormat="1" ht="15.95" customHeight="1" x14ac:dyDescent="0.25">
      <c r="A423" s="195">
        <v>93</v>
      </c>
      <c r="B423" s="216" t="str">
        <f t="shared" si="264"/>
        <v>Middle East and Africa: FAO. 2017. Global Livestock Environmental Assessment Model (GLEAM)</v>
      </c>
      <c r="C423" s="221" t="s">
        <v>227</v>
      </c>
      <c r="D423" s="221" t="s">
        <v>311</v>
      </c>
      <c r="E423" s="221" t="s">
        <v>99</v>
      </c>
      <c r="F423" s="221" t="s">
        <v>312</v>
      </c>
      <c r="G423" s="340" t="s">
        <v>26</v>
      </c>
      <c r="H423" s="221">
        <v>2017</v>
      </c>
      <c r="I423" s="340"/>
      <c r="J423" s="241">
        <f t="shared" ref="J423:J424" si="315">AVERAGE(2,3)</f>
        <v>2.5</v>
      </c>
      <c r="K423" s="339" t="s">
        <v>230</v>
      </c>
      <c r="L423" s="334">
        <f t="shared" ref="L423:L429" si="316">1/J423*$AB$14/(0.032)</f>
        <v>13.625000000000002</v>
      </c>
      <c r="M423" s="335" t="str">
        <f t="shared" si="265"/>
        <v>US$2014/ kg of protein</v>
      </c>
      <c r="N423" s="227"/>
      <c r="O423" s="227" t="s">
        <v>314</v>
      </c>
      <c r="Q423" s="228"/>
      <c r="R423" s="231">
        <f t="shared" si="301"/>
        <v>13.625000000000002</v>
      </c>
      <c r="S423" s="230">
        <f t="shared" si="299"/>
        <v>13.625000000000002</v>
      </c>
      <c r="T423" s="231"/>
      <c r="U423" s="232" t="str">
        <f t="shared" si="300"/>
        <v>US$2014/ kg of protein</v>
      </c>
      <c r="V423" s="28"/>
      <c r="W423" s="28"/>
      <c r="Y423" s="139"/>
      <c r="AO423" s="139"/>
      <c r="AP423" s="28"/>
      <c r="AQ423" s="28"/>
      <c r="AR423" s="237"/>
      <c r="AS423" s="28"/>
      <c r="AT423" s="304" t="str">
        <f t="shared" si="313"/>
        <v/>
      </c>
      <c r="AU423" s="304" t="str">
        <f t="shared" si="313"/>
        <v/>
      </c>
      <c r="AV423" s="28"/>
      <c r="AW423" s="304" t="str">
        <f t="shared" si="304"/>
        <v/>
      </c>
      <c r="AX423" s="304" t="str">
        <f t="shared" si="304"/>
        <v/>
      </c>
      <c r="AY423" s="28"/>
      <c r="AZ423" s="304" t="str">
        <f t="shared" si="305"/>
        <v/>
      </c>
      <c r="BA423" s="304" t="str">
        <f t="shared" si="305"/>
        <v/>
      </c>
      <c r="BB423" s="28"/>
      <c r="BC423" s="304" t="str">
        <f t="shared" si="306"/>
        <v/>
      </c>
      <c r="BD423" s="304" t="str">
        <f t="shared" si="306"/>
        <v/>
      </c>
      <c r="BE423" s="28"/>
      <c r="BF423" s="304">
        <f t="shared" si="307"/>
        <v>13.625000000000002</v>
      </c>
      <c r="BG423" s="304">
        <f t="shared" si="307"/>
        <v>13.625000000000002</v>
      </c>
      <c r="BH423" s="28"/>
      <c r="BI423" s="304" t="str">
        <f t="shared" si="308"/>
        <v/>
      </c>
      <c r="BJ423" s="304" t="str">
        <f t="shared" si="308"/>
        <v/>
      </c>
      <c r="BK423" s="28"/>
      <c r="BL423" s="304" t="str">
        <f t="shared" si="309"/>
        <v/>
      </c>
      <c r="BM423" s="304" t="str">
        <f t="shared" si="309"/>
        <v/>
      </c>
      <c r="BN423" s="28"/>
      <c r="BO423" s="304" t="str">
        <f t="shared" si="310"/>
        <v/>
      </c>
      <c r="BP423" s="304" t="str">
        <f t="shared" si="310"/>
        <v/>
      </c>
      <c r="BQ423" s="28"/>
      <c r="BR423" s="304" t="str">
        <f t="shared" si="311"/>
        <v/>
      </c>
      <c r="BS423" s="304" t="str">
        <f t="shared" si="311"/>
        <v/>
      </c>
      <c r="BT423" s="28"/>
      <c r="BU423" s="304" t="str">
        <f t="shared" si="312"/>
        <v/>
      </c>
      <c r="BV423" s="304" t="str">
        <f t="shared" si="312"/>
        <v/>
      </c>
      <c r="BW423" s="28"/>
      <c r="BX423" s="139"/>
    </row>
    <row r="424" spans="1:76" s="122" customFormat="1" ht="15.95" customHeight="1" x14ac:dyDescent="0.25">
      <c r="A424" s="195">
        <v>94</v>
      </c>
      <c r="B424" s="216" t="str">
        <f t="shared" si="264"/>
        <v>Middle East and Africa: FAO. 2017. Global Livestock Environmental Assessment Model (GLEAM)</v>
      </c>
      <c r="C424" s="221" t="s">
        <v>227</v>
      </c>
      <c r="D424" s="221" t="s">
        <v>311</v>
      </c>
      <c r="E424" s="221" t="s">
        <v>99</v>
      </c>
      <c r="F424" s="221" t="s">
        <v>312</v>
      </c>
      <c r="G424" s="340" t="s">
        <v>309</v>
      </c>
      <c r="H424" s="221">
        <v>2017</v>
      </c>
      <c r="I424" s="340"/>
      <c r="J424" s="241">
        <f t="shared" si="315"/>
        <v>2.5</v>
      </c>
      <c r="K424" s="339" t="s">
        <v>230</v>
      </c>
      <c r="L424" s="334">
        <f t="shared" si="316"/>
        <v>13.625000000000002</v>
      </c>
      <c r="M424" s="335" t="str">
        <f t="shared" si="265"/>
        <v>US$2014/ kg of protein</v>
      </c>
      <c r="N424" s="227"/>
      <c r="O424" s="227" t="s">
        <v>315</v>
      </c>
      <c r="Q424" s="228"/>
      <c r="R424" s="231">
        <f t="shared" si="301"/>
        <v>13.625000000000002</v>
      </c>
      <c r="S424" s="230">
        <f t="shared" si="299"/>
        <v>13.625000000000002</v>
      </c>
      <c r="T424" s="231"/>
      <c r="U424" s="232" t="str">
        <f t="shared" si="300"/>
        <v>US$2014/ kg of protein</v>
      </c>
      <c r="V424" s="28"/>
      <c r="W424" s="28"/>
      <c r="Y424" s="139"/>
      <c r="AO424" s="139"/>
      <c r="AP424" s="28"/>
      <c r="AQ424" s="28"/>
      <c r="AR424" s="237"/>
      <c r="AS424" s="28"/>
      <c r="AT424" s="304" t="str">
        <f t="shared" si="313"/>
        <v/>
      </c>
      <c r="AU424" s="304" t="str">
        <f t="shared" si="313"/>
        <v/>
      </c>
      <c r="AV424" s="28"/>
      <c r="AW424" s="304" t="str">
        <f t="shared" si="304"/>
        <v/>
      </c>
      <c r="AX424" s="304" t="str">
        <f t="shared" si="304"/>
        <v/>
      </c>
      <c r="AY424" s="28"/>
      <c r="AZ424" s="304" t="str">
        <f t="shared" si="305"/>
        <v/>
      </c>
      <c r="BA424" s="304" t="str">
        <f t="shared" si="305"/>
        <v/>
      </c>
      <c r="BB424" s="28"/>
      <c r="BC424" s="304" t="str">
        <f t="shared" si="306"/>
        <v/>
      </c>
      <c r="BD424" s="304" t="str">
        <f t="shared" si="306"/>
        <v/>
      </c>
      <c r="BE424" s="28"/>
      <c r="BF424" s="304">
        <f t="shared" si="307"/>
        <v>13.625000000000002</v>
      </c>
      <c r="BG424" s="304">
        <f t="shared" si="307"/>
        <v>13.625000000000002</v>
      </c>
      <c r="BH424" s="28"/>
      <c r="BI424" s="304" t="str">
        <f t="shared" si="308"/>
        <v/>
      </c>
      <c r="BJ424" s="304" t="str">
        <f t="shared" si="308"/>
        <v/>
      </c>
      <c r="BK424" s="28"/>
      <c r="BL424" s="304" t="str">
        <f t="shared" si="309"/>
        <v/>
      </c>
      <c r="BM424" s="304" t="str">
        <f t="shared" si="309"/>
        <v/>
      </c>
      <c r="BN424" s="28"/>
      <c r="BO424" s="304" t="str">
        <f t="shared" si="310"/>
        <v/>
      </c>
      <c r="BP424" s="304" t="str">
        <f t="shared" si="310"/>
        <v/>
      </c>
      <c r="BQ424" s="28"/>
      <c r="BR424" s="304" t="str">
        <f t="shared" si="311"/>
        <v/>
      </c>
      <c r="BS424" s="304" t="str">
        <f t="shared" si="311"/>
        <v/>
      </c>
      <c r="BT424" s="28"/>
      <c r="BU424" s="304" t="str">
        <f t="shared" si="312"/>
        <v/>
      </c>
      <c r="BV424" s="304" t="str">
        <f t="shared" si="312"/>
        <v/>
      </c>
      <c r="BW424" s="28"/>
      <c r="BX424" s="139"/>
    </row>
    <row r="425" spans="1:76" s="122" customFormat="1" ht="15.95" customHeight="1" x14ac:dyDescent="0.25">
      <c r="A425" s="195">
        <v>95</v>
      </c>
      <c r="B425" s="216" t="str">
        <f t="shared" si="264"/>
        <v>Middle East and Africa: FAO. 2017. Global Livestock Environmental Assessment Model (GLEAM)</v>
      </c>
      <c r="C425" s="221" t="s">
        <v>227</v>
      </c>
      <c r="D425" s="221"/>
      <c r="E425" s="221" t="s">
        <v>99</v>
      </c>
      <c r="F425" s="221" t="s">
        <v>312</v>
      </c>
      <c r="G425" s="340" t="s">
        <v>26</v>
      </c>
      <c r="H425" s="221">
        <v>2017</v>
      </c>
      <c r="I425" s="340"/>
      <c r="J425" s="241">
        <f>AVERAGE(0,2)</f>
        <v>1</v>
      </c>
      <c r="K425" s="339" t="s">
        <v>230</v>
      </c>
      <c r="L425" s="334">
        <f t="shared" si="316"/>
        <v>34.0625</v>
      </c>
      <c r="M425" s="335" t="str">
        <f t="shared" si="265"/>
        <v>US$2014/ kg of protein</v>
      </c>
      <c r="N425" s="227"/>
      <c r="O425" s="227" t="s">
        <v>313</v>
      </c>
      <c r="Q425" s="228"/>
      <c r="R425" s="231">
        <f t="shared" si="301"/>
        <v>34.0625</v>
      </c>
      <c r="S425" s="230">
        <f t="shared" si="299"/>
        <v>34.0625</v>
      </c>
      <c r="T425" s="231"/>
      <c r="U425" s="232" t="str">
        <f t="shared" si="300"/>
        <v>US$2014/ kg of protein</v>
      </c>
      <c r="V425" s="28"/>
      <c r="W425" s="28"/>
      <c r="Y425" s="139"/>
      <c r="AO425" s="139"/>
      <c r="AP425" s="28"/>
      <c r="AQ425" s="28"/>
      <c r="AR425" s="237"/>
      <c r="AS425" s="28"/>
      <c r="AT425" s="304" t="str">
        <f t="shared" si="313"/>
        <v/>
      </c>
      <c r="AU425" s="304" t="str">
        <f t="shared" si="313"/>
        <v/>
      </c>
      <c r="AV425" s="28"/>
      <c r="AW425" s="304" t="str">
        <f t="shared" si="304"/>
        <v/>
      </c>
      <c r="AX425" s="304" t="str">
        <f t="shared" si="304"/>
        <v/>
      </c>
      <c r="AY425" s="28"/>
      <c r="AZ425" s="304" t="str">
        <f t="shared" si="305"/>
        <v/>
      </c>
      <c r="BA425" s="304" t="str">
        <f t="shared" si="305"/>
        <v/>
      </c>
      <c r="BB425" s="28"/>
      <c r="BC425" s="304" t="str">
        <f t="shared" si="306"/>
        <v/>
      </c>
      <c r="BD425" s="304" t="str">
        <f t="shared" si="306"/>
        <v/>
      </c>
      <c r="BE425" s="28"/>
      <c r="BF425" s="304">
        <f t="shared" si="307"/>
        <v>34.0625</v>
      </c>
      <c r="BG425" s="304">
        <f t="shared" si="307"/>
        <v>34.0625</v>
      </c>
      <c r="BH425" s="28"/>
      <c r="BI425" s="304" t="str">
        <f t="shared" si="308"/>
        <v/>
      </c>
      <c r="BJ425" s="304" t="str">
        <f t="shared" si="308"/>
        <v/>
      </c>
      <c r="BK425" s="28"/>
      <c r="BL425" s="304" t="str">
        <f t="shared" si="309"/>
        <v/>
      </c>
      <c r="BM425" s="304" t="str">
        <f t="shared" si="309"/>
        <v/>
      </c>
      <c r="BN425" s="28"/>
      <c r="BO425" s="304" t="str">
        <f t="shared" si="310"/>
        <v/>
      </c>
      <c r="BP425" s="304" t="str">
        <f t="shared" si="310"/>
        <v/>
      </c>
      <c r="BQ425" s="28"/>
      <c r="BR425" s="304" t="str">
        <f t="shared" si="311"/>
        <v/>
      </c>
      <c r="BS425" s="304" t="str">
        <f t="shared" si="311"/>
        <v/>
      </c>
      <c r="BT425" s="28"/>
      <c r="BU425" s="304" t="str">
        <f t="shared" si="312"/>
        <v/>
      </c>
      <c r="BV425" s="304" t="str">
        <f t="shared" si="312"/>
        <v/>
      </c>
      <c r="BW425" s="28"/>
      <c r="BX425" s="139"/>
    </row>
    <row r="426" spans="1:76" s="122" customFormat="1" ht="15.95" customHeight="1" x14ac:dyDescent="0.25">
      <c r="A426" s="195">
        <v>96</v>
      </c>
      <c r="B426" s="216" t="str">
        <f t="shared" si="264"/>
        <v>Middle East and Africa: FAO. 2017. Global Livestock Environmental Assessment Model (GLEAM)</v>
      </c>
      <c r="C426" s="221" t="s">
        <v>227</v>
      </c>
      <c r="D426" s="221"/>
      <c r="E426" s="221" t="s">
        <v>99</v>
      </c>
      <c r="F426" s="221" t="s">
        <v>312</v>
      </c>
      <c r="G426" s="340" t="s">
        <v>26</v>
      </c>
      <c r="H426" s="221">
        <v>2017</v>
      </c>
      <c r="I426" s="340"/>
      <c r="J426" s="241">
        <f t="shared" ref="J426:J430" si="317">AVERAGE(0,2)</f>
        <v>1</v>
      </c>
      <c r="K426" s="339" t="s">
        <v>230</v>
      </c>
      <c r="L426" s="334">
        <f t="shared" si="316"/>
        <v>34.0625</v>
      </c>
      <c r="M426" s="335" t="str">
        <f t="shared" si="265"/>
        <v>US$2014/ kg of protein</v>
      </c>
      <c r="N426" s="227"/>
      <c r="O426" s="227" t="s">
        <v>314</v>
      </c>
      <c r="Q426" s="228"/>
      <c r="R426" s="231">
        <f t="shared" si="301"/>
        <v>34.0625</v>
      </c>
      <c r="S426" s="230">
        <f t="shared" si="299"/>
        <v>34.0625</v>
      </c>
      <c r="T426" s="231"/>
      <c r="U426" s="232" t="str">
        <f t="shared" si="300"/>
        <v>US$2014/ kg of protein</v>
      </c>
      <c r="V426" s="28"/>
      <c r="W426" s="28"/>
      <c r="Y426" s="139"/>
      <c r="AO426" s="139"/>
      <c r="AP426" s="28"/>
      <c r="AQ426" s="28"/>
      <c r="AR426" s="237"/>
      <c r="AS426" s="28"/>
      <c r="AT426" s="304" t="str">
        <f t="shared" si="313"/>
        <v/>
      </c>
      <c r="AU426" s="304" t="str">
        <f t="shared" si="313"/>
        <v/>
      </c>
      <c r="AV426" s="28"/>
      <c r="AW426" s="304" t="str">
        <f t="shared" si="304"/>
        <v/>
      </c>
      <c r="AX426" s="304" t="str">
        <f t="shared" si="304"/>
        <v/>
      </c>
      <c r="AY426" s="28"/>
      <c r="AZ426" s="304" t="str">
        <f t="shared" si="305"/>
        <v/>
      </c>
      <c r="BA426" s="304" t="str">
        <f t="shared" si="305"/>
        <v/>
      </c>
      <c r="BB426" s="28"/>
      <c r="BC426" s="304" t="str">
        <f t="shared" si="306"/>
        <v/>
      </c>
      <c r="BD426" s="304" t="str">
        <f t="shared" si="306"/>
        <v/>
      </c>
      <c r="BE426" s="28"/>
      <c r="BF426" s="304">
        <f t="shared" si="307"/>
        <v>34.0625</v>
      </c>
      <c r="BG426" s="304">
        <f t="shared" si="307"/>
        <v>34.0625</v>
      </c>
      <c r="BH426" s="28"/>
      <c r="BI426" s="304" t="str">
        <f t="shared" si="308"/>
        <v/>
      </c>
      <c r="BJ426" s="304" t="str">
        <f t="shared" si="308"/>
        <v/>
      </c>
      <c r="BK426" s="28"/>
      <c r="BL426" s="304" t="str">
        <f t="shared" si="309"/>
        <v/>
      </c>
      <c r="BM426" s="304" t="str">
        <f t="shared" si="309"/>
        <v/>
      </c>
      <c r="BN426" s="28"/>
      <c r="BO426" s="304" t="str">
        <f t="shared" si="310"/>
        <v/>
      </c>
      <c r="BP426" s="304" t="str">
        <f t="shared" si="310"/>
        <v/>
      </c>
      <c r="BQ426" s="28"/>
      <c r="BR426" s="304" t="str">
        <f t="shared" si="311"/>
        <v/>
      </c>
      <c r="BS426" s="304" t="str">
        <f t="shared" si="311"/>
        <v/>
      </c>
      <c r="BT426" s="28"/>
      <c r="BU426" s="304" t="str">
        <f t="shared" si="312"/>
        <v/>
      </c>
      <c r="BV426" s="304" t="str">
        <f t="shared" si="312"/>
        <v/>
      </c>
      <c r="BW426" s="28"/>
      <c r="BX426" s="139"/>
    </row>
    <row r="427" spans="1:76" s="122" customFormat="1" ht="15.95" customHeight="1" x14ac:dyDescent="0.25">
      <c r="A427" s="195">
        <v>97</v>
      </c>
      <c r="B427" s="216" t="str">
        <f t="shared" si="264"/>
        <v>Middle East and Africa: FAO. 2017. Global Livestock Environmental Assessment Model (GLEAM)</v>
      </c>
      <c r="C427" s="221" t="s">
        <v>227</v>
      </c>
      <c r="D427" s="221"/>
      <c r="E427" s="221" t="s">
        <v>99</v>
      </c>
      <c r="F427" s="221" t="s">
        <v>312</v>
      </c>
      <c r="G427" s="340" t="s">
        <v>26</v>
      </c>
      <c r="H427" s="221">
        <v>2017</v>
      </c>
      <c r="I427" s="340"/>
      <c r="J427" s="241">
        <f t="shared" si="317"/>
        <v>1</v>
      </c>
      <c r="K427" s="339" t="s">
        <v>230</v>
      </c>
      <c r="L427" s="334">
        <f t="shared" si="316"/>
        <v>34.0625</v>
      </c>
      <c r="M427" s="335" t="str">
        <f t="shared" si="265"/>
        <v>US$2014/ kg of protein</v>
      </c>
      <c r="N427" s="227"/>
      <c r="O427" s="227" t="s">
        <v>316</v>
      </c>
      <c r="Q427" s="228"/>
      <c r="R427" s="231">
        <f t="shared" si="301"/>
        <v>34.0625</v>
      </c>
      <c r="S427" s="230">
        <f t="shared" si="299"/>
        <v>34.0625</v>
      </c>
      <c r="T427" s="231"/>
      <c r="U427" s="232" t="str">
        <f t="shared" si="300"/>
        <v>US$2014/ kg of protein</v>
      </c>
      <c r="V427" s="28"/>
      <c r="W427" s="28"/>
      <c r="Y427" s="139"/>
      <c r="AO427" s="139"/>
      <c r="AP427" s="28"/>
      <c r="AQ427" s="28"/>
      <c r="AR427" s="237"/>
      <c r="AS427" s="28"/>
      <c r="AT427" s="304" t="str">
        <f t="shared" si="313"/>
        <v/>
      </c>
      <c r="AU427" s="304" t="str">
        <f t="shared" si="313"/>
        <v/>
      </c>
      <c r="AV427" s="28"/>
      <c r="AW427" s="304" t="str">
        <f t="shared" si="304"/>
        <v/>
      </c>
      <c r="AX427" s="304" t="str">
        <f t="shared" si="304"/>
        <v/>
      </c>
      <c r="AY427" s="28"/>
      <c r="AZ427" s="304" t="str">
        <f t="shared" si="305"/>
        <v/>
      </c>
      <c r="BA427" s="304" t="str">
        <f t="shared" si="305"/>
        <v/>
      </c>
      <c r="BB427" s="28"/>
      <c r="BC427" s="304" t="str">
        <f t="shared" si="306"/>
        <v/>
      </c>
      <c r="BD427" s="304" t="str">
        <f t="shared" si="306"/>
        <v/>
      </c>
      <c r="BE427" s="28"/>
      <c r="BF427" s="304">
        <f t="shared" si="307"/>
        <v>34.0625</v>
      </c>
      <c r="BG427" s="304">
        <f t="shared" si="307"/>
        <v>34.0625</v>
      </c>
      <c r="BH427" s="28"/>
      <c r="BI427" s="304" t="str">
        <f t="shared" si="308"/>
        <v/>
      </c>
      <c r="BJ427" s="304" t="str">
        <f t="shared" si="308"/>
        <v/>
      </c>
      <c r="BK427" s="28"/>
      <c r="BL427" s="304" t="str">
        <f t="shared" si="309"/>
        <v/>
      </c>
      <c r="BM427" s="304" t="str">
        <f t="shared" si="309"/>
        <v/>
      </c>
      <c r="BN427" s="28"/>
      <c r="BO427" s="304" t="str">
        <f t="shared" si="310"/>
        <v/>
      </c>
      <c r="BP427" s="304" t="str">
        <f t="shared" si="310"/>
        <v/>
      </c>
      <c r="BQ427" s="28"/>
      <c r="BR427" s="304" t="str">
        <f t="shared" si="311"/>
        <v/>
      </c>
      <c r="BS427" s="304" t="str">
        <f t="shared" si="311"/>
        <v/>
      </c>
      <c r="BT427" s="28"/>
      <c r="BU427" s="304" t="str">
        <f t="shared" si="312"/>
        <v/>
      </c>
      <c r="BV427" s="304" t="str">
        <f t="shared" si="312"/>
        <v/>
      </c>
      <c r="BW427" s="28"/>
      <c r="BX427" s="139"/>
    </row>
    <row r="428" spans="1:76" s="122" customFormat="1" ht="15.95" customHeight="1" x14ac:dyDescent="0.25">
      <c r="A428" s="195">
        <v>98</v>
      </c>
      <c r="B428" s="216" t="str">
        <f t="shared" si="264"/>
        <v>Middle East and Africa: FAO. 2017. Global Livestock Environmental Assessment Model (GLEAM)</v>
      </c>
      <c r="C428" s="221" t="s">
        <v>227</v>
      </c>
      <c r="D428" s="221"/>
      <c r="E428" s="221" t="s">
        <v>99</v>
      </c>
      <c r="F428" s="221" t="s">
        <v>312</v>
      </c>
      <c r="G428" s="340" t="s">
        <v>309</v>
      </c>
      <c r="H428" s="221">
        <v>2017</v>
      </c>
      <c r="I428" s="340"/>
      <c r="J428" s="241">
        <f t="shared" si="317"/>
        <v>1</v>
      </c>
      <c r="K428" s="339" t="s">
        <v>230</v>
      </c>
      <c r="L428" s="334">
        <f t="shared" si="316"/>
        <v>34.0625</v>
      </c>
      <c r="M428" s="335" t="str">
        <f t="shared" si="265"/>
        <v>US$2014/ kg of protein</v>
      </c>
      <c r="N428" s="227"/>
      <c r="O428" s="227" t="s">
        <v>317</v>
      </c>
      <c r="Q428" s="228"/>
      <c r="R428" s="231">
        <f t="shared" si="301"/>
        <v>34.0625</v>
      </c>
      <c r="S428" s="230">
        <f t="shared" si="299"/>
        <v>34.0625</v>
      </c>
      <c r="T428" s="231"/>
      <c r="U428" s="232" t="str">
        <f t="shared" si="300"/>
        <v>US$2014/ kg of protein</v>
      </c>
      <c r="V428" s="28"/>
      <c r="W428" s="28"/>
      <c r="Y428" s="139"/>
      <c r="AO428" s="139"/>
      <c r="AP428" s="28"/>
      <c r="AQ428" s="28"/>
      <c r="AR428" s="237"/>
      <c r="AS428" s="28"/>
      <c r="AT428" s="304" t="str">
        <f t="shared" si="313"/>
        <v/>
      </c>
      <c r="AU428" s="304" t="str">
        <f t="shared" si="313"/>
        <v/>
      </c>
      <c r="AV428" s="28"/>
      <c r="AW428" s="304" t="str">
        <f t="shared" si="304"/>
        <v/>
      </c>
      <c r="AX428" s="304" t="str">
        <f t="shared" si="304"/>
        <v/>
      </c>
      <c r="AY428" s="28"/>
      <c r="AZ428" s="304" t="str">
        <f t="shared" si="305"/>
        <v/>
      </c>
      <c r="BA428" s="304" t="str">
        <f t="shared" si="305"/>
        <v/>
      </c>
      <c r="BB428" s="28"/>
      <c r="BC428" s="304" t="str">
        <f t="shared" si="306"/>
        <v/>
      </c>
      <c r="BD428" s="304" t="str">
        <f t="shared" si="306"/>
        <v/>
      </c>
      <c r="BE428" s="28"/>
      <c r="BF428" s="304">
        <f t="shared" si="307"/>
        <v>34.0625</v>
      </c>
      <c r="BG428" s="304">
        <f t="shared" si="307"/>
        <v>34.0625</v>
      </c>
      <c r="BH428" s="28"/>
      <c r="BI428" s="304" t="str">
        <f t="shared" si="308"/>
        <v/>
      </c>
      <c r="BJ428" s="304" t="str">
        <f t="shared" si="308"/>
        <v/>
      </c>
      <c r="BK428" s="28"/>
      <c r="BL428" s="304" t="str">
        <f t="shared" si="309"/>
        <v/>
      </c>
      <c r="BM428" s="304" t="str">
        <f t="shared" si="309"/>
        <v/>
      </c>
      <c r="BN428" s="28"/>
      <c r="BO428" s="304" t="str">
        <f t="shared" si="310"/>
        <v/>
      </c>
      <c r="BP428" s="304" t="str">
        <f t="shared" si="310"/>
        <v/>
      </c>
      <c r="BQ428" s="28"/>
      <c r="BR428" s="304" t="str">
        <f t="shared" si="311"/>
        <v/>
      </c>
      <c r="BS428" s="304" t="str">
        <f t="shared" si="311"/>
        <v/>
      </c>
      <c r="BT428" s="28"/>
      <c r="BU428" s="304" t="str">
        <f t="shared" si="312"/>
        <v/>
      </c>
      <c r="BV428" s="304" t="str">
        <f t="shared" si="312"/>
        <v/>
      </c>
      <c r="BW428" s="28"/>
      <c r="BX428" s="139"/>
    </row>
    <row r="429" spans="1:76" s="122" customFormat="1" ht="15.95" customHeight="1" x14ac:dyDescent="0.25">
      <c r="A429" s="195">
        <v>99</v>
      </c>
      <c r="B429" s="216" t="str">
        <f t="shared" si="264"/>
        <v>Middle East and Africa: FAO. 2017. Global Livestock Environmental Assessment Model (GLEAM)</v>
      </c>
      <c r="C429" s="221" t="s">
        <v>227</v>
      </c>
      <c r="D429" s="221"/>
      <c r="E429" s="221" t="s">
        <v>99</v>
      </c>
      <c r="F429" s="221" t="s">
        <v>312</v>
      </c>
      <c r="G429" s="340" t="s">
        <v>26</v>
      </c>
      <c r="H429" s="221">
        <v>2017</v>
      </c>
      <c r="I429" s="340"/>
      <c r="J429" s="241">
        <f t="shared" si="317"/>
        <v>1</v>
      </c>
      <c r="K429" s="339" t="s">
        <v>230</v>
      </c>
      <c r="L429" s="334">
        <f t="shared" si="316"/>
        <v>34.0625</v>
      </c>
      <c r="M429" s="335" t="str">
        <f t="shared" si="265"/>
        <v>US$2014/ kg of protein</v>
      </c>
      <c r="N429" s="227"/>
      <c r="O429" s="227" t="s">
        <v>318</v>
      </c>
      <c r="Q429" s="228"/>
      <c r="R429" s="231">
        <f t="shared" si="301"/>
        <v>34.0625</v>
      </c>
      <c r="S429" s="230">
        <f t="shared" si="299"/>
        <v>34.0625</v>
      </c>
      <c r="T429" s="231"/>
      <c r="U429" s="232" t="str">
        <f t="shared" si="300"/>
        <v>US$2014/ kg of protein</v>
      </c>
      <c r="V429" s="28"/>
      <c r="W429" s="28"/>
      <c r="Y429" s="139"/>
      <c r="AO429" s="139"/>
      <c r="AP429" s="28"/>
      <c r="AQ429" s="28"/>
      <c r="AR429" s="237"/>
      <c r="AS429" s="28"/>
      <c r="AT429" s="304" t="str">
        <f t="shared" si="313"/>
        <v/>
      </c>
      <c r="AU429" s="304" t="str">
        <f t="shared" si="313"/>
        <v/>
      </c>
      <c r="AV429" s="28"/>
      <c r="AW429" s="304" t="str">
        <f t="shared" si="304"/>
        <v/>
      </c>
      <c r="AX429" s="304" t="str">
        <f t="shared" si="304"/>
        <v/>
      </c>
      <c r="AY429" s="28"/>
      <c r="AZ429" s="304" t="str">
        <f t="shared" si="305"/>
        <v/>
      </c>
      <c r="BA429" s="304" t="str">
        <f t="shared" si="305"/>
        <v/>
      </c>
      <c r="BB429" s="28"/>
      <c r="BC429" s="304" t="str">
        <f t="shared" si="306"/>
        <v/>
      </c>
      <c r="BD429" s="304" t="str">
        <f t="shared" si="306"/>
        <v/>
      </c>
      <c r="BE429" s="28"/>
      <c r="BF429" s="304">
        <f t="shared" si="307"/>
        <v>34.0625</v>
      </c>
      <c r="BG429" s="304">
        <f t="shared" si="307"/>
        <v>34.0625</v>
      </c>
      <c r="BH429" s="28"/>
      <c r="BI429" s="304" t="str">
        <f t="shared" si="308"/>
        <v/>
      </c>
      <c r="BJ429" s="304" t="str">
        <f t="shared" si="308"/>
        <v/>
      </c>
      <c r="BK429" s="28"/>
      <c r="BL429" s="304" t="str">
        <f t="shared" si="309"/>
        <v/>
      </c>
      <c r="BM429" s="304" t="str">
        <f t="shared" si="309"/>
        <v/>
      </c>
      <c r="BN429" s="28"/>
      <c r="BO429" s="304" t="str">
        <f t="shared" si="310"/>
        <v/>
      </c>
      <c r="BP429" s="304" t="str">
        <f t="shared" si="310"/>
        <v/>
      </c>
      <c r="BQ429" s="28"/>
      <c r="BR429" s="304" t="str">
        <f t="shared" si="311"/>
        <v/>
      </c>
      <c r="BS429" s="304" t="str">
        <f t="shared" si="311"/>
        <v/>
      </c>
      <c r="BT429" s="28"/>
      <c r="BU429" s="304" t="str">
        <f t="shared" si="312"/>
        <v/>
      </c>
      <c r="BV429" s="304" t="str">
        <f t="shared" si="312"/>
        <v/>
      </c>
      <c r="BW429" s="28"/>
      <c r="BX429" s="139"/>
    </row>
    <row r="430" spans="1:76" s="122" customFormat="1" ht="15.95" customHeight="1" x14ac:dyDescent="0.25">
      <c r="A430" s="195">
        <v>100</v>
      </c>
      <c r="B430" s="216" t="str">
        <f t="shared" si="264"/>
        <v>Middle East and Africa: FAO. 2017. Global Livestock Environmental Assessment Model (GLEAM)</v>
      </c>
      <c r="C430" s="221" t="s">
        <v>227</v>
      </c>
      <c r="D430" s="221"/>
      <c r="E430" s="221" t="s">
        <v>99</v>
      </c>
      <c r="F430" s="221" t="s">
        <v>312</v>
      </c>
      <c r="G430" s="340" t="s">
        <v>26</v>
      </c>
      <c r="H430" s="221">
        <v>2017</v>
      </c>
      <c r="I430" s="340"/>
      <c r="J430" s="241">
        <f t="shared" si="317"/>
        <v>1</v>
      </c>
      <c r="K430" s="339" t="s">
        <v>230</v>
      </c>
      <c r="L430" s="334">
        <f>1/J430*$AB$14/(0.032)</f>
        <v>34.0625</v>
      </c>
      <c r="M430" s="335" t="str">
        <f t="shared" si="265"/>
        <v>US$2014/ kg of protein</v>
      </c>
      <c r="N430" s="227"/>
      <c r="O430" s="227" t="s">
        <v>315</v>
      </c>
      <c r="Q430" s="228"/>
      <c r="R430" s="231">
        <f t="shared" si="301"/>
        <v>34.0625</v>
      </c>
      <c r="S430" s="230">
        <f t="shared" si="299"/>
        <v>34.0625</v>
      </c>
      <c r="T430" s="231"/>
      <c r="U430" s="232" t="str">
        <f t="shared" si="300"/>
        <v>US$2014/ kg of protein</v>
      </c>
      <c r="V430" s="28"/>
      <c r="W430" s="28"/>
      <c r="Y430" s="139"/>
      <c r="AO430" s="139"/>
      <c r="AP430" s="28"/>
      <c r="AQ430" s="28"/>
      <c r="AR430" s="237"/>
      <c r="AS430" s="28"/>
      <c r="AT430" s="304" t="str">
        <f t="shared" si="313"/>
        <v/>
      </c>
      <c r="AU430" s="304" t="str">
        <f t="shared" si="313"/>
        <v/>
      </c>
      <c r="AV430" s="28"/>
      <c r="AW430" s="304" t="str">
        <f t="shared" si="304"/>
        <v/>
      </c>
      <c r="AX430" s="304" t="str">
        <f t="shared" si="304"/>
        <v/>
      </c>
      <c r="AY430" s="28"/>
      <c r="AZ430" s="304" t="str">
        <f t="shared" si="305"/>
        <v/>
      </c>
      <c r="BA430" s="304" t="str">
        <f t="shared" si="305"/>
        <v/>
      </c>
      <c r="BB430" s="28"/>
      <c r="BC430" s="304" t="str">
        <f t="shared" si="306"/>
        <v/>
      </c>
      <c r="BD430" s="304" t="str">
        <f t="shared" si="306"/>
        <v/>
      </c>
      <c r="BE430" s="28"/>
      <c r="BF430" s="304">
        <f t="shared" si="307"/>
        <v>34.0625</v>
      </c>
      <c r="BG430" s="304">
        <f t="shared" si="307"/>
        <v>34.0625</v>
      </c>
      <c r="BH430" s="28"/>
      <c r="BI430" s="304" t="str">
        <f t="shared" si="308"/>
        <v/>
      </c>
      <c r="BJ430" s="304" t="str">
        <f t="shared" si="308"/>
        <v/>
      </c>
      <c r="BK430" s="28"/>
      <c r="BL430" s="304" t="str">
        <f t="shared" si="309"/>
        <v/>
      </c>
      <c r="BM430" s="304" t="str">
        <f t="shared" si="309"/>
        <v/>
      </c>
      <c r="BN430" s="28"/>
      <c r="BO430" s="304" t="str">
        <f t="shared" si="310"/>
        <v/>
      </c>
      <c r="BP430" s="304" t="str">
        <f t="shared" si="310"/>
        <v/>
      </c>
      <c r="BQ430" s="28"/>
      <c r="BR430" s="304" t="str">
        <f t="shared" si="311"/>
        <v/>
      </c>
      <c r="BS430" s="304" t="str">
        <f t="shared" si="311"/>
        <v/>
      </c>
      <c r="BT430" s="28"/>
      <c r="BU430" s="304" t="str">
        <f t="shared" si="312"/>
        <v/>
      </c>
      <c r="BV430" s="304" t="str">
        <f t="shared" si="312"/>
        <v/>
      </c>
      <c r="BW430" s="28"/>
      <c r="BX430" s="139"/>
    </row>
    <row r="431" spans="1:76" s="122" customFormat="1" ht="15.95" customHeight="1" x14ac:dyDescent="0.25">
      <c r="A431" s="195">
        <v>101</v>
      </c>
      <c r="B431" s="216" t="str">
        <f t="shared" si="264"/>
        <v xml:space="preserve">: </v>
      </c>
      <c r="C431" s="221"/>
      <c r="D431" s="221"/>
      <c r="E431" s="221"/>
      <c r="F431" s="221"/>
      <c r="G431" s="240"/>
      <c r="H431" s="221"/>
      <c r="I431" s="240"/>
      <c r="J431" s="338"/>
      <c r="K431" s="339"/>
      <c r="L431" s="334"/>
      <c r="M431" s="335" t="str">
        <f t="shared" si="265"/>
        <v>US$2014/ kg of protein</v>
      </c>
      <c r="N431" s="227"/>
      <c r="O431" s="227"/>
      <c r="Q431" s="228"/>
      <c r="R431" s="231"/>
      <c r="S431" s="230"/>
      <c r="T431" s="231"/>
      <c r="U431" s="232"/>
      <c r="V431" s="28"/>
      <c r="W431" s="28"/>
      <c r="Y431" s="139"/>
      <c r="AO431" s="139"/>
      <c r="AP431" s="28"/>
      <c r="AQ431" s="28"/>
      <c r="AR431" s="237"/>
      <c r="AS431" s="28"/>
      <c r="AT431" s="304" t="str">
        <f t="shared" si="313"/>
        <v/>
      </c>
      <c r="AU431" s="304" t="str">
        <f t="shared" si="313"/>
        <v/>
      </c>
      <c r="AV431" s="28"/>
      <c r="AW431" s="304" t="str">
        <f t="shared" si="304"/>
        <v/>
      </c>
      <c r="AX431" s="304" t="str">
        <f t="shared" si="304"/>
        <v/>
      </c>
      <c r="AY431" s="28"/>
      <c r="AZ431" s="304" t="str">
        <f t="shared" si="305"/>
        <v/>
      </c>
      <c r="BA431" s="304" t="str">
        <f t="shared" si="305"/>
        <v/>
      </c>
      <c r="BB431" s="28"/>
      <c r="BC431" s="304" t="str">
        <f t="shared" si="306"/>
        <v/>
      </c>
      <c r="BD431" s="304" t="str">
        <f t="shared" si="306"/>
        <v/>
      </c>
      <c r="BE431" s="28"/>
      <c r="BF431" s="304" t="str">
        <f t="shared" si="307"/>
        <v/>
      </c>
      <c r="BG431" s="304" t="str">
        <f t="shared" si="307"/>
        <v/>
      </c>
      <c r="BH431" s="28"/>
      <c r="BI431" s="304" t="str">
        <f t="shared" si="308"/>
        <v/>
      </c>
      <c r="BJ431" s="304" t="str">
        <f t="shared" si="308"/>
        <v/>
      </c>
      <c r="BK431" s="28"/>
      <c r="BL431" s="304" t="str">
        <f t="shared" si="309"/>
        <v/>
      </c>
      <c r="BM431" s="304" t="str">
        <f t="shared" si="309"/>
        <v/>
      </c>
      <c r="BN431" s="28"/>
      <c r="BO431" s="304" t="str">
        <f t="shared" si="310"/>
        <v/>
      </c>
      <c r="BP431" s="304" t="str">
        <f t="shared" si="310"/>
        <v/>
      </c>
      <c r="BQ431" s="28"/>
      <c r="BR431" s="304" t="str">
        <f t="shared" si="311"/>
        <v/>
      </c>
      <c r="BS431" s="304" t="str">
        <f t="shared" si="311"/>
        <v/>
      </c>
      <c r="BT431" s="28"/>
      <c r="BU431" s="304" t="str">
        <f t="shared" si="312"/>
        <v/>
      </c>
      <c r="BV431" s="304" t="str">
        <f t="shared" si="312"/>
        <v/>
      </c>
      <c r="BW431" s="28"/>
      <c r="BX431" s="139"/>
    </row>
    <row r="432" spans="1:76" s="122" customFormat="1" x14ac:dyDescent="0.25">
      <c r="A432" s="195">
        <v>102</v>
      </c>
      <c r="B432" s="216" t="str">
        <f t="shared" si="264"/>
        <v xml:space="preserve">: </v>
      </c>
      <c r="C432" s="221"/>
      <c r="D432" s="221"/>
      <c r="E432" s="221"/>
      <c r="F432" s="221"/>
      <c r="G432" s="240"/>
      <c r="H432" s="221"/>
      <c r="I432" s="240"/>
      <c r="J432" s="241"/>
      <c r="K432" s="241"/>
      <c r="L432" s="241"/>
      <c r="M432" s="335" t="str">
        <f t="shared" si="265"/>
        <v>US$2014/ kg of protein</v>
      </c>
      <c r="N432" s="227"/>
      <c r="O432" s="241"/>
      <c r="Q432" s="228"/>
      <c r="R432" s="231" t="str">
        <f t="shared" si="301"/>
        <v/>
      </c>
      <c r="S432" s="230" t="str">
        <f>IF(R432="","",IF($R$441="Y",T432,IF(R432&gt;=$R$433-$AA$35*$R$437,IF(R432&lt;=$R$433+$AA$35*$R$437,R432,""),"")))</f>
        <v/>
      </c>
      <c r="T432" s="231" t="str">
        <f t="shared" ref="T432" si="318">IF(OR(Q432="Y",IFERROR(R432&gt;R437+R441*$AA$35,0),IFERROR(R432&lt;R437-R441*$AA$35,0)),"",IFERROR(R432*N432,""))</f>
        <v/>
      </c>
      <c r="U432" s="232" t="str">
        <f t="shared" si="300"/>
        <v>US$2014/ kg of protein</v>
      </c>
      <c r="V432" s="28"/>
      <c r="W432" s="28"/>
      <c r="Y432" s="139"/>
      <c r="AO432" s="139"/>
      <c r="AP432" s="28"/>
      <c r="AQ432" s="28"/>
      <c r="AR432" s="237"/>
      <c r="AS432" s="28"/>
      <c r="AT432" s="304" t="str">
        <f t="shared" si="313"/>
        <v/>
      </c>
      <c r="AU432" s="304" t="str">
        <f t="shared" si="313"/>
        <v/>
      </c>
      <c r="AV432" s="28"/>
      <c r="AW432" s="304" t="str">
        <f t="shared" si="304"/>
        <v/>
      </c>
      <c r="AX432" s="304" t="str">
        <f t="shared" si="304"/>
        <v/>
      </c>
      <c r="AY432" s="28"/>
      <c r="AZ432" s="304" t="str">
        <f t="shared" si="305"/>
        <v/>
      </c>
      <c r="BA432" s="304" t="str">
        <f t="shared" si="305"/>
        <v/>
      </c>
      <c r="BB432" s="28"/>
      <c r="BC432" s="304" t="str">
        <f t="shared" si="306"/>
        <v/>
      </c>
      <c r="BD432" s="304" t="str">
        <f t="shared" si="306"/>
        <v/>
      </c>
      <c r="BE432" s="28"/>
      <c r="BF432" s="304" t="str">
        <f t="shared" si="307"/>
        <v/>
      </c>
      <c r="BG432" s="304" t="str">
        <f t="shared" si="307"/>
        <v/>
      </c>
      <c r="BH432" s="28"/>
      <c r="BI432" s="304" t="str">
        <f t="shared" si="308"/>
        <v/>
      </c>
      <c r="BJ432" s="304" t="str">
        <f t="shared" si="308"/>
        <v/>
      </c>
      <c r="BK432" s="28"/>
      <c r="BL432" s="304" t="str">
        <f t="shared" si="309"/>
        <v/>
      </c>
      <c r="BM432" s="304" t="str">
        <f t="shared" si="309"/>
        <v/>
      </c>
      <c r="BN432" s="28"/>
      <c r="BO432" s="304" t="str">
        <f t="shared" si="310"/>
        <v/>
      </c>
      <c r="BP432" s="304" t="str">
        <f t="shared" si="310"/>
        <v/>
      </c>
      <c r="BQ432" s="28"/>
      <c r="BR432" s="304" t="str">
        <f t="shared" si="311"/>
        <v/>
      </c>
      <c r="BS432" s="304" t="str">
        <f t="shared" si="311"/>
        <v/>
      </c>
      <c r="BT432" s="28"/>
      <c r="BU432" s="304" t="str">
        <f t="shared" si="312"/>
        <v/>
      </c>
      <c r="BV432" s="304" t="str">
        <f t="shared" si="312"/>
        <v/>
      </c>
      <c r="BW432" s="28"/>
      <c r="BX432" s="139"/>
    </row>
    <row r="433" spans="1:76" s="122" customFormat="1" x14ac:dyDescent="0.25">
      <c r="A433" s="195"/>
      <c r="B433" s="244" t="s">
        <v>163</v>
      </c>
      <c r="C433" s="199"/>
      <c r="D433" s="199"/>
      <c r="E433" s="199"/>
      <c r="F433" s="199"/>
      <c r="H433" s="28"/>
      <c r="I433" s="245"/>
      <c r="L433" s="122" t="s">
        <v>134</v>
      </c>
      <c r="Q433" s="305" t="s">
        <v>136</v>
      </c>
      <c r="R433" s="246">
        <f>AVERAGE(R331:R432)</f>
        <v>14.793022334385189</v>
      </c>
      <c r="S433" s="247" cm="1">
        <f t="array" ref="S433">IF(R441="Y",SUM(S331:S432)/SUMPRODUCT(N331:N432,--ISNUMBER(S331:S432)),AVERAGE(S331:S432))</f>
        <v>13.378231787202409</v>
      </c>
      <c r="T433" s="342" t="e" cm="1">
        <f t="array" ref="T433">SUM(T331:T432)/SUMPRODUCT(N331:N432,--ISNUMBER(T331:T432))</f>
        <v>#DIV/0!</v>
      </c>
      <c r="U433" s="28"/>
      <c r="V433" s="28"/>
      <c r="W433" s="28"/>
      <c r="Y433" s="249"/>
      <c r="AO433" s="139"/>
      <c r="AP433" s="28"/>
      <c r="AQ433" s="28"/>
      <c r="AR433" s="28"/>
      <c r="AS433" s="245" t="s">
        <v>136</v>
      </c>
      <c r="AT433" s="304" t="str">
        <f t="shared" si="313"/>
        <v/>
      </c>
      <c r="AU433" s="304" t="str">
        <f t="shared" si="313"/>
        <v/>
      </c>
      <c r="AV433" s="28"/>
      <c r="AW433" s="304" t="str">
        <f t="shared" si="304"/>
        <v/>
      </c>
      <c r="AX433" s="304" t="str">
        <f t="shared" si="304"/>
        <v/>
      </c>
      <c r="AY433" s="28"/>
      <c r="AZ433" s="304" t="str">
        <f t="shared" si="305"/>
        <v/>
      </c>
      <c r="BA433" s="304" t="str">
        <f t="shared" si="305"/>
        <v/>
      </c>
      <c r="BB433" s="28"/>
      <c r="BC433" s="304" t="str">
        <f t="shared" si="306"/>
        <v/>
      </c>
      <c r="BD433" s="304" t="str">
        <f t="shared" si="306"/>
        <v/>
      </c>
      <c r="BE433" s="28"/>
      <c r="BF433" s="304" t="str">
        <f t="shared" si="307"/>
        <v/>
      </c>
      <c r="BG433" s="304" t="str">
        <f t="shared" si="307"/>
        <v/>
      </c>
      <c r="BH433" s="28"/>
      <c r="BI433" s="304" t="str">
        <f t="shared" si="308"/>
        <v/>
      </c>
      <c r="BJ433" s="304" t="str">
        <f t="shared" si="308"/>
        <v/>
      </c>
      <c r="BK433" s="28"/>
      <c r="BL433" s="304" t="str">
        <f t="shared" si="309"/>
        <v/>
      </c>
      <c r="BM433" s="304" t="str">
        <f t="shared" si="309"/>
        <v/>
      </c>
      <c r="BN433" s="28"/>
      <c r="BO433" s="304" t="str">
        <f t="shared" si="310"/>
        <v/>
      </c>
      <c r="BP433" s="304" t="str">
        <f t="shared" si="310"/>
        <v/>
      </c>
      <c r="BQ433" s="28"/>
      <c r="BR433" s="304" t="str">
        <f t="shared" si="311"/>
        <v/>
      </c>
      <c r="BS433" s="304" t="str">
        <f t="shared" si="311"/>
        <v/>
      </c>
      <c r="BT433" s="28"/>
      <c r="BU433" s="304" t="str">
        <f t="shared" si="312"/>
        <v/>
      </c>
      <c r="BV433" s="304" t="str">
        <f t="shared" si="312"/>
        <v/>
      </c>
      <c r="BW433" s="28"/>
      <c r="BX433" s="139"/>
    </row>
    <row r="434" spans="1:76" s="122" customFormat="1" x14ac:dyDescent="0.25">
      <c r="A434" s="195"/>
      <c r="B434" s="244" t="s">
        <v>164</v>
      </c>
      <c r="C434" s="199" t="s">
        <v>139</v>
      </c>
      <c r="D434" s="252" t="s">
        <v>319</v>
      </c>
      <c r="E434" s="253"/>
      <c r="F434" s="253"/>
      <c r="G434" s="253"/>
      <c r="H434" s="253"/>
      <c r="I434" s="253"/>
      <c r="J434" s="254"/>
      <c r="Q434" s="306" t="s">
        <v>144</v>
      </c>
      <c r="R434" s="257">
        <f>R433+U434*R437</f>
        <v>30.587525292052806</v>
      </c>
      <c r="S434" s="257">
        <f>S433+U434*S437</f>
        <v>25.766707844452228</v>
      </c>
      <c r="T434" s="257" t="e">
        <f>T433+U434*T437</f>
        <v>#DIV/0!</v>
      </c>
      <c r="U434" s="258">
        <v>1</v>
      </c>
      <c r="V434" s="122" t="s">
        <v>142</v>
      </c>
      <c r="W434" s="28"/>
      <c r="X434" s="259" t="s">
        <v>143</v>
      </c>
      <c r="Y434" s="260"/>
      <c r="AO434" s="139"/>
      <c r="AP434" s="28"/>
      <c r="AQ434" s="28"/>
      <c r="AR434" s="28"/>
      <c r="AS434" s="256" t="s">
        <v>144</v>
      </c>
      <c r="AT434" s="304" t="str">
        <f t="shared" si="313"/>
        <v/>
      </c>
      <c r="AU434" s="304" t="str">
        <f t="shared" si="313"/>
        <v/>
      </c>
      <c r="AV434" s="28"/>
      <c r="AW434" s="304" t="str">
        <f t="shared" si="304"/>
        <v/>
      </c>
      <c r="AX434" s="304" t="str">
        <f t="shared" si="304"/>
        <v/>
      </c>
      <c r="AY434" s="28"/>
      <c r="AZ434" s="304" t="str">
        <f t="shared" si="305"/>
        <v/>
      </c>
      <c r="BA434" s="304" t="str">
        <f t="shared" si="305"/>
        <v/>
      </c>
      <c r="BB434" s="28"/>
      <c r="BC434" s="304" t="str">
        <f t="shared" si="306"/>
        <v/>
      </c>
      <c r="BD434" s="304" t="str">
        <f t="shared" si="306"/>
        <v/>
      </c>
      <c r="BE434" s="28"/>
      <c r="BF434" s="304" t="str">
        <f t="shared" si="307"/>
        <v/>
      </c>
      <c r="BG434" s="304" t="str">
        <f t="shared" si="307"/>
        <v/>
      </c>
      <c r="BH434" s="28"/>
      <c r="BI434" s="304" t="str">
        <f t="shared" si="308"/>
        <v/>
      </c>
      <c r="BJ434" s="304" t="str">
        <f t="shared" si="308"/>
        <v/>
      </c>
      <c r="BK434" s="28"/>
      <c r="BL434" s="304" t="str">
        <f t="shared" si="309"/>
        <v/>
      </c>
      <c r="BM434" s="304" t="str">
        <f t="shared" si="309"/>
        <v/>
      </c>
      <c r="BN434" s="28"/>
      <c r="BO434" s="304" t="str">
        <f t="shared" si="310"/>
        <v/>
      </c>
      <c r="BP434" s="304" t="str">
        <f t="shared" si="310"/>
        <v/>
      </c>
      <c r="BQ434" s="28"/>
      <c r="BR434" s="304" t="str">
        <f t="shared" si="311"/>
        <v/>
      </c>
      <c r="BS434" s="304" t="str">
        <f t="shared" si="311"/>
        <v/>
      </c>
      <c r="BT434" s="28"/>
      <c r="BU434" s="304" t="str">
        <f t="shared" si="312"/>
        <v/>
      </c>
      <c r="BV434" s="304" t="str">
        <f t="shared" si="312"/>
        <v/>
      </c>
      <c r="BW434" s="28"/>
      <c r="BX434" s="139"/>
    </row>
    <row r="435" spans="1:76" s="122" customFormat="1" x14ac:dyDescent="0.25">
      <c r="A435" s="195"/>
      <c r="B435" s="244" t="s">
        <v>165</v>
      </c>
      <c r="C435" s="195"/>
      <c r="D435" s="263"/>
      <c r="E435" s="264"/>
      <c r="F435" s="264"/>
      <c r="G435" s="264"/>
      <c r="H435" s="264"/>
      <c r="I435" s="264"/>
      <c r="J435" s="265"/>
      <c r="K435" s="28"/>
      <c r="L435" s="343"/>
      <c r="Q435" s="306" t="s">
        <v>150</v>
      </c>
      <c r="R435" s="257">
        <f>IF($X435="Y",MIN(R331:R432),R433-$U435*R437)</f>
        <v>-1.0014806232824291</v>
      </c>
      <c r="S435" s="257">
        <f>IF($X435="Y",MIN(S331:S432),S433-$U435*S437)</f>
        <v>0.98975572995258965</v>
      </c>
      <c r="T435" s="257" t="e">
        <f>IF($X435="Y",MIN(T331:T432),T433-$U435*T437)</f>
        <v>#DIV/0!</v>
      </c>
      <c r="U435" s="258">
        <v>1</v>
      </c>
      <c r="V435" s="122" t="s">
        <v>148</v>
      </c>
      <c r="W435" s="28"/>
      <c r="X435" s="266" t="s">
        <v>149</v>
      </c>
      <c r="Y435" s="260"/>
      <c r="AO435" s="139"/>
      <c r="AP435" s="28"/>
      <c r="AQ435" s="28"/>
      <c r="AR435" s="28"/>
      <c r="AS435" s="256" t="s">
        <v>150</v>
      </c>
      <c r="AT435" s="304" t="str">
        <f t="shared" si="313"/>
        <v/>
      </c>
      <c r="AU435" s="304" t="str">
        <f t="shared" si="313"/>
        <v/>
      </c>
      <c r="AV435" s="28"/>
      <c r="AW435" s="304" t="str">
        <f t="shared" si="304"/>
        <v/>
      </c>
      <c r="AX435" s="304" t="str">
        <f t="shared" si="304"/>
        <v/>
      </c>
      <c r="AY435" s="28"/>
      <c r="AZ435" s="304" t="str">
        <f t="shared" si="305"/>
        <v/>
      </c>
      <c r="BA435" s="304" t="str">
        <f t="shared" si="305"/>
        <v/>
      </c>
      <c r="BB435" s="28"/>
      <c r="BC435" s="304" t="str">
        <f t="shared" si="306"/>
        <v/>
      </c>
      <c r="BD435" s="304" t="str">
        <f t="shared" si="306"/>
        <v/>
      </c>
      <c r="BE435" s="28"/>
      <c r="BF435" s="304" t="str">
        <f t="shared" si="307"/>
        <v/>
      </c>
      <c r="BG435" s="304" t="str">
        <f t="shared" si="307"/>
        <v/>
      </c>
      <c r="BH435" s="28"/>
      <c r="BI435" s="304" t="str">
        <f t="shared" si="308"/>
        <v/>
      </c>
      <c r="BJ435" s="304" t="str">
        <f t="shared" si="308"/>
        <v/>
      </c>
      <c r="BK435" s="28"/>
      <c r="BL435" s="304" t="str">
        <f t="shared" si="309"/>
        <v/>
      </c>
      <c r="BM435" s="304" t="str">
        <f t="shared" si="309"/>
        <v/>
      </c>
      <c r="BN435" s="28"/>
      <c r="BO435" s="304" t="str">
        <f t="shared" si="310"/>
        <v/>
      </c>
      <c r="BP435" s="304" t="str">
        <f t="shared" si="310"/>
        <v/>
      </c>
      <c r="BQ435" s="28"/>
      <c r="BR435" s="304" t="str">
        <f t="shared" si="311"/>
        <v/>
      </c>
      <c r="BS435" s="304" t="str">
        <f t="shared" si="311"/>
        <v/>
      </c>
      <c r="BT435" s="28"/>
      <c r="BU435" s="304" t="str">
        <f t="shared" si="312"/>
        <v/>
      </c>
      <c r="BV435" s="304" t="str">
        <f t="shared" si="312"/>
        <v/>
      </c>
      <c r="BW435" s="28"/>
      <c r="BX435" s="139"/>
    </row>
    <row r="436" spans="1:76" s="122" customFormat="1" x14ac:dyDescent="0.25">
      <c r="A436" s="195"/>
      <c r="B436" s="196"/>
      <c r="C436" s="195"/>
      <c r="D436" s="263"/>
      <c r="E436" s="264"/>
      <c r="F436" s="264"/>
      <c r="G436" s="264"/>
      <c r="H436" s="264"/>
      <c r="I436" s="264"/>
      <c r="J436" s="265"/>
      <c r="Q436" s="306" t="s">
        <v>151</v>
      </c>
      <c r="R436" s="257" t="str">
        <f>IF((0.67*R437)&gt;R433,"no","yes")</f>
        <v>yes</v>
      </c>
      <c r="S436" s="257" t="str">
        <f>IF((0.67*S437)&gt;S433,"no","yes")</f>
        <v>yes</v>
      </c>
      <c r="T436" s="257" t="e">
        <f>IF((0.67*T437)&gt;T433,"no","yes")</f>
        <v>#DIV/0!</v>
      </c>
      <c r="Y436" s="260"/>
      <c r="AO436" s="139"/>
      <c r="AR436" s="267" t="s">
        <v>152</v>
      </c>
      <c r="AS436" s="268"/>
      <c r="AT436" s="304" t="str">
        <f t="shared" si="313"/>
        <v/>
      </c>
      <c r="AU436" s="304" t="str">
        <f t="shared" si="313"/>
        <v/>
      </c>
      <c r="AV436" s="28"/>
      <c r="AW436" s="304" t="str">
        <f t="shared" si="304"/>
        <v/>
      </c>
      <c r="AX436" s="304" t="str">
        <f t="shared" si="304"/>
        <v/>
      </c>
      <c r="AY436" s="28"/>
      <c r="AZ436" s="304" t="str">
        <f t="shared" si="305"/>
        <v/>
      </c>
      <c r="BA436" s="304" t="str">
        <f t="shared" si="305"/>
        <v/>
      </c>
      <c r="BB436" s="28"/>
      <c r="BC436" s="304" t="str">
        <f t="shared" si="306"/>
        <v/>
      </c>
      <c r="BD436" s="304" t="str">
        <f t="shared" si="306"/>
        <v/>
      </c>
      <c r="BE436" s="28"/>
      <c r="BF436" s="304" t="str">
        <f t="shared" si="307"/>
        <v/>
      </c>
      <c r="BG436" s="304" t="str">
        <f t="shared" si="307"/>
        <v/>
      </c>
      <c r="BH436" s="28"/>
      <c r="BI436" s="304" t="str">
        <f t="shared" si="308"/>
        <v/>
      </c>
      <c r="BJ436" s="304" t="str">
        <f t="shared" si="308"/>
        <v/>
      </c>
      <c r="BK436" s="28"/>
      <c r="BL436" s="304" t="str">
        <f t="shared" si="309"/>
        <v/>
      </c>
      <c r="BM436" s="304" t="str">
        <f t="shared" si="309"/>
        <v/>
      </c>
      <c r="BN436" s="28"/>
      <c r="BO436" s="304" t="str">
        <f t="shared" si="310"/>
        <v/>
      </c>
      <c r="BP436" s="304" t="str">
        <f t="shared" si="310"/>
        <v/>
      </c>
      <c r="BQ436" s="28"/>
      <c r="BR436" s="304" t="str">
        <f t="shared" si="311"/>
        <v/>
      </c>
      <c r="BS436" s="304" t="str">
        <f t="shared" si="311"/>
        <v/>
      </c>
      <c r="BT436" s="28"/>
      <c r="BU436" s="304" t="str">
        <f t="shared" si="312"/>
        <v/>
      </c>
      <c r="BV436" s="304" t="str">
        <f t="shared" si="312"/>
        <v/>
      </c>
      <c r="BX436" s="139"/>
    </row>
    <row r="437" spans="1:76" s="122" customFormat="1" ht="28.5" x14ac:dyDescent="0.2">
      <c r="A437" s="270" t="e">
        <f ca="1">HYPERLINK("#"&amp;"'"&amp;A$1&amp;"'!a1","Back to top")</f>
        <v>#VALUE!</v>
      </c>
      <c r="B437" s="271"/>
      <c r="C437" s="195"/>
      <c r="D437" s="263"/>
      <c r="E437" s="264"/>
      <c r="F437" s="264"/>
      <c r="G437" s="264"/>
      <c r="H437" s="264"/>
      <c r="I437" s="264"/>
      <c r="J437" s="265"/>
      <c r="L437" s="344"/>
      <c r="Q437" s="306" t="s">
        <v>157</v>
      </c>
      <c r="R437" s="257">
        <f>IF(COUNT(R331:R432)&gt;1,_xlfn.STDEV.S(R331:R432),0)</f>
        <v>15.794502957667618</v>
      </c>
      <c r="S437" s="257">
        <f t="array" ref="S437">IF(R441="Y",SQRT(SUM(IFERROR(N331:N432*(R331:R432-(S433))^2,0))/((COUNT(S331:S432)-1)/COUNT(S331:S432)*SUMPRODUCT(N331:N432,--ISNUMBER(S331:S432)))),_xlfn.STDEV.S(S331:S432))</f>
        <v>12.38847605724982</v>
      </c>
      <c r="T437" s="257" t="e">
        <f t="array" ref="T437">SQRT(SUM(IFERROR(N331:N432*(R331:R432-(T433))^2,0))/((COUNT(T331:T432)-1)/COUNT(T331:T432)*SUMPRODUCT(N331:N432,--ISNUMBER(T331:T432))))</f>
        <v>#DIV/0!</v>
      </c>
      <c r="Y437" s="260"/>
      <c r="AO437" s="139"/>
      <c r="AR437" s="267"/>
      <c r="AS437" s="268"/>
      <c r="AT437" s="258">
        <v>1</v>
      </c>
      <c r="AV437" s="308"/>
      <c r="AW437" s="258">
        <v>1</v>
      </c>
      <c r="AZ437" s="258">
        <v>1</v>
      </c>
      <c r="BC437" s="258">
        <v>1</v>
      </c>
      <c r="BF437" s="258">
        <v>1</v>
      </c>
      <c r="BI437" s="258">
        <v>1</v>
      </c>
      <c r="BK437" s="256"/>
      <c r="BL437" s="258">
        <v>1</v>
      </c>
      <c r="BO437" s="258">
        <v>1</v>
      </c>
      <c r="BR437" s="258">
        <v>1</v>
      </c>
      <c r="BU437" s="258">
        <v>1</v>
      </c>
      <c r="BX437" s="139"/>
    </row>
    <row r="438" spans="1:76" s="122" customFormat="1" ht="15" customHeight="1" x14ac:dyDescent="0.25">
      <c r="A438" s="195"/>
      <c r="B438" s="196"/>
      <c r="C438" s="195"/>
      <c r="D438" s="263"/>
      <c r="E438" s="264"/>
      <c r="F438" s="264"/>
      <c r="G438" s="264"/>
      <c r="H438" s="264"/>
      <c r="I438" s="264"/>
      <c r="J438" s="265"/>
      <c r="L438" s="344"/>
      <c r="Q438" s="309" t="s">
        <v>159</v>
      </c>
      <c r="R438" s="310">
        <f>COUNT(R331:R432)</f>
        <v>100</v>
      </c>
      <c r="S438" s="310">
        <f>COUNT(S331:S432)</f>
        <v>98</v>
      </c>
      <c r="T438" s="118"/>
      <c r="U438" s="273" t="s">
        <v>155</v>
      </c>
      <c r="Y438" s="139"/>
      <c r="AO438" s="139"/>
      <c r="AS438" s="256" t="s">
        <v>151</v>
      </c>
      <c r="AT438" s="261" t="str">
        <f>IF((0.67*AT439)&gt;AT433,"no","yes")</f>
        <v>yes</v>
      </c>
      <c r="AU438" s="261" t="str">
        <f>IF((0.67*AU439)&gt;AU433,"no","yes")</f>
        <v>yes</v>
      </c>
      <c r="AV438" s="256"/>
      <c r="AW438" s="261" t="str">
        <f>IF((0.67*AW439)&gt;AW433,"no","yes")</f>
        <v>yes</v>
      </c>
      <c r="AX438" s="261" t="str">
        <f>IF((0.67*AX439)&gt;AX433,"no","yes")</f>
        <v>yes</v>
      </c>
      <c r="AZ438" s="261" t="str">
        <f>IF((0.67*AZ439)&gt;AZ433,"no","yes")</f>
        <v>yes</v>
      </c>
      <c r="BA438" s="261" t="str">
        <f>IF((0.67*BA439)&gt;BA433,"no","yes")</f>
        <v>yes</v>
      </c>
      <c r="BC438" s="261" t="str">
        <f>IF((0.67*BC439)&gt;BC433,"no","yes")</f>
        <v>yes</v>
      </c>
      <c r="BD438" s="261" t="str">
        <f>IF((0.67*BD439)&gt;BD433,"no","yes")</f>
        <v>yes</v>
      </c>
      <c r="BF438" s="261" t="str">
        <f>IF((0.67*BF439)&gt;BF433,"no","yes")</f>
        <v>yes</v>
      </c>
      <c r="BG438" s="261" t="str">
        <f>IF((0.67*BG439)&gt;BG433,"no","yes")</f>
        <v>yes</v>
      </c>
      <c r="BI438" s="261" t="str">
        <f>IF((0.67*BI439)&gt;BI433,"no","yes")</f>
        <v>yes</v>
      </c>
      <c r="BJ438" s="261" t="str">
        <f>IF((0.67*BJ439)&gt;BJ433,"no","yes")</f>
        <v>yes</v>
      </c>
      <c r="BK438" s="133"/>
      <c r="BL438" s="261" t="str">
        <f>IF((0.67*BL439)&gt;BL433,"no","yes")</f>
        <v>yes</v>
      </c>
      <c r="BM438" s="261" t="str">
        <f>IF((0.67*BM439)&gt;BM433,"no","yes")</f>
        <v>yes</v>
      </c>
      <c r="BO438" s="261" t="str">
        <f>IF((0.67*BO439)&gt;BO433,"no","yes")</f>
        <v>yes</v>
      </c>
      <c r="BP438" s="261" t="str">
        <f>IF((0.67*BP439)&gt;BP433,"no","yes")</f>
        <v>yes</v>
      </c>
      <c r="BR438" s="261" t="str">
        <f>IF((0.67*BR439)&gt;BR433,"no","yes")</f>
        <v>yes</v>
      </c>
      <c r="BS438" s="261" t="str">
        <f>IF((0.67*BS439)&gt;BS433,"no","yes")</f>
        <v>yes</v>
      </c>
      <c r="BU438" s="261" t="str">
        <f>IF((0.67*BU439)&gt;BU433,"no","yes")</f>
        <v>yes</v>
      </c>
      <c r="BV438" s="261" t="str">
        <f>IF((0.67*BV439)&gt;BV433,"no","yes")</f>
        <v>yes</v>
      </c>
      <c r="BX438" s="139"/>
    </row>
    <row r="439" spans="1:76" s="122" customFormat="1" ht="14.25" x14ac:dyDescent="0.2">
      <c r="A439" s="195"/>
      <c r="B439" s="196"/>
      <c r="C439" s="195"/>
      <c r="D439" s="263"/>
      <c r="E439" s="264"/>
      <c r="F439" s="264"/>
      <c r="G439" s="264"/>
      <c r="H439" s="264"/>
      <c r="I439" s="264"/>
      <c r="J439" s="265"/>
      <c r="L439" s="344"/>
      <c r="Q439" s="311"/>
      <c r="U439" s="274"/>
      <c r="V439" s="275"/>
      <c r="W439" s="276"/>
      <c r="Y439" s="139"/>
      <c r="AO439" s="139"/>
      <c r="AS439" s="256" t="s">
        <v>157</v>
      </c>
      <c r="AT439" s="261">
        <f>IF(AT440&gt;1,_xlfn.STDEV.S(AT331:AT432),0)</f>
        <v>0</v>
      </c>
      <c r="AU439" s="261">
        <f>IF(AU440&gt;1,_xlfn.STDEV.S(AU331:AU432),0)</f>
        <v>0</v>
      </c>
      <c r="AW439" s="261">
        <f>IF(AW440&gt;1,_xlfn.STDEV.S(AW331:AW432),0)</f>
        <v>2.5463469616499133</v>
      </c>
      <c r="AX439" s="261">
        <f>IF(AX440&gt;1,_xlfn.STDEV.S(AX331:AX432),0)</f>
        <v>2.5463469616499133</v>
      </c>
      <c r="AZ439" s="261">
        <f>IF(AZ440&gt;1,_xlfn.STDEV.S(AZ331:AZ432),0)</f>
        <v>0</v>
      </c>
      <c r="BA439" s="261">
        <f>IF(BA440&gt;1,_xlfn.STDEV.S(BA331:BA432),0)</f>
        <v>0</v>
      </c>
      <c r="BC439" s="261">
        <f>IF(BC440&gt;1,_xlfn.STDEV.S(BC331:BC432),0)</f>
        <v>4.2365555391036631</v>
      </c>
      <c r="BD439" s="261">
        <f>IF(BD440&gt;1,_xlfn.STDEV.S(BD331:BD432),0)</f>
        <v>4.2365555391036631</v>
      </c>
      <c r="BF439" s="261">
        <f>IF(BF440&gt;1,_xlfn.STDEV.S(BF331:BF432),0)</f>
        <v>16.632798873642585</v>
      </c>
      <c r="BG439" s="261">
        <f>IF(BG440&gt;1,_xlfn.STDEV.S(BG331:BG432),0)</f>
        <v>11.410188362582746</v>
      </c>
      <c r="BI439" s="261">
        <f>IF(BI440&gt;1,_xlfn.STDEV.S(BI331:BI432),0)</f>
        <v>0.95772539294535886</v>
      </c>
      <c r="BJ439" s="261">
        <f>IF(BJ440&gt;1,_xlfn.STDEV.S(BJ331:BJ432),0)</f>
        <v>0.95772539294535886</v>
      </c>
      <c r="BL439" s="261">
        <f>IF(BL440&gt;1,_xlfn.STDEV.S(BL331:BL432),0)</f>
        <v>0</v>
      </c>
      <c r="BM439" s="261">
        <f>IF(BM440&gt;1,_xlfn.STDEV.S(BM331:BM432),0)</f>
        <v>0</v>
      </c>
      <c r="BO439" s="261">
        <f>IF(BO440&gt;1,_xlfn.STDEV.S(BO331:BO432),0)</f>
        <v>0</v>
      </c>
      <c r="BP439" s="261">
        <f>IF(BP440&gt;1,_xlfn.STDEV.S(BP331:BP432),0)</f>
        <v>0</v>
      </c>
      <c r="BR439" s="261">
        <f>IF(BR440&gt;1,_xlfn.STDEV.S(BR331:BR432),0)</f>
        <v>0</v>
      </c>
      <c r="BS439" s="261">
        <f>IF(BS440&gt;1,_xlfn.STDEV.S(BS331:BS432),0)</f>
        <v>0</v>
      </c>
      <c r="BU439" s="261">
        <f>IF(BU440&gt;1,_xlfn.STDEV.S(BU331:BU432),0)</f>
        <v>0</v>
      </c>
      <c r="BV439" s="261">
        <f>IF(BV440&gt;1,_xlfn.STDEV.S(BV331:BV432),0)</f>
        <v>0</v>
      </c>
      <c r="BX439" s="139"/>
    </row>
    <row r="440" spans="1:76" s="122" customFormat="1" x14ac:dyDescent="0.2">
      <c r="A440" s="195"/>
      <c r="B440" s="196"/>
      <c r="C440" s="195"/>
      <c r="D440" s="277"/>
      <c r="E440" s="278"/>
      <c r="F440" s="278"/>
      <c r="G440" s="278"/>
      <c r="H440" s="278"/>
      <c r="I440" s="278"/>
      <c r="J440" s="279"/>
      <c r="Q440" s="311"/>
      <c r="R440" s="280" t="s">
        <v>158</v>
      </c>
      <c r="U440" s="281"/>
      <c r="V440" s="282"/>
      <c r="W440" s="283"/>
      <c r="Y440" s="139"/>
      <c r="AO440" s="139"/>
      <c r="AS440" s="133" t="s">
        <v>159</v>
      </c>
      <c r="AT440" s="284">
        <f>COUNT(AT331:AT432)</f>
        <v>0</v>
      </c>
      <c r="AU440" s="284">
        <f>COUNT(AU331:AU432)</f>
        <v>0</v>
      </c>
      <c r="AW440" s="284">
        <f>COUNT(AW331:AW432)</f>
        <v>21</v>
      </c>
      <c r="AX440" s="284">
        <f>COUNT(AX331:AX432)</f>
        <v>21</v>
      </c>
      <c r="AZ440" s="284">
        <f>COUNT(AZ331:AZ432)</f>
        <v>0</v>
      </c>
      <c r="BA440" s="284">
        <f>COUNT(BA331:BA432)</f>
        <v>0</v>
      </c>
      <c r="BC440" s="284">
        <f>COUNT(BC331:BC432)</f>
        <v>11</v>
      </c>
      <c r="BD440" s="284">
        <f>COUNT(BD331:BD432)</f>
        <v>11</v>
      </c>
      <c r="BF440" s="284">
        <f>COUNT(BF331:BF432)</f>
        <v>49</v>
      </c>
      <c r="BG440" s="284">
        <f>COUNT(BG331:BG432)</f>
        <v>47</v>
      </c>
      <c r="BI440" s="284">
        <f>COUNT(BI331:BI432)</f>
        <v>19</v>
      </c>
      <c r="BJ440" s="284">
        <f>COUNT(BJ331:BJ432)</f>
        <v>19</v>
      </c>
      <c r="BL440" s="284">
        <f>COUNT(BL331:BL432)</f>
        <v>0</v>
      </c>
      <c r="BM440" s="284">
        <f>COUNT(BM331:BM432)</f>
        <v>0</v>
      </c>
      <c r="BO440" s="284">
        <f>COUNT(BO331:BO432)</f>
        <v>0</v>
      </c>
      <c r="BP440" s="284">
        <f>COUNT(BP331:BP432)</f>
        <v>0</v>
      </c>
      <c r="BR440" s="284">
        <f>COUNT(BR331:BR432)</f>
        <v>0</v>
      </c>
      <c r="BS440" s="284">
        <f>COUNT(BS331:BS432)</f>
        <v>0</v>
      </c>
      <c r="BU440" s="284">
        <f>COUNT(BU331:BU432)</f>
        <v>0</v>
      </c>
      <c r="BV440" s="284">
        <f>COUNT(BV331:BV432)</f>
        <v>0</v>
      </c>
      <c r="BX440" s="139"/>
    </row>
    <row r="441" spans="1:76" s="122" customFormat="1" ht="14.25" x14ac:dyDescent="0.2">
      <c r="A441" s="195"/>
      <c r="B441" s="196"/>
      <c r="Q441" s="311"/>
      <c r="R441" s="287" t="s">
        <v>149</v>
      </c>
      <c r="U441" s="281"/>
      <c r="V441" s="282"/>
      <c r="W441" s="283"/>
      <c r="Y441" s="139"/>
      <c r="AO441" s="139"/>
      <c r="AS441" s="195"/>
      <c r="AT441" s="195"/>
      <c r="AU441" s="195"/>
      <c r="AV441" s="195"/>
      <c r="BX441" s="139"/>
    </row>
    <row r="442" spans="1:76" s="122" customFormat="1" ht="14.25" x14ac:dyDescent="0.2">
      <c r="A442" s="195"/>
      <c r="B442" s="196"/>
      <c r="Q442" s="311"/>
      <c r="U442" s="288"/>
      <c r="V442" s="289"/>
      <c r="W442" s="290"/>
      <c r="Y442" s="139"/>
      <c r="AO442" s="139"/>
      <c r="AS442" s="195"/>
      <c r="AT442" s="195"/>
      <c r="AU442" s="195"/>
      <c r="AV442" s="195"/>
      <c r="BX442" s="139"/>
    </row>
    <row r="443" spans="1:76" s="55" customFormat="1" ht="18" x14ac:dyDescent="0.25">
      <c r="B443" s="23"/>
      <c r="Q443" s="81"/>
      <c r="T443" s="122"/>
      <c r="U443" s="122"/>
      <c r="V443" s="122"/>
      <c r="W443" s="122"/>
      <c r="Y443" s="91"/>
      <c r="AO443" s="296"/>
      <c r="AP443" s="345"/>
      <c r="AQ443" s="345"/>
      <c r="AR443" s="346"/>
      <c r="AS443" s="346"/>
      <c r="AT443" s="346"/>
      <c r="AU443" s="346"/>
      <c r="AV443" s="346"/>
      <c r="AW443" s="346"/>
      <c r="AX443" s="346"/>
      <c r="AY443" s="346"/>
      <c r="AZ443" s="346"/>
      <c r="BA443" s="346"/>
      <c r="BB443" s="346"/>
      <c r="BC443" s="346"/>
      <c r="BD443" s="346"/>
      <c r="BE443" s="346"/>
      <c r="BF443" s="346"/>
      <c r="BG443" s="346"/>
      <c r="BH443" s="346"/>
      <c r="BI443" s="346"/>
      <c r="BJ443" s="346"/>
      <c r="BK443" s="346"/>
      <c r="BL443" s="346"/>
      <c r="BM443" s="346"/>
      <c r="BN443" s="346"/>
      <c r="BO443" s="346"/>
      <c r="BP443" s="346"/>
      <c r="BQ443" s="346"/>
      <c r="BR443" s="346"/>
      <c r="BS443" s="346"/>
      <c r="BT443" s="346"/>
      <c r="BU443" s="346"/>
      <c r="BV443" s="346"/>
      <c r="BW443" s="346"/>
      <c r="BX443" s="296"/>
    </row>
    <row r="444" spans="1:76" s="55" customFormat="1" ht="14.25" x14ac:dyDescent="0.2">
      <c r="B444" s="23"/>
      <c r="Q444" s="81"/>
      <c r="Y444" s="91"/>
      <c r="AO444" s="91"/>
      <c r="BX444" s="91"/>
    </row>
    <row r="445" spans="1:76" s="55" customFormat="1" ht="14.25" x14ac:dyDescent="0.2">
      <c r="B445" s="23"/>
      <c r="Q445" s="81"/>
      <c r="Y445" s="91"/>
      <c r="AO445" s="91"/>
      <c r="BX445" s="91"/>
    </row>
    <row r="446" spans="1:76" s="91" customFormat="1" ht="18" x14ac:dyDescent="0.25">
      <c r="A446" s="188">
        <f>A328+1</f>
        <v>10</v>
      </c>
      <c r="B446" s="189"/>
      <c r="C446" s="293" t="s">
        <v>320</v>
      </c>
      <c r="D446" s="328"/>
      <c r="E446" s="328"/>
      <c r="F446" s="328"/>
      <c r="G446" s="328"/>
      <c r="J446" s="328"/>
      <c r="K446" s="328"/>
      <c r="L446" s="139"/>
      <c r="M446" s="139"/>
      <c r="N446" s="139"/>
      <c r="Q446" s="347"/>
      <c r="R446" s="194" t="s">
        <v>93</v>
      </c>
      <c r="S446" s="194"/>
      <c r="T446" s="194"/>
      <c r="U446" s="194"/>
      <c r="AP446" s="295">
        <f>A446</f>
        <v>10</v>
      </c>
      <c r="AQ446" s="295" t="str">
        <f>C446</f>
        <v>CONVENTIONAL FIXED Operating Cost per Implementation Unit</v>
      </c>
      <c r="AR446" s="296"/>
      <c r="AS446" s="296"/>
      <c r="AT446" s="296"/>
      <c r="AU446" s="296"/>
      <c r="AV446" s="296"/>
      <c r="AW446" s="296"/>
      <c r="AX446" s="296"/>
      <c r="AY446" s="296"/>
      <c r="AZ446" s="296"/>
      <c r="BA446" s="296"/>
      <c r="BB446" s="296"/>
      <c r="BC446" s="296"/>
      <c r="BD446" s="296"/>
      <c r="BE446" s="296"/>
      <c r="BF446" s="296"/>
      <c r="BG446" s="296"/>
      <c r="BH446" s="296"/>
      <c r="BI446" s="296"/>
      <c r="BJ446" s="296"/>
      <c r="BK446" s="296"/>
      <c r="BL446" s="296"/>
      <c r="BM446" s="296"/>
      <c r="BN446" s="296"/>
      <c r="BO446" s="296"/>
      <c r="BP446" s="296"/>
      <c r="BQ446" s="296"/>
      <c r="BR446" s="296"/>
      <c r="BS446" s="296"/>
      <c r="BT446" s="296"/>
      <c r="BU446" s="296"/>
      <c r="BV446" s="296"/>
      <c r="BW446" s="296"/>
    </row>
    <row r="447" spans="1:76" s="55" customFormat="1" x14ac:dyDescent="0.25">
      <c r="A447" s="195"/>
      <c r="B447" s="196"/>
      <c r="C447" s="195"/>
      <c r="D447" s="120"/>
      <c r="E447" s="120"/>
      <c r="F447" s="120"/>
      <c r="G447" s="120"/>
      <c r="J447" s="120"/>
      <c r="K447" s="120"/>
      <c r="L447" s="122"/>
      <c r="M447" s="122"/>
      <c r="N447" s="122"/>
      <c r="Q447" s="81"/>
      <c r="Y447" s="91"/>
      <c r="AO447" s="91"/>
      <c r="AP447" s="28"/>
      <c r="AQ447" s="28"/>
      <c r="AR447" s="28"/>
      <c r="AS447" s="28"/>
      <c r="AT447" s="198" t="s">
        <v>171</v>
      </c>
      <c r="AU447" s="198"/>
      <c r="AV447" s="28"/>
      <c r="AW447" s="198" t="s">
        <v>96</v>
      </c>
      <c r="AX447" s="198"/>
      <c r="AY447" s="28"/>
      <c r="AZ447" s="198" t="s">
        <v>97</v>
      </c>
      <c r="BA447" s="198"/>
      <c r="BB447" s="28"/>
      <c r="BC447" s="198" t="s">
        <v>98</v>
      </c>
      <c r="BD447" s="198"/>
      <c r="BE447" s="28"/>
      <c r="BF447" s="198" t="s">
        <v>99</v>
      </c>
      <c r="BG447" s="198"/>
      <c r="BH447" s="28"/>
      <c r="BI447" s="198" t="s">
        <v>100</v>
      </c>
      <c r="BJ447" s="198"/>
      <c r="BK447" s="28"/>
      <c r="BL447" s="198" t="s">
        <v>101</v>
      </c>
      <c r="BM447" s="198"/>
      <c r="BN447" s="28"/>
      <c r="BO447" s="198" t="s">
        <v>102</v>
      </c>
      <c r="BP447" s="198"/>
      <c r="BQ447" s="28"/>
      <c r="BR447" s="198" t="s">
        <v>103</v>
      </c>
      <c r="BS447" s="198"/>
      <c r="BT447" s="28"/>
      <c r="BU447" s="198" t="s">
        <v>104</v>
      </c>
      <c r="BV447" s="198"/>
      <c r="BW447" s="28"/>
      <c r="BX447" s="91"/>
    </row>
    <row r="448" spans="1:76" s="55" customFormat="1" ht="30.75" thickBot="1" x14ac:dyDescent="0.3">
      <c r="A448" s="199" t="s">
        <v>105</v>
      </c>
      <c r="B448" s="200" t="s">
        <v>106</v>
      </c>
      <c r="C448" s="201" t="s">
        <v>107</v>
      </c>
      <c r="D448" s="202" t="s">
        <v>108</v>
      </c>
      <c r="E448" s="202" t="s">
        <v>109</v>
      </c>
      <c r="F448" s="201" t="s">
        <v>110</v>
      </c>
      <c r="G448" s="201" t="s">
        <v>111</v>
      </c>
      <c r="H448" s="202" t="s">
        <v>112</v>
      </c>
      <c r="I448" s="203" t="s">
        <v>113</v>
      </c>
      <c r="J448" s="204" t="s">
        <v>114</v>
      </c>
      <c r="K448" s="205" t="s">
        <v>115</v>
      </c>
      <c r="L448" s="302" t="s">
        <v>116</v>
      </c>
      <c r="M448" s="207" t="s">
        <v>117</v>
      </c>
      <c r="N448" s="208" t="s">
        <v>118</v>
      </c>
      <c r="O448" s="208" t="s">
        <v>119</v>
      </c>
      <c r="P448" s="210"/>
      <c r="Q448" s="211" t="s">
        <v>120</v>
      </c>
      <c r="R448" s="212" t="s">
        <v>121</v>
      </c>
      <c r="S448" s="212" t="s">
        <v>122</v>
      </c>
      <c r="T448" s="212" t="s">
        <v>123</v>
      </c>
      <c r="U448" s="213" t="s">
        <v>124</v>
      </c>
      <c r="V448" s="210"/>
      <c r="W448" s="210"/>
      <c r="Y448" s="91"/>
      <c r="AO448" s="91"/>
      <c r="AP448" s="210"/>
      <c r="AQ448" s="210"/>
      <c r="AR448" s="213" t="s">
        <v>125</v>
      </c>
      <c r="AS448" s="210"/>
      <c r="AT448" s="215" t="s">
        <v>121</v>
      </c>
      <c r="AU448" s="215" t="s">
        <v>122</v>
      </c>
      <c r="AV448" s="210"/>
      <c r="AW448" s="215" t="s">
        <v>121</v>
      </c>
      <c r="AX448" s="215" t="s">
        <v>122</v>
      </c>
      <c r="AY448" s="210"/>
      <c r="AZ448" s="215" t="s">
        <v>121</v>
      </c>
      <c r="BA448" s="215" t="s">
        <v>122</v>
      </c>
      <c r="BB448" s="210"/>
      <c r="BC448" s="215" t="s">
        <v>121</v>
      </c>
      <c r="BD448" s="215" t="s">
        <v>122</v>
      </c>
      <c r="BE448" s="210"/>
      <c r="BF448" s="215" t="s">
        <v>121</v>
      </c>
      <c r="BG448" s="215" t="s">
        <v>122</v>
      </c>
      <c r="BH448" s="210"/>
      <c r="BI448" s="215" t="s">
        <v>121</v>
      </c>
      <c r="BJ448" s="215" t="s">
        <v>122</v>
      </c>
      <c r="BK448" s="210"/>
      <c r="BL448" s="215" t="s">
        <v>121</v>
      </c>
      <c r="BM448" s="215" t="s">
        <v>122</v>
      </c>
      <c r="BN448" s="210"/>
      <c r="BO448" s="215" t="s">
        <v>121</v>
      </c>
      <c r="BP448" s="215" t="s">
        <v>122</v>
      </c>
      <c r="BQ448" s="210"/>
      <c r="BR448" s="215" t="s">
        <v>121</v>
      </c>
      <c r="BS448" s="215" t="s">
        <v>122</v>
      </c>
      <c r="BT448" s="210"/>
      <c r="BU448" s="215" t="s">
        <v>121</v>
      </c>
      <c r="BV448" s="215" t="s">
        <v>122</v>
      </c>
      <c r="BW448" s="210"/>
      <c r="BX448" s="91"/>
    </row>
    <row r="449" spans="1:76" s="55" customFormat="1" x14ac:dyDescent="0.25">
      <c r="A449" s="195">
        <v>1</v>
      </c>
      <c r="B449" s="216" t="str">
        <f t="shared" ref="B449:B468" si="319">CONCATENATE(E449,": ",C449)</f>
        <v xml:space="preserve">: </v>
      </c>
      <c r="C449" s="219"/>
      <c r="D449" s="219"/>
      <c r="E449" s="219"/>
      <c r="F449" s="219"/>
      <c r="G449" s="220"/>
      <c r="H449" s="221"/>
      <c r="I449" s="220"/>
      <c r="J449" s="227"/>
      <c r="K449" s="226"/>
      <c r="L449" s="241"/>
      <c r="M449" s="225" t="str">
        <f t="shared" ref="M449:M468" si="320">CONCATENATE("US2014$/",AdoptionUnitOfMeasure)</f>
        <v>US2014$/kg of protein</v>
      </c>
      <c r="N449" s="227"/>
      <c r="O449" s="241"/>
      <c r="P449" s="122"/>
      <c r="Q449" s="228"/>
      <c r="R449" s="231" t="str">
        <f>IF(Q449="Y","",IF(AND(L449="",J449=""),"",IF(L449="",J449,L449)))</f>
        <v/>
      </c>
      <c r="S449" s="230" t="str">
        <f t="shared" ref="S449:S468" si="321">IF(R449="","",IF($R$477="Y",T449,IF(R449&gt;=$R$469-$AA$35*$R$473,IF(R449&lt;=$R$469+$AA$35*$R$473,R449,""),"")))</f>
        <v/>
      </c>
      <c r="T449" s="231" t="str">
        <f>IF(OR(Q449="Y",IFERROR(R449&gt;R469+R473*$AA$35,0),IFERROR(R449&lt;R469-R473*$AA$35,0)),"",IFERROR(R449*N449,""))</f>
        <v/>
      </c>
      <c r="U449" s="232" t="str">
        <f t="shared" ref="U449:U468" si="322">IF(AND(M449="",K449=""),"",IF(M449="",K449,M449))</f>
        <v>US2014$/kg of protein</v>
      </c>
      <c r="V449" s="28"/>
      <c r="W449" s="28"/>
      <c r="Y449" s="91"/>
      <c r="AO449" s="91"/>
      <c r="AP449" s="28"/>
      <c r="AQ449" s="28"/>
      <c r="AR449" s="233" t="str">
        <f>$U449</f>
        <v>US2014$/kg of protein</v>
      </c>
      <c r="AS449" s="28"/>
      <c r="AT449" s="304" t="str">
        <f>IF($E449=$AT$47,R449,"")</f>
        <v/>
      </c>
      <c r="AU449" s="304" t="str">
        <f>IF($E449=$AT$47,S449,"")</f>
        <v/>
      </c>
      <c r="AV449" s="28"/>
      <c r="AW449" s="304" t="str">
        <f t="shared" ref="AW449:AX468" si="323">IF($E449=$AW$83,R449,"")</f>
        <v/>
      </c>
      <c r="AX449" s="304" t="str">
        <f t="shared" si="323"/>
        <v/>
      </c>
      <c r="AY449" s="28"/>
      <c r="AZ449" s="304" t="str">
        <f t="shared" ref="AZ449:BA468" si="324">IF($E449=$AZ$83,R449,"")</f>
        <v/>
      </c>
      <c r="BA449" s="304" t="str">
        <f t="shared" si="324"/>
        <v/>
      </c>
      <c r="BB449" s="28"/>
      <c r="BC449" s="304" t="str">
        <f t="shared" ref="BC449:BD468" si="325">IF($E449=$BC$83,R449,"")</f>
        <v/>
      </c>
      <c r="BD449" s="304" t="str">
        <f t="shared" si="325"/>
        <v/>
      </c>
      <c r="BE449" s="28"/>
      <c r="BF449" s="304" t="str">
        <f t="shared" ref="BF449:BG468" si="326">IF($E449=$BF$83,R449,"")</f>
        <v/>
      </c>
      <c r="BG449" s="304" t="str">
        <f t="shared" si="326"/>
        <v/>
      </c>
      <c r="BH449" s="28"/>
      <c r="BI449" s="304" t="str">
        <f t="shared" ref="BI449:BJ468" si="327">IF($E449=$BI$83,R449,"")</f>
        <v/>
      </c>
      <c r="BJ449" s="304" t="str">
        <f t="shared" si="327"/>
        <v/>
      </c>
      <c r="BK449" s="28"/>
      <c r="BL449" s="304" t="str">
        <f t="shared" ref="BL449:BM468" si="328">IF($E449=$BL$83,R449,"")</f>
        <v/>
      </c>
      <c r="BM449" s="304" t="str">
        <f t="shared" si="328"/>
        <v/>
      </c>
      <c r="BN449" s="28"/>
      <c r="BO449" s="304" t="str">
        <f t="shared" ref="BO449:BP468" si="329">IF($E449=$BO$83,R449,"")</f>
        <v/>
      </c>
      <c r="BP449" s="304" t="str">
        <f t="shared" si="329"/>
        <v/>
      </c>
      <c r="BQ449" s="28"/>
      <c r="BR449" s="304" t="str">
        <f t="shared" ref="BR449:BS468" si="330">IF($E449=$BR$83,R449,"")</f>
        <v/>
      </c>
      <c r="BS449" s="304" t="str">
        <f t="shared" si="330"/>
        <v/>
      </c>
      <c r="BT449" s="28"/>
      <c r="BU449" s="304" t="str">
        <f t="shared" ref="BU449:BV468" si="331">IF($E449=$BU$83,R449,"")</f>
        <v/>
      </c>
      <c r="BV449" s="304" t="str">
        <f t="shared" si="331"/>
        <v/>
      </c>
      <c r="BW449" s="28"/>
      <c r="BX449" s="91"/>
    </row>
    <row r="450" spans="1:76" s="55" customFormat="1" x14ac:dyDescent="0.25">
      <c r="A450" s="195">
        <v>2</v>
      </c>
      <c r="B450" s="216" t="str">
        <f t="shared" si="319"/>
        <v xml:space="preserve">: </v>
      </c>
      <c r="C450" s="219"/>
      <c r="D450" s="219"/>
      <c r="E450" s="219"/>
      <c r="F450" s="219"/>
      <c r="G450" s="220"/>
      <c r="H450" s="221"/>
      <c r="I450" s="220"/>
      <c r="J450" s="227"/>
      <c r="K450" s="227"/>
      <c r="L450" s="241"/>
      <c r="M450" s="225" t="str">
        <f t="shared" si="320"/>
        <v>US2014$/kg of protein</v>
      </c>
      <c r="N450" s="227"/>
      <c r="O450" s="241"/>
      <c r="P450" s="122"/>
      <c r="Q450" s="228"/>
      <c r="R450" s="231" t="str">
        <f t="shared" ref="R450:R468" si="332">IF(Q450="Y","",IF(AND(L450="",J450=""),"",IF(L450="",J450,L450)))</f>
        <v/>
      </c>
      <c r="S450" s="230" t="str">
        <f t="shared" si="321"/>
        <v/>
      </c>
      <c r="T450" s="231" t="str">
        <f>IF(OR(Q450="Y",IFERROR(R450&gt;R469+R473*$AA$35,0),IFERROR(R450&lt;R469-R473*$AA$35,0)),"",IFERROR(R450*N450,""))</f>
        <v/>
      </c>
      <c r="U450" s="232" t="str">
        <f t="shared" si="322"/>
        <v>US2014$/kg of protein</v>
      </c>
      <c r="V450" s="28"/>
      <c r="W450" s="28"/>
      <c r="Y450" s="91"/>
      <c r="AO450" s="91"/>
      <c r="AP450" s="28"/>
      <c r="AQ450" s="28"/>
      <c r="AR450" s="237"/>
      <c r="AS450" s="28"/>
      <c r="AT450" s="304" t="str">
        <f t="shared" ref="AT450:AU468" si="333">IF($E450=$AT$47,R450,"")</f>
        <v/>
      </c>
      <c r="AU450" s="304" t="str">
        <f t="shared" si="333"/>
        <v/>
      </c>
      <c r="AV450" s="28"/>
      <c r="AW450" s="304" t="str">
        <f t="shared" si="323"/>
        <v/>
      </c>
      <c r="AX450" s="304" t="str">
        <f t="shared" si="323"/>
        <v/>
      </c>
      <c r="AY450" s="28"/>
      <c r="AZ450" s="304" t="str">
        <f t="shared" si="324"/>
        <v/>
      </c>
      <c r="BA450" s="304" t="str">
        <f t="shared" si="324"/>
        <v/>
      </c>
      <c r="BB450" s="28"/>
      <c r="BC450" s="304" t="str">
        <f t="shared" si="325"/>
        <v/>
      </c>
      <c r="BD450" s="304" t="str">
        <f t="shared" si="325"/>
        <v/>
      </c>
      <c r="BE450" s="28"/>
      <c r="BF450" s="304" t="str">
        <f t="shared" si="326"/>
        <v/>
      </c>
      <c r="BG450" s="304" t="str">
        <f t="shared" si="326"/>
        <v/>
      </c>
      <c r="BH450" s="28"/>
      <c r="BI450" s="304" t="str">
        <f t="shared" si="327"/>
        <v/>
      </c>
      <c r="BJ450" s="304" t="str">
        <f t="shared" si="327"/>
        <v/>
      </c>
      <c r="BK450" s="28"/>
      <c r="BL450" s="304" t="str">
        <f t="shared" si="328"/>
        <v/>
      </c>
      <c r="BM450" s="304" t="str">
        <f t="shared" si="328"/>
        <v/>
      </c>
      <c r="BN450" s="28"/>
      <c r="BO450" s="304" t="str">
        <f t="shared" si="329"/>
        <v/>
      </c>
      <c r="BP450" s="304" t="str">
        <f t="shared" si="329"/>
        <v/>
      </c>
      <c r="BQ450" s="28"/>
      <c r="BR450" s="304" t="str">
        <f t="shared" si="330"/>
        <v/>
      </c>
      <c r="BS450" s="304" t="str">
        <f t="shared" si="330"/>
        <v/>
      </c>
      <c r="BT450" s="28"/>
      <c r="BU450" s="304" t="str">
        <f t="shared" si="331"/>
        <v/>
      </c>
      <c r="BV450" s="304" t="str">
        <f t="shared" si="331"/>
        <v/>
      </c>
      <c r="BW450" s="28"/>
      <c r="BX450" s="91"/>
    </row>
    <row r="451" spans="1:76" s="55" customFormat="1" x14ac:dyDescent="0.25">
      <c r="A451" s="195">
        <v>3</v>
      </c>
      <c r="B451" s="216" t="str">
        <f>CONCATENATE(E451,": ",C451)</f>
        <v xml:space="preserve">: </v>
      </c>
      <c r="C451" s="221"/>
      <c r="D451" s="221"/>
      <c r="E451" s="221"/>
      <c r="F451" s="221"/>
      <c r="G451" s="240"/>
      <c r="H451" s="221"/>
      <c r="I451" s="240"/>
      <c r="J451" s="241"/>
      <c r="K451" s="241"/>
      <c r="L451" s="241"/>
      <c r="M451" s="225" t="str">
        <f t="shared" si="320"/>
        <v>US2014$/kg of protein</v>
      </c>
      <c r="N451" s="227"/>
      <c r="O451" s="241"/>
      <c r="P451" s="122"/>
      <c r="Q451" s="228"/>
      <c r="R451" s="231" t="str">
        <f t="shared" si="332"/>
        <v/>
      </c>
      <c r="S451" s="230" t="str">
        <f t="shared" si="321"/>
        <v/>
      </c>
      <c r="T451" s="231" t="str">
        <f>IF(OR(Q451="Y",IFERROR(R451&gt;R469+R473*$AA$35,0),IFERROR(R451&lt;R469-R473*$AA$35,0)),"",IFERROR(R451*N451,""))</f>
        <v/>
      </c>
      <c r="U451" s="232" t="str">
        <f t="shared" si="322"/>
        <v>US2014$/kg of protein</v>
      </c>
      <c r="V451" s="28"/>
      <c r="W451" s="28"/>
      <c r="Y451" s="91"/>
      <c r="AO451" s="91"/>
      <c r="AP451" s="28"/>
      <c r="AQ451" s="28"/>
      <c r="AR451" s="237"/>
      <c r="AS451" s="28"/>
      <c r="AT451" s="304" t="str">
        <f t="shared" si="333"/>
        <v/>
      </c>
      <c r="AU451" s="304" t="str">
        <f t="shared" si="333"/>
        <v/>
      </c>
      <c r="AV451" s="28"/>
      <c r="AW451" s="304" t="str">
        <f t="shared" si="323"/>
        <v/>
      </c>
      <c r="AX451" s="304" t="str">
        <f t="shared" si="323"/>
        <v/>
      </c>
      <c r="AY451" s="28"/>
      <c r="AZ451" s="304" t="str">
        <f t="shared" si="324"/>
        <v/>
      </c>
      <c r="BA451" s="304" t="str">
        <f t="shared" si="324"/>
        <v/>
      </c>
      <c r="BB451" s="28"/>
      <c r="BC451" s="304" t="str">
        <f t="shared" si="325"/>
        <v/>
      </c>
      <c r="BD451" s="304" t="str">
        <f t="shared" si="325"/>
        <v/>
      </c>
      <c r="BE451" s="28"/>
      <c r="BF451" s="304" t="str">
        <f t="shared" si="326"/>
        <v/>
      </c>
      <c r="BG451" s="304" t="str">
        <f t="shared" si="326"/>
        <v/>
      </c>
      <c r="BH451" s="28"/>
      <c r="BI451" s="304" t="str">
        <f t="shared" si="327"/>
        <v/>
      </c>
      <c r="BJ451" s="304" t="str">
        <f t="shared" si="327"/>
        <v/>
      </c>
      <c r="BK451" s="28"/>
      <c r="BL451" s="304" t="str">
        <f t="shared" si="328"/>
        <v/>
      </c>
      <c r="BM451" s="304" t="str">
        <f t="shared" si="328"/>
        <v/>
      </c>
      <c r="BN451" s="28"/>
      <c r="BO451" s="304" t="str">
        <f t="shared" si="329"/>
        <v/>
      </c>
      <c r="BP451" s="304" t="str">
        <f t="shared" si="329"/>
        <v/>
      </c>
      <c r="BQ451" s="28"/>
      <c r="BR451" s="304" t="str">
        <f t="shared" si="330"/>
        <v/>
      </c>
      <c r="BS451" s="304" t="str">
        <f t="shared" si="330"/>
        <v/>
      </c>
      <c r="BT451" s="28"/>
      <c r="BU451" s="304" t="str">
        <f t="shared" si="331"/>
        <v/>
      </c>
      <c r="BV451" s="304" t="str">
        <f t="shared" si="331"/>
        <v/>
      </c>
      <c r="BW451" s="28"/>
      <c r="BX451" s="91"/>
    </row>
    <row r="452" spans="1:76" s="55" customFormat="1" x14ac:dyDescent="0.25">
      <c r="A452" s="195">
        <v>4</v>
      </c>
      <c r="B452" s="216" t="str">
        <f t="shared" si="319"/>
        <v xml:space="preserve">: </v>
      </c>
      <c r="C452" s="221"/>
      <c r="D452" s="221"/>
      <c r="E452" s="221"/>
      <c r="F452" s="221"/>
      <c r="G452" s="240"/>
      <c r="H452" s="221"/>
      <c r="I452" s="240"/>
      <c r="J452" s="241"/>
      <c r="K452" s="241"/>
      <c r="L452" s="241"/>
      <c r="M452" s="225" t="str">
        <f t="shared" si="320"/>
        <v>US2014$/kg of protein</v>
      </c>
      <c r="N452" s="227"/>
      <c r="O452" s="241"/>
      <c r="P452" s="122"/>
      <c r="Q452" s="228"/>
      <c r="R452" s="231" t="str">
        <f t="shared" si="332"/>
        <v/>
      </c>
      <c r="S452" s="230" t="str">
        <f t="shared" si="321"/>
        <v/>
      </c>
      <c r="T452" s="231" t="str">
        <f>IF(OR(Q452="Y",IFERROR(R452&gt;R469+R473*$AA$35,0),IFERROR(R452&lt;R469-R473*$AA$35,0)),"",IFERROR(R452*N452,""))</f>
        <v/>
      </c>
      <c r="U452" s="232" t="str">
        <f t="shared" si="322"/>
        <v>US2014$/kg of protein</v>
      </c>
      <c r="V452" s="28"/>
      <c r="W452" s="28"/>
      <c r="Y452" s="91"/>
      <c r="AO452" s="91"/>
      <c r="AP452" s="28"/>
      <c r="AQ452" s="28"/>
      <c r="AR452" s="237"/>
      <c r="AS452" s="28"/>
      <c r="AT452" s="304" t="str">
        <f t="shared" si="333"/>
        <v/>
      </c>
      <c r="AU452" s="304" t="str">
        <f t="shared" si="333"/>
        <v/>
      </c>
      <c r="AV452" s="28"/>
      <c r="AW452" s="304" t="str">
        <f t="shared" si="323"/>
        <v/>
      </c>
      <c r="AX452" s="304" t="str">
        <f t="shared" si="323"/>
        <v/>
      </c>
      <c r="AY452" s="28"/>
      <c r="AZ452" s="304" t="str">
        <f t="shared" si="324"/>
        <v/>
      </c>
      <c r="BA452" s="304" t="str">
        <f t="shared" si="324"/>
        <v/>
      </c>
      <c r="BB452" s="28"/>
      <c r="BC452" s="304" t="str">
        <f t="shared" si="325"/>
        <v/>
      </c>
      <c r="BD452" s="304" t="str">
        <f t="shared" si="325"/>
        <v/>
      </c>
      <c r="BE452" s="28"/>
      <c r="BF452" s="304" t="str">
        <f t="shared" si="326"/>
        <v/>
      </c>
      <c r="BG452" s="304" t="str">
        <f t="shared" si="326"/>
        <v/>
      </c>
      <c r="BH452" s="28"/>
      <c r="BI452" s="304" t="str">
        <f t="shared" si="327"/>
        <v/>
      </c>
      <c r="BJ452" s="304" t="str">
        <f t="shared" si="327"/>
        <v/>
      </c>
      <c r="BK452" s="28"/>
      <c r="BL452" s="304" t="str">
        <f t="shared" si="328"/>
        <v/>
      </c>
      <c r="BM452" s="304" t="str">
        <f t="shared" si="328"/>
        <v/>
      </c>
      <c r="BN452" s="28"/>
      <c r="BO452" s="304" t="str">
        <f t="shared" si="329"/>
        <v/>
      </c>
      <c r="BP452" s="304" t="str">
        <f t="shared" si="329"/>
        <v/>
      </c>
      <c r="BQ452" s="28"/>
      <c r="BR452" s="304" t="str">
        <f t="shared" si="330"/>
        <v/>
      </c>
      <c r="BS452" s="304" t="str">
        <f t="shared" si="330"/>
        <v/>
      </c>
      <c r="BT452" s="28"/>
      <c r="BU452" s="304" t="str">
        <f t="shared" si="331"/>
        <v/>
      </c>
      <c r="BV452" s="304" t="str">
        <f t="shared" si="331"/>
        <v/>
      </c>
      <c r="BW452" s="28"/>
      <c r="BX452" s="91"/>
    </row>
    <row r="453" spans="1:76" s="55" customFormat="1" x14ac:dyDescent="0.25">
      <c r="A453" s="195">
        <v>5</v>
      </c>
      <c r="B453" s="216" t="str">
        <f t="shared" si="319"/>
        <v xml:space="preserve">: </v>
      </c>
      <c r="C453" s="221"/>
      <c r="D453" s="221"/>
      <c r="E453" s="221"/>
      <c r="F453" s="221"/>
      <c r="G453" s="240"/>
      <c r="H453" s="221"/>
      <c r="I453" s="240"/>
      <c r="J453" s="241"/>
      <c r="K453" s="241"/>
      <c r="L453" s="241"/>
      <c r="M453" s="225" t="str">
        <f t="shared" si="320"/>
        <v>US2014$/kg of protein</v>
      </c>
      <c r="N453" s="227"/>
      <c r="O453" s="241"/>
      <c r="P453" s="122"/>
      <c r="Q453" s="228"/>
      <c r="R453" s="231" t="str">
        <f t="shared" si="332"/>
        <v/>
      </c>
      <c r="S453" s="230" t="str">
        <f t="shared" si="321"/>
        <v/>
      </c>
      <c r="T453" s="231" t="str">
        <f>IF(OR(Q453="Y",IFERROR(R453&gt;R469+R473*$AA$35,0),IFERROR(R453&lt;R469-R473*$AA$35,0)),"",IFERROR(R453*N453,""))</f>
        <v/>
      </c>
      <c r="U453" s="232" t="str">
        <f t="shared" si="322"/>
        <v>US2014$/kg of protein</v>
      </c>
      <c r="V453" s="28"/>
      <c r="W453" s="28"/>
      <c r="Y453" s="91"/>
      <c r="AO453" s="91"/>
      <c r="AP453" s="28"/>
      <c r="AQ453" s="28"/>
      <c r="AR453" s="237"/>
      <c r="AS453" s="28"/>
      <c r="AT453" s="304" t="str">
        <f t="shared" si="333"/>
        <v/>
      </c>
      <c r="AU453" s="304" t="str">
        <f t="shared" si="333"/>
        <v/>
      </c>
      <c r="AV453" s="28"/>
      <c r="AW453" s="304" t="str">
        <f t="shared" si="323"/>
        <v/>
      </c>
      <c r="AX453" s="304" t="str">
        <f t="shared" si="323"/>
        <v/>
      </c>
      <c r="AY453" s="28"/>
      <c r="AZ453" s="304" t="str">
        <f t="shared" si="324"/>
        <v/>
      </c>
      <c r="BA453" s="304" t="str">
        <f t="shared" si="324"/>
        <v/>
      </c>
      <c r="BB453" s="28"/>
      <c r="BC453" s="304" t="str">
        <f t="shared" si="325"/>
        <v/>
      </c>
      <c r="BD453" s="304" t="str">
        <f t="shared" si="325"/>
        <v/>
      </c>
      <c r="BE453" s="28"/>
      <c r="BF453" s="304" t="str">
        <f t="shared" si="326"/>
        <v/>
      </c>
      <c r="BG453" s="304" t="str">
        <f t="shared" si="326"/>
        <v/>
      </c>
      <c r="BH453" s="28"/>
      <c r="BI453" s="304" t="str">
        <f t="shared" si="327"/>
        <v/>
      </c>
      <c r="BJ453" s="304" t="str">
        <f t="shared" si="327"/>
        <v/>
      </c>
      <c r="BK453" s="28"/>
      <c r="BL453" s="304" t="str">
        <f t="shared" si="328"/>
        <v/>
      </c>
      <c r="BM453" s="304" t="str">
        <f t="shared" si="328"/>
        <v/>
      </c>
      <c r="BN453" s="28"/>
      <c r="BO453" s="304" t="str">
        <f t="shared" si="329"/>
        <v/>
      </c>
      <c r="BP453" s="304" t="str">
        <f t="shared" si="329"/>
        <v/>
      </c>
      <c r="BQ453" s="28"/>
      <c r="BR453" s="304" t="str">
        <f t="shared" si="330"/>
        <v/>
      </c>
      <c r="BS453" s="304" t="str">
        <f t="shared" si="330"/>
        <v/>
      </c>
      <c r="BT453" s="28"/>
      <c r="BU453" s="304" t="str">
        <f t="shared" si="331"/>
        <v/>
      </c>
      <c r="BV453" s="304" t="str">
        <f t="shared" si="331"/>
        <v/>
      </c>
      <c r="BW453" s="28"/>
      <c r="BX453" s="91"/>
    </row>
    <row r="454" spans="1:76" s="55" customFormat="1" x14ac:dyDescent="0.25">
      <c r="A454" s="195">
        <v>6</v>
      </c>
      <c r="B454" s="216" t="str">
        <f t="shared" si="319"/>
        <v xml:space="preserve">: </v>
      </c>
      <c r="C454" s="221"/>
      <c r="D454" s="221"/>
      <c r="E454" s="221"/>
      <c r="F454" s="221"/>
      <c r="G454" s="240"/>
      <c r="H454" s="221"/>
      <c r="I454" s="240"/>
      <c r="J454" s="241"/>
      <c r="K454" s="241"/>
      <c r="L454" s="241"/>
      <c r="M454" s="225" t="str">
        <f t="shared" si="320"/>
        <v>US2014$/kg of protein</v>
      </c>
      <c r="N454" s="227"/>
      <c r="O454" s="241"/>
      <c r="P454" s="122"/>
      <c r="Q454" s="228"/>
      <c r="R454" s="231" t="str">
        <f t="shared" si="332"/>
        <v/>
      </c>
      <c r="S454" s="230" t="str">
        <f t="shared" si="321"/>
        <v/>
      </c>
      <c r="T454" s="231" t="str">
        <f>IF(OR(Q454="Y",IFERROR(R454&gt;R469+R473*$AA$35,0),IFERROR(R454&lt;R469-R473*$AA$35,0)),"",IFERROR(R454*N454,""))</f>
        <v/>
      </c>
      <c r="U454" s="232" t="str">
        <f t="shared" si="322"/>
        <v>US2014$/kg of protein</v>
      </c>
      <c r="V454" s="28"/>
      <c r="W454" s="28"/>
      <c r="Y454" s="91"/>
      <c r="AO454" s="91"/>
      <c r="AP454" s="28"/>
      <c r="AQ454" s="28"/>
      <c r="AR454" s="237"/>
      <c r="AS454" s="28"/>
      <c r="AT454" s="304" t="str">
        <f t="shared" si="333"/>
        <v/>
      </c>
      <c r="AU454" s="304" t="str">
        <f t="shared" si="333"/>
        <v/>
      </c>
      <c r="AV454" s="28"/>
      <c r="AW454" s="304" t="str">
        <f t="shared" si="323"/>
        <v/>
      </c>
      <c r="AX454" s="304" t="str">
        <f t="shared" si="323"/>
        <v/>
      </c>
      <c r="AY454" s="28"/>
      <c r="AZ454" s="304" t="str">
        <f t="shared" si="324"/>
        <v/>
      </c>
      <c r="BA454" s="304" t="str">
        <f t="shared" si="324"/>
        <v/>
      </c>
      <c r="BB454" s="28"/>
      <c r="BC454" s="304" t="str">
        <f t="shared" si="325"/>
        <v/>
      </c>
      <c r="BD454" s="304" t="str">
        <f t="shared" si="325"/>
        <v/>
      </c>
      <c r="BE454" s="28"/>
      <c r="BF454" s="304" t="str">
        <f t="shared" si="326"/>
        <v/>
      </c>
      <c r="BG454" s="304" t="str">
        <f t="shared" si="326"/>
        <v/>
      </c>
      <c r="BH454" s="28"/>
      <c r="BI454" s="304" t="str">
        <f t="shared" si="327"/>
        <v/>
      </c>
      <c r="BJ454" s="304" t="str">
        <f t="shared" si="327"/>
        <v/>
      </c>
      <c r="BK454" s="28"/>
      <c r="BL454" s="304" t="str">
        <f t="shared" si="328"/>
        <v/>
      </c>
      <c r="BM454" s="304" t="str">
        <f t="shared" si="328"/>
        <v/>
      </c>
      <c r="BN454" s="28"/>
      <c r="BO454" s="304" t="str">
        <f t="shared" si="329"/>
        <v/>
      </c>
      <c r="BP454" s="304" t="str">
        <f t="shared" si="329"/>
        <v/>
      </c>
      <c r="BQ454" s="28"/>
      <c r="BR454" s="304" t="str">
        <f t="shared" si="330"/>
        <v/>
      </c>
      <c r="BS454" s="304" t="str">
        <f t="shared" si="330"/>
        <v/>
      </c>
      <c r="BT454" s="28"/>
      <c r="BU454" s="304" t="str">
        <f t="shared" si="331"/>
        <v/>
      </c>
      <c r="BV454" s="304" t="str">
        <f t="shared" si="331"/>
        <v/>
      </c>
      <c r="BW454" s="28"/>
      <c r="BX454" s="91"/>
    </row>
    <row r="455" spans="1:76" s="55" customFormat="1" x14ac:dyDescent="0.25">
      <c r="A455" s="195">
        <v>7</v>
      </c>
      <c r="B455" s="216" t="str">
        <f t="shared" si="319"/>
        <v xml:space="preserve">: </v>
      </c>
      <c r="C455" s="221"/>
      <c r="D455" s="221"/>
      <c r="E455" s="221"/>
      <c r="F455" s="221"/>
      <c r="G455" s="240"/>
      <c r="H455" s="221"/>
      <c r="I455" s="240"/>
      <c r="J455" s="241"/>
      <c r="K455" s="241"/>
      <c r="L455" s="241"/>
      <c r="M455" s="225" t="str">
        <f t="shared" si="320"/>
        <v>US2014$/kg of protein</v>
      </c>
      <c r="N455" s="227"/>
      <c r="O455" s="241"/>
      <c r="P455" s="122"/>
      <c r="Q455" s="228"/>
      <c r="R455" s="231" t="str">
        <f t="shared" si="332"/>
        <v/>
      </c>
      <c r="S455" s="230" t="str">
        <f t="shared" si="321"/>
        <v/>
      </c>
      <c r="T455" s="231" t="str">
        <f>IF(OR(Q455="Y",IFERROR(R455&gt;R469+R473*$AA$35,0),IFERROR(R455&lt;R469-R473*$AA$35,0)),"",IFERROR(R455*N455,""))</f>
        <v/>
      </c>
      <c r="U455" s="232" t="str">
        <f t="shared" si="322"/>
        <v>US2014$/kg of protein</v>
      </c>
      <c r="V455" s="28"/>
      <c r="W455" s="28"/>
      <c r="Y455" s="91"/>
      <c r="AO455" s="91"/>
      <c r="AP455" s="28"/>
      <c r="AQ455" s="28"/>
      <c r="AR455" s="237"/>
      <c r="AS455" s="28"/>
      <c r="AT455" s="304" t="str">
        <f t="shared" si="333"/>
        <v/>
      </c>
      <c r="AU455" s="304" t="str">
        <f t="shared" si="333"/>
        <v/>
      </c>
      <c r="AV455" s="28"/>
      <c r="AW455" s="304" t="str">
        <f t="shared" si="323"/>
        <v/>
      </c>
      <c r="AX455" s="304" t="str">
        <f t="shared" si="323"/>
        <v/>
      </c>
      <c r="AY455" s="28"/>
      <c r="AZ455" s="304" t="str">
        <f t="shared" si="324"/>
        <v/>
      </c>
      <c r="BA455" s="304" t="str">
        <f t="shared" si="324"/>
        <v/>
      </c>
      <c r="BB455" s="28"/>
      <c r="BC455" s="304" t="str">
        <f t="shared" si="325"/>
        <v/>
      </c>
      <c r="BD455" s="304" t="str">
        <f t="shared" si="325"/>
        <v/>
      </c>
      <c r="BE455" s="28"/>
      <c r="BF455" s="304" t="str">
        <f t="shared" si="326"/>
        <v/>
      </c>
      <c r="BG455" s="304" t="str">
        <f t="shared" si="326"/>
        <v/>
      </c>
      <c r="BH455" s="28"/>
      <c r="BI455" s="304" t="str">
        <f t="shared" si="327"/>
        <v/>
      </c>
      <c r="BJ455" s="304" t="str">
        <f t="shared" si="327"/>
        <v/>
      </c>
      <c r="BK455" s="28"/>
      <c r="BL455" s="304" t="str">
        <f t="shared" si="328"/>
        <v/>
      </c>
      <c r="BM455" s="304" t="str">
        <f t="shared" si="328"/>
        <v/>
      </c>
      <c r="BN455" s="28"/>
      <c r="BO455" s="304" t="str">
        <f t="shared" si="329"/>
        <v/>
      </c>
      <c r="BP455" s="304" t="str">
        <f t="shared" si="329"/>
        <v/>
      </c>
      <c r="BQ455" s="28"/>
      <c r="BR455" s="304" t="str">
        <f t="shared" si="330"/>
        <v/>
      </c>
      <c r="BS455" s="304" t="str">
        <f t="shared" si="330"/>
        <v/>
      </c>
      <c r="BT455" s="28"/>
      <c r="BU455" s="304" t="str">
        <f t="shared" si="331"/>
        <v/>
      </c>
      <c r="BV455" s="304" t="str">
        <f t="shared" si="331"/>
        <v/>
      </c>
      <c r="BW455" s="28"/>
      <c r="BX455" s="91"/>
    </row>
    <row r="456" spans="1:76" s="55" customFormat="1" x14ac:dyDescent="0.25">
      <c r="A456" s="195">
        <v>8</v>
      </c>
      <c r="B456" s="216" t="str">
        <f t="shared" si="319"/>
        <v xml:space="preserve">: </v>
      </c>
      <c r="C456" s="221"/>
      <c r="D456" s="221"/>
      <c r="E456" s="221"/>
      <c r="F456" s="221"/>
      <c r="G456" s="240"/>
      <c r="H456" s="221"/>
      <c r="I456" s="240"/>
      <c r="J456" s="241"/>
      <c r="K456" s="241"/>
      <c r="L456" s="241"/>
      <c r="M456" s="225" t="str">
        <f t="shared" si="320"/>
        <v>US2014$/kg of protein</v>
      </c>
      <c r="N456" s="227"/>
      <c r="O456" s="241"/>
      <c r="P456" s="122"/>
      <c r="Q456" s="228"/>
      <c r="R456" s="231" t="str">
        <f t="shared" si="332"/>
        <v/>
      </c>
      <c r="S456" s="230" t="str">
        <f t="shared" si="321"/>
        <v/>
      </c>
      <c r="T456" s="231" t="str">
        <f>IF(OR(Q456="Y",IFERROR(R456&gt;R469+R473*$AA$35,0),IFERROR(R456&lt;R469-R473*$AA$35,0)),"",IFERROR(R456*N456,""))</f>
        <v/>
      </c>
      <c r="U456" s="232" t="str">
        <f t="shared" si="322"/>
        <v>US2014$/kg of protein</v>
      </c>
      <c r="V456" s="28"/>
      <c r="W456" s="28"/>
      <c r="Y456" s="91"/>
      <c r="AO456" s="91"/>
      <c r="AP456" s="28"/>
      <c r="AQ456" s="28"/>
      <c r="AR456" s="237"/>
      <c r="AS456" s="28"/>
      <c r="AT456" s="304" t="str">
        <f t="shared" si="333"/>
        <v/>
      </c>
      <c r="AU456" s="304" t="str">
        <f t="shared" si="333"/>
        <v/>
      </c>
      <c r="AV456" s="28"/>
      <c r="AW456" s="304" t="str">
        <f t="shared" si="323"/>
        <v/>
      </c>
      <c r="AX456" s="304" t="str">
        <f t="shared" si="323"/>
        <v/>
      </c>
      <c r="AY456" s="28"/>
      <c r="AZ456" s="304" t="str">
        <f t="shared" si="324"/>
        <v/>
      </c>
      <c r="BA456" s="304" t="str">
        <f t="shared" si="324"/>
        <v/>
      </c>
      <c r="BB456" s="28"/>
      <c r="BC456" s="304" t="str">
        <f t="shared" si="325"/>
        <v/>
      </c>
      <c r="BD456" s="304" t="str">
        <f t="shared" si="325"/>
        <v/>
      </c>
      <c r="BE456" s="28"/>
      <c r="BF456" s="304" t="str">
        <f t="shared" si="326"/>
        <v/>
      </c>
      <c r="BG456" s="304" t="str">
        <f t="shared" si="326"/>
        <v/>
      </c>
      <c r="BH456" s="28"/>
      <c r="BI456" s="304" t="str">
        <f t="shared" si="327"/>
        <v/>
      </c>
      <c r="BJ456" s="304" t="str">
        <f t="shared" si="327"/>
        <v/>
      </c>
      <c r="BK456" s="28"/>
      <c r="BL456" s="304" t="str">
        <f t="shared" si="328"/>
        <v/>
      </c>
      <c r="BM456" s="304" t="str">
        <f t="shared" si="328"/>
        <v/>
      </c>
      <c r="BN456" s="28"/>
      <c r="BO456" s="304" t="str">
        <f t="shared" si="329"/>
        <v/>
      </c>
      <c r="BP456" s="304" t="str">
        <f t="shared" si="329"/>
        <v/>
      </c>
      <c r="BQ456" s="28"/>
      <c r="BR456" s="304" t="str">
        <f t="shared" si="330"/>
        <v/>
      </c>
      <c r="BS456" s="304" t="str">
        <f t="shared" si="330"/>
        <v/>
      </c>
      <c r="BT456" s="28"/>
      <c r="BU456" s="304" t="str">
        <f t="shared" si="331"/>
        <v/>
      </c>
      <c r="BV456" s="304" t="str">
        <f t="shared" si="331"/>
        <v/>
      </c>
      <c r="BW456" s="28"/>
      <c r="BX456" s="91"/>
    </row>
    <row r="457" spans="1:76" s="55" customFormat="1" x14ac:dyDescent="0.25">
      <c r="A457" s="195">
        <v>9</v>
      </c>
      <c r="B457" s="216" t="str">
        <f t="shared" si="319"/>
        <v xml:space="preserve">: </v>
      </c>
      <c r="C457" s="221"/>
      <c r="D457" s="221"/>
      <c r="E457" s="221"/>
      <c r="F457" s="221"/>
      <c r="G457" s="240"/>
      <c r="H457" s="221"/>
      <c r="I457" s="240"/>
      <c r="J457" s="241"/>
      <c r="K457" s="241"/>
      <c r="L457" s="241"/>
      <c r="M457" s="225" t="str">
        <f t="shared" si="320"/>
        <v>US2014$/kg of protein</v>
      </c>
      <c r="N457" s="227"/>
      <c r="O457" s="241"/>
      <c r="P457" s="122"/>
      <c r="Q457" s="228"/>
      <c r="R457" s="231" t="str">
        <f t="shared" si="332"/>
        <v/>
      </c>
      <c r="S457" s="230" t="str">
        <f t="shared" si="321"/>
        <v/>
      </c>
      <c r="T457" s="231" t="str">
        <f>IF(OR(Q457="Y",IFERROR(R457&gt;R469+R473*$AA$35,0),IFERROR(R457&lt;R469-R473*$AA$35,0)),"",IFERROR(R457*N457,""))</f>
        <v/>
      </c>
      <c r="U457" s="232" t="str">
        <f t="shared" si="322"/>
        <v>US2014$/kg of protein</v>
      </c>
      <c r="V457" s="28"/>
      <c r="W457" s="28"/>
      <c r="Y457" s="91"/>
      <c r="AO457" s="91"/>
      <c r="AP457" s="28"/>
      <c r="AQ457" s="28"/>
      <c r="AR457" s="237"/>
      <c r="AS457" s="28"/>
      <c r="AT457" s="304" t="str">
        <f t="shared" si="333"/>
        <v/>
      </c>
      <c r="AU457" s="304" t="str">
        <f t="shared" si="333"/>
        <v/>
      </c>
      <c r="AV457" s="28"/>
      <c r="AW457" s="304" t="str">
        <f t="shared" si="323"/>
        <v/>
      </c>
      <c r="AX457" s="304" t="str">
        <f t="shared" si="323"/>
        <v/>
      </c>
      <c r="AY457" s="28"/>
      <c r="AZ457" s="304" t="str">
        <f t="shared" si="324"/>
        <v/>
      </c>
      <c r="BA457" s="304" t="str">
        <f t="shared" si="324"/>
        <v/>
      </c>
      <c r="BB457" s="28"/>
      <c r="BC457" s="304" t="str">
        <f t="shared" si="325"/>
        <v/>
      </c>
      <c r="BD457" s="304" t="str">
        <f t="shared" si="325"/>
        <v/>
      </c>
      <c r="BE457" s="28"/>
      <c r="BF457" s="304" t="str">
        <f t="shared" si="326"/>
        <v/>
      </c>
      <c r="BG457" s="304" t="str">
        <f t="shared" si="326"/>
        <v/>
      </c>
      <c r="BH457" s="28"/>
      <c r="BI457" s="304" t="str">
        <f t="shared" si="327"/>
        <v/>
      </c>
      <c r="BJ457" s="304" t="str">
        <f t="shared" si="327"/>
        <v/>
      </c>
      <c r="BK457" s="28"/>
      <c r="BL457" s="304" t="str">
        <f t="shared" si="328"/>
        <v/>
      </c>
      <c r="BM457" s="304" t="str">
        <f t="shared" si="328"/>
        <v/>
      </c>
      <c r="BN457" s="28"/>
      <c r="BO457" s="304" t="str">
        <f t="shared" si="329"/>
        <v/>
      </c>
      <c r="BP457" s="304" t="str">
        <f t="shared" si="329"/>
        <v/>
      </c>
      <c r="BQ457" s="28"/>
      <c r="BR457" s="304" t="str">
        <f t="shared" si="330"/>
        <v/>
      </c>
      <c r="BS457" s="304" t="str">
        <f t="shared" si="330"/>
        <v/>
      </c>
      <c r="BT457" s="28"/>
      <c r="BU457" s="304" t="str">
        <f t="shared" si="331"/>
        <v/>
      </c>
      <c r="BV457" s="304" t="str">
        <f t="shared" si="331"/>
        <v/>
      </c>
      <c r="BW457" s="28"/>
      <c r="BX457" s="91"/>
    </row>
    <row r="458" spans="1:76" s="55" customFormat="1" x14ac:dyDescent="0.25">
      <c r="A458" s="195">
        <v>10</v>
      </c>
      <c r="B458" s="216" t="str">
        <f t="shared" si="319"/>
        <v xml:space="preserve">: </v>
      </c>
      <c r="C458" s="221"/>
      <c r="D458" s="221"/>
      <c r="E458" s="221"/>
      <c r="F458" s="221"/>
      <c r="G458" s="240"/>
      <c r="H458" s="221"/>
      <c r="I458" s="240"/>
      <c r="J458" s="241"/>
      <c r="K458" s="241"/>
      <c r="L458" s="241"/>
      <c r="M458" s="225" t="str">
        <f t="shared" si="320"/>
        <v>US2014$/kg of protein</v>
      </c>
      <c r="N458" s="227"/>
      <c r="O458" s="241"/>
      <c r="P458" s="122"/>
      <c r="Q458" s="228"/>
      <c r="R458" s="231" t="str">
        <f t="shared" si="332"/>
        <v/>
      </c>
      <c r="S458" s="230" t="str">
        <f t="shared" si="321"/>
        <v/>
      </c>
      <c r="T458" s="231" t="str">
        <f>IF(OR(Q458="Y",IFERROR(R458&gt;R469+R473*$AA$35,0),IFERROR(R458&lt;R469-R473*$AA$35,0)),"",IFERROR(R458*N458,""))</f>
        <v/>
      </c>
      <c r="U458" s="232" t="str">
        <f t="shared" si="322"/>
        <v>US2014$/kg of protein</v>
      </c>
      <c r="V458" s="28"/>
      <c r="W458" s="28"/>
      <c r="Y458" s="91"/>
      <c r="AO458" s="91"/>
      <c r="AP458" s="28"/>
      <c r="AQ458" s="28"/>
      <c r="AR458" s="237"/>
      <c r="AS458" s="28"/>
      <c r="AT458" s="304" t="str">
        <f t="shared" si="333"/>
        <v/>
      </c>
      <c r="AU458" s="304" t="str">
        <f t="shared" si="333"/>
        <v/>
      </c>
      <c r="AV458" s="28"/>
      <c r="AW458" s="304" t="str">
        <f t="shared" si="323"/>
        <v/>
      </c>
      <c r="AX458" s="304" t="str">
        <f t="shared" si="323"/>
        <v/>
      </c>
      <c r="AY458" s="28"/>
      <c r="AZ458" s="304" t="str">
        <f t="shared" si="324"/>
        <v/>
      </c>
      <c r="BA458" s="304" t="str">
        <f t="shared" si="324"/>
        <v/>
      </c>
      <c r="BB458" s="28"/>
      <c r="BC458" s="304" t="str">
        <f t="shared" si="325"/>
        <v/>
      </c>
      <c r="BD458" s="304" t="str">
        <f t="shared" si="325"/>
        <v/>
      </c>
      <c r="BE458" s="28"/>
      <c r="BF458" s="304" t="str">
        <f t="shared" si="326"/>
        <v/>
      </c>
      <c r="BG458" s="304" t="str">
        <f t="shared" si="326"/>
        <v/>
      </c>
      <c r="BH458" s="28"/>
      <c r="BI458" s="304" t="str">
        <f t="shared" si="327"/>
        <v/>
      </c>
      <c r="BJ458" s="304" t="str">
        <f t="shared" si="327"/>
        <v/>
      </c>
      <c r="BK458" s="28"/>
      <c r="BL458" s="304" t="str">
        <f t="shared" si="328"/>
        <v/>
      </c>
      <c r="BM458" s="304" t="str">
        <f t="shared" si="328"/>
        <v/>
      </c>
      <c r="BN458" s="28"/>
      <c r="BO458" s="304" t="str">
        <f t="shared" si="329"/>
        <v/>
      </c>
      <c r="BP458" s="304" t="str">
        <f t="shared" si="329"/>
        <v/>
      </c>
      <c r="BQ458" s="28"/>
      <c r="BR458" s="304" t="str">
        <f t="shared" si="330"/>
        <v/>
      </c>
      <c r="BS458" s="304" t="str">
        <f t="shared" si="330"/>
        <v/>
      </c>
      <c r="BT458" s="28"/>
      <c r="BU458" s="304" t="str">
        <f t="shared" si="331"/>
        <v/>
      </c>
      <c r="BV458" s="304" t="str">
        <f t="shared" si="331"/>
        <v/>
      </c>
      <c r="BW458" s="28"/>
      <c r="BX458" s="91"/>
    </row>
    <row r="459" spans="1:76" s="55" customFormat="1" x14ac:dyDescent="0.25">
      <c r="A459" s="195">
        <v>11</v>
      </c>
      <c r="B459" s="216" t="str">
        <f t="shared" si="319"/>
        <v xml:space="preserve">: </v>
      </c>
      <c r="C459" s="221"/>
      <c r="D459" s="221"/>
      <c r="E459" s="221"/>
      <c r="F459" s="221"/>
      <c r="G459" s="240"/>
      <c r="H459" s="221"/>
      <c r="I459" s="240"/>
      <c r="J459" s="241"/>
      <c r="K459" s="241"/>
      <c r="L459" s="241"/>
      <c r="M459" s="225" t="str">
        <f t="shared" si="320"/>
        <v>US2014$/kg of protein</v>
      </c>
      <c r="N459" s="227"/>
      <c r="O459" s="241"/>
      <c r="P459" s="122"/>
      <c r="Q459" s="228"/>
      <c r="R459" s="231" t="str">
        <f t="shared" si="332"/>
        <v/>
      </c>
      <c r="S459" s="230" t="str">
        <f t="shared" si="321"/>
        <v/>
      </c>
      <c r="T459" s="231" t="str">
        <f>IF(OR(Q459="Y",IFERROR(R459&gt;R469+R473*$AA$35,0),IFERROR(R459&lt;R469-R473*$AA$35,0)),"",IFERROR(R459*N459,""))</f>
        <v/>
      </c>
      <c r="U459" s="232" t="str">
        <f t="shared" si="322"/>
        <v>US2014$/kg of protein</v>
      </c>
      <c r="V459" s="28"/>
      <c r="W459" s="28"/>
      <c r="Y459" s="91"/>
      <c r="AO459" s="91"/>
      <c r="AP459" s="28"/>
      <c r="AQ459" s="28"/>
      <c r="AR459" s="237"/>
      <c r="AS459" s="28"/>
      <c r="AT459" s="304" t="str">
        <f t="shared" si="333"/>
        <v/>
      </c>
      <c r="AU459" s="304" t="str">
        <f t="shared" si="333"/>
        <v/>
      </c>
      <c r="AV459" s="28"/>
      <c r="AW459" s="304" t="str">
        <f t="shared" si="323"/>
        <v/>
      </c>
      <c r="AX459" s="304" t="str">
        <f t="shared" si="323"/>
        <v/>
      </c>
      <c r="AY459" s="28"/>
      <c r="AZ459" s="304" t="str">
        <f t="shared" si="324"/>
        <v/>
      </c>
      <c r="BA459" s="304" t="str">
        <f t="shared" si="324"/>
        <v/>
      </c>
      <c r="BB459" s="28"/>
      <c r="BC459" s="304" t="str">
        <f t="shared" si="325"/>
        <v/>
      </c>
      <c r="BD459" s="304" t="str">
        <f t="shared" si="325"/>
        <v/>
      </c>
      <c r="BE459" s="28"/>
      <c r="BF459" s="304" t="str">
        <f t="shared" si="326"/>
        <v/>
      </c>
      <c r="BG459" s="304" t="str">
        <f t="shared" si="326"/>
        <v/>
      </c>
      <c r="BH459" s="28"/>
      <c r="BI459" s="304" t="str">
        <f t="shared" si="327"/>
        <v/>
      </c>
      <c r="BJ459" s="304" t="str">
        <f t="shared" si="327"/>
        <v/>
      </c>
      <c r="BK459" s="28"/>
      <c r="BL459" s="304" t="str">
        <f t="shared" si="328"/>
        <v/>
      </c>
      <c r="BM459" s="304" t="str">
        <f t="shared" si="328"/>
        <v/>
      </c>
      <c r="BN459" s="28"/>
      <c r="BO459" s="304" t="str">
        <f t="shared" si="329"/>
        <v/>
      </c>
      <c r="BP459" s="304" t="str">
        <f t="shared" si="329"/>
        <v/>
      </c>
      <c r="BQ459" s="28"/>
      <c r="BR459" s="304" t="str">
        <f t="shared" si="330"/>
        <v/>
      </c>
      <c r="BS459" s="304" t="str">
        <f t="shared" si="330"/>
        <v/>
      </c>
      <c r="BT459" s="28"/>
      <c r="BU459" s="304" t="str">
        <f t="shared" si="331"/>
        <v/>
      </c>
      <c r="BV459" s="304" t="str">
        <f t="shared" si="331"/>
        <v/>
      </c>
      <c r="BW459" s="28"/>
      <c r="BX459" s="91"/>
    </row>
    <row r="460" spans="1:76" s="55" customFormat="1" x14ac:dyDescent="0.25">
      <c r="A460" s="195">
        <v>12</v>
      </c>
      <c r="B460" s="216" t="str">
        <f t="shared" si="319"/>
        <v xml:space="preserve">: </v>
      </c>
      <c r="C460" s="221"/>
      <c r="D460" s="221"/>
      <c r="E460" s="221"/>
      <c r="F460" s="221"/>
      <c r="G460" s="240"/>
      <c r="H460" s="221"/>
      <c r="I460" s="240"/>
      <c r="J460" s="241"/>
      <c r="K460" s="241"/>
      <c r="L460" s="241"/>
      <c r="M460" s="225" t="str">
        <f t="shared" si="320"/>
        <v>US2014$/kg of protein</v>
      </c>
      <c r="N460" s="227"/>
      <c r="O460" s="241"/>
      <c r="P460" s="122"/>
      <c r="Q460" s="228"/>
      <c r="R460" s="231" t="str">
        <f t="shared" si="332"/>
        <v/>
      </c>
      <c r="S460" s="230" t="str">
        <f t="shared" si="321"/>
        <v/>
      </c>
      <c r="T460" s="231" t="str">
        <f>IF(OR(Q460="Y",IFERROR(R460&gt;R469+R473*$AA$35,0),IFERROR(R460&lt;R469-R473*$AA$35,0)),"",IFERROR(R460*N460,""))</f>
        <v/>
      </c>
      <c r="U460" s="232" t="str">
        <f t="shared" si="322"/>
        <v>US2014$/kg of protein</v>
      </c>
      <c r="V460" s="28"/>
      <c r="W460" s="28"/>
      <c r="Y460" s="91"/>
      <c r="AO460" s="91"/>
      <c r="AP460" s="28"/>
      <c r="AQ460" s="28"/>
      <c r="AR460" s="237"/>
      <c r="AS460" s="28"/>
      <c r="AT460" s="304" t="str">
        <f t="shared" si="333"/>
        <v/>
      </c>
      <c r="AU460" s="304" t="str">
        <f t="shared" si="333"/>
        <v/>
      </c>
      <c r="AV460" s="28"/>
      <c r="AW460" s="304" t="str">
        <f t="shared" si="323"/>
        <v/>
      </c>
      <c r="AX460" s="304" t="str">
        <f t="shared" si="323"/>
        <v/>
      </c>
      <c r="AY460" s="28"/>
      <c r="AZ460" s="304" t="str">
        <f t="shared" si="324"/>
        <v/>
      </c>
      <c r="BA460" s="304" t="str">
        <f t="shared" si="324"/>
        <v/>
      </c>
      <c r="BB460" s="28"/>
      <c r="BC460" s="304" t="str">
        <f t="shared" si="325"/>
        <v/>
      </c>
      <c r="BD460" s="304" t="str">
        <f t="shared" si="325"/>
        <v/>
      </c>
      <c r="BE460" s="28"/>
      <c r="BF460" s="304" t="str">
        <f t="shared" si="326"/>
        <v/>
      </c>
      <c r="BG460" s="304" t="str">
        <f t="shared" si="326"/>
        <v/>
      </c>
      <c r="BH460" s="28"/>
      <c r="BI460" s="304" t="str">
        <f t="shared" si="327"/>
        <v/>
      </c>
      <c r="BJ460" s="304" t="str">
        <f t="shared" si="327"/>
        <v/>
      </c>
      <c r="BK460" s="28"/>
      <c r="BL460" s="304" t="str">
        <f t="shared" si="328"/>
        <v/>
      </c>
      <c r="BM460" s="304" t="str">
        <f t="shared" si="328"/>
        <v/>
      </c>
      <c r="BN460" s="28"/>
      <c r="BO460" s="304" t="str">
        <f t="shared" si="329"/>
        <v/>
      </c>
      <c r="BP460" s="304" t="str">
        <f t="shared" si="329"/>
        <v/>
      </c>
      <c r="BQ460" s="28"/>
      <c r="BR460" s="304" t="str">
        <f t="shared" si="330"/>
        <v/>
      </c>
      <c r="BS460" s="304" t="str">
        <f t="shared" si="330"/>
        <v/>
      </c>
      <c r="BT460" s="28"/>
      <c r="BU460" s="304" t="str">
        <f t="shared" si="331"/>
        <v/>
      </c>
      <c r="BV460" s="304" t="str">
        <f t="shared" si="331"/>
        <v/>
      </c>
      <c r="BW460" s="28"/>
      <c r="BX460" s="91"/>
    </row>
    <row r="461" spans="1:76" s="55" customFormat="1" x14ac:dyDescent="0.25">
      <c r="A461" s="195">
        <v>13</v>
      </c>
      <c r="B461" s="216" t="str">
        <f t="shared" si="319"/>
        <v xml:space="preserve">: </v>
      </c>
      <c r="C461" s="221"/>
      <c r="D461" s="221"/>
      <c r="E461" s="221"/>
      <c r="F461" s="221"/>
      <c r="G461" s="240"/>
      <c r="H461" s="221"/>
      <c r="I461" s="240"/>
      <c r="J461" s="241"/>
      <c r="K461" s="241"/>
      <c r="L461" s="241"/>
      <c r="M461" s="225" t="str">
        <f t="shared" si="320"/>
        <v>US2014$/kg of protein</v>
      </c>
      <c r="N461" s="227"/>
      <c r="O461" s="241"/>
      <c r="P461" s="122"/>
      <c r="Q461" s="228"/>
      <c r="R461" s="231" t="str">
        <f t="shared" si="332"/>
        <v/>
      </c>
      <c r="S461" s="230" t="str">
        <f t="shared" si="321"/>
        <v/>
      </c>
      <c r="T461" s="231" t="str">
        <f>IF(OR(Q461="Y",IFERROR(R461&gt;R469+R473*$AA$35,0),IFERROR(R461&lt;R469-R473*$AA$35,0)),"",IFERROR(R461*N461,""))</f>
        <v/>
      </c>
      <c r="U461" s="232" t="str">
        <f t="shared" si="322"/>
        <v>US2014$/kg of protein</v>
      </c>
      <c r="V461" s="28"/>
      <c r="W461" s="28"/>
      <c r="Y461" s="91"/>
      <c r="AO461" s="91"/>
      <c r="AP461" s="28"/>
      <c r="AQ461" s="28"/>
      <c r="AR461" s="237"/>
      <c r="AS461" s="28"/>
      <c r="AT461" s="304" t="str">
        <f t="shared" si="333"/>
        <v/>
      </c>
      <c r="AU461" s="304" t="str">
        <f t="shared" si="333"/>
        <v/>
      </c>
      <c r="AV461" s="28"/>
      <c r="AW461" s="304" t="str">
        <f t="shared" si="323"/>
        <v/>
      </c>
      <c r="AX461" s="304" t="str">
        <f t="shared" si="323"/>
        <v/>
      </c>
      <c r="AY461" s="28"/>
      <c r="AZ461" s="304" t="str">
        <f t="shared" si="324"/>
        <v/>
      </c>
      <c r="BA461" s="304" t="str">
        <f t="shared" si="324"/>
        <v/>
      </c>
      <c r="BB461" s="28"/>
      <c r="BC461" s="304" t="str">
        <f t="shared" si="325"/>
        <v/>
      </c>
      <c r="BD461" s="304" t="str">
        <f t="shared" si="325"/>
        <v/>
      </c>
      <c r="BE461" s="28"/>
      <c r="BF461" s="304" t="str">
        <f t="shared" si="326"/>
        <v/>
      </c>
      <c r="BG461" s="304" t="str">
        <f t="shared" si="326"/>
        <v/>
      </c>
      <c r="BH461" s="28"/>
      <c r="BI461" s="304" t="str">
        <f t="shared" si="327"/>
        <v/>
      </c>
      <c r="BJ461" s="304" t="str">
        <f t="shared" si="327"/>
        <v/>
      </c>
      <c r="BK461" s="28"/>
      <c r="BL461" s="304" t="str">
        <f t="shared" si="328"/>
        <v/>
      </c>
      <c r="BM461" s="304" t="str">
        <f t="shared" si="328"/>
        <v/>
      </c>
      <c r="BN461" s="28"/>
      <c r="BO461" s="304" t="str">
        <f t="shared" si="329"/>
        <v/>
      </c>
      <c r="BP461" s="304" t="str">
        <f t="shared" si="329"/>
        <v/>
      </c>
      <c r="BQ461" s="28"/>
      <c r="BR461" s="304" t="str">
        <f t="shared" si="330"/>
        <v/>
      </c>
      <c r="BS461" s="304" t="str">
        <f t="shared" si="330"/>
        <v/>
      </c>
      <c r="BT461" s="28"/>
      <c r="BU461" s="304" t="str">
        <f t="shared" si="331"/>
        <v/>
      </c>
      <c r="BV461" s="304" t="str">
        <f t="shared" si="331"/>
        <v/>
      </c>
      <c r="BW461" s="28"/>
      <c r="BX461" s="91"/>
    </row>
    <row r="462" spans="1:76" s="55" customFormat="1" x14ac:dyDescent="0.25">
      <c r="A462" s="195">
        <v>14</v>
      </c>
      <c r="B462" s="216" t="str">
        <f t="shared" si="319"/>
        <v xml:space="preserve">: </v>
      </c>
      <c r="C462" s="221"/>
      <c r="D462" s="221"/>
      <c r="E462" s="221"/>
      <c r="F462" s="221"/>
      <c r="G462" s="240"/>
      <c r="H462" s="221"/>
      <c r="I462" s="240"/>
      <c r="J462" s="241"/>
      <c r="K462" s="241"/>
      <c r="L462" s="241"/>
      <c r="M462" s="225" t="str">
        <f t="shared" si="320"/>
        <v>US2014$/kg of protein</v>
      </c>
      <c r="N462" s="227"/>
      <c r="O462" s="241"/>
      <c r="P462" s="122"/>
      <c r="Q462" s="228"/>
      <c r="R462" s="231" t="str">
        <f t="shared" si="332"/>
        <v/>
      </c>
      <c r="S462" s="230" t="str">
        <f t="shared" si="321"/>
        <v/>
      </c>
      <c r="T462" s="231" t="str">
        <f>IF(OR(Q462="Y",IFERROR(R462&gt;R469+R473*$AA$35,0),IFERROR(R462&lt;R469-R473*$AA$35,0)),"",IFERROR(R462*N462,""))</f>
        <v/>
      </c>
      <c r="U462" s="232" t="str">
        <f t="shared" si="322"/>
        <v>US2014$/kg of protein</v>
      </c>
      <c r="V462" s="28"/>
      <c r="W462" s="28"/>
      <c r="Y462" s="91"/>
      <c r="AO462" s="91"/>
      <c r="AP462" s="28"/>
      <c r="AQ462" s="28"/>
      <c r="AR462" s="237"/>
      <c r="AS462" s="28"/>
      <c r="AT462" s="304" t="str">
        <f t="shared" si="333"/>
        <v/>
      </c>
      <c r="AU462" s="304" t="str">
        <f t="shared" si="333"/>
        <v/>
      </c>
      <c r="AV462" s="28"/>
      <c r="AW462" s="304" t="str">
        <f t="shared" si="323"/>
        <v/>
      </c>
      <c r="AX462" s="304" t="str">
        <f t="shared" si="323"/>
        <v/>
      </c>
      <c r="AY462" s="28"/>
      <c r="AZ462" s="304" t="str">
        <f t="shared" si="324"/>
        <v/>
      </c>
      <c r="BA462" s="304" t="str">
        <f t="shared" si="324"/>
        <v/>
      </c>
      <c r="BB462" s="28"/>
      <c r="BC462" s="304" t="str">
        <f t="shared" si="325"/>
        <v/>
      </c>
      <c r="BD462" s="304" t="str">
        <f t="shared" si="325"/>
        <v/>
      </c>
      <c r="BE462" s="28"/>
      <c r="BF462" s="304" t="str">
        <f t="shared" si="326"/>
        <v/>
      </c>
      <c r="BG462" s="304" t="str">
        <f t="shared" si="326"/>
        <v/>
      </c>
      <c r="BH462" s="28"/>
      <c r="BI462" s="304" t="str">
        <f t="shared" si="327"/>
        <v/>
      </c>
      <c r="BJ462" s="304" t="str">
        <f t="shared" si="327"/>
        <v/>
      </c>
      <c r="BK462" s="28"/>
      <c r="BL462" s="304" t="str">
        <f t="shared" si="328"/>
        <v/>
      </c>
      <c r="BM462" s="304" t="str">
        <f t="shared" si="328"/>
        <v/>
      </c>
      <c r="BN462" s="28"/>
      <c r="BO462" s="304" t="str">
        <f t="shared" si="329"/>
        <v/>
      </c>
      <c r="BP462" s="304" t="str">
        <f t="shared" si="329"/>
        <v/>
      </c>
      <c r="BQ462" s="28"/>
      <c r="BR462" s="304" t="str">
        <f t="shared" si="330"/>
        <v/>
      </c>
      <c r="BS462" s="304" t="str">
        <f t="shared" si="330"/>
        <v/>
      </c>
      <c r="BT462" s="28"/>
      <c r="BU462" s="304" t="str">
        <f t="shared" si="331"/>
        <v/>
      </c>
      <c r="BV462" s="304" t="str">
        <f t="shared" si="331"/>
        <v/>
      </c>
      <c r="BW462" s="28"/>
      <c r="BX462" s="91"/>
    </row>
    <row r="463" spans="1:76" s="55" customFormat="1" x14ac:dyDescent="0.25">
      <c r="A463" s="195">
        <v>15</v>
      </c>
      <c r="B463" s="216" t="str">
        <f t="shared" si="319"/>
        <v xml:space="preserve">: </v>
      </c>
      <c r="C463" s="221"/>
      <c r="D463" s="221"/>
      <c r="E463" s="221"/>
      <c r="F463" s="221"/>
      <c r="G463" s="240"/>
      <c r="H463" s="221"/>
      <c r="I463" s="240"/>
      <c r="J463" s="241"/>
      <c r="K463" s="241"/>
      <c r="L463" s="241"/>
      <c r="M463" s="225" t="str">
        <f t="shared" si="320"/>
        <v>US2014$/kg of protein</v>
      </c>
      <c r="N463" s="227"/>
      <c r="O463" s="241"/>
      <c r="P463" s="122"/>
      <c r="Q463" s="228"/>
      <c r="R463" s="231" t="str">
        <f t="shared" si="332"/>
        <v/>
      </c>
      <c r="S463" s="230" t="str">
        <f t="shared" si="321"/>
        <v/>
      </c>
      <c r="T463" s="231" t="str">
        <f>IF(OR(Q463="Y",IFERROR(R463&gt;R469+R473*$AA$35,0),IFERROR(R463&lt;R469-R473*$AA$35,0)),"",IFERROR(R463*N463,""))</f>
        <v/>
      </c>
      <c r="U463" s="232" t="str">
        <f t="shared" si="322"/>
        <v>US2014$/kg of protein</v>
      </c>
      <c r="V463" s="28"/>
      <c r="W463" s="28"/>
      <c r="Y463" s="91"/>
      <c r="AO463" s="91"/>
      <c r="AP463" s="28"/>
      <c r="AQ463" s="28"/>
      <c r="AR463" s="237"/>
      <c r="AS463" s="28"/>
      <c r="AT463" s="304" t="str">
        <f t="shared" si="333"/>
        <v/>
      </c>
      <c r="AU463" s="304" t="str">
        <f t="shared" si="333"/>
        <v/>
      </c>
      <c r="AV463" s="28"/>
      <c r="AW463" s="304" t="str">
        <f t="shared" si="323"/>
        <v/>
      </c>
      <c r="AX463" s="304" t="str">
        <f t="shared" si="323"/>
        <v/>
      </c>
      <c r="AY463" s="28"/>
      <c r="AZ463" s="304" t="str">
        <f t="shared" si="324"/>
        <v/>
      </c>
      <c r="BA463" s="304" t="str">
        <f t="shared" si="324"/>
        <v/>
      </c>
      <c r="BB463" s="28"/>
      <c r="BC463" s="304" t="str">
        <f t="shared" si="325"/>
        <v/>
      </c>
      <c r="BD463" s="304" t="str">
        <f t="shared" si="325"/>
        <v/>
      </c>
      <c r="BE463" s="28"/>
      <c r="BF463" s="304" t="str">
        <f t="shared" si="326"/>
        <v/>
      </c>
      <c r="BG463" s="304" t="str">
        <f t="shared" si="326"/>
        <v/>
      </c>
      <c r="BH463" s="28"/>
      <c r="BI463" s="304" t="str">
        <f t="shared" si="327"/>
        <v/>
      </c>
      <c r="BJ463" s="304" t="str">
        <f t="shared" si="327"/>
        <v/>
      </c>
      <c r="BK463" s="28"/>
      <c r="BL463" s="304" t="str">
        <f t="shared" si="328"/>
        <v/>
      </c>
      <c r="BM463" s="304" t="str">
        <f t="shared" si="328"/>
        <v/>
      </c>
      <c r="BN463" s="28"/>
      <c r="BO463" s="304" t="str">
        <f t="shared" si="329"/>
        <v/>
      </c>
      <c r="BP463" s="304" t="str">
        <f t="shared" si="329"/>
        <v/>
      </c>
      <c r="BQ463" s="28"/>
      <c r="BR463" s="304" t="str">
        <f t="shared" si="330"/>
        <v/>
      </c>
      <c r="BS463" s="304" t="str">
        <f t="shared" si="330"/>
        <v/>
      </c>
      <c r="BT463" s="28"/>
      <c r="BU463" s="304" t="str">
        <f t="shared" si="331"/>
        <v/>
      </c>
      <c r="BV463" s="304" t="str">
        <f t="shared" si="331"/>
        <v/>
      </c>
      <c r="BW463" s="28"/>
      <c r="BX463" s="91"/>
    </row>
    <row r="464" spans="1:76" s="55" customFormat="1" x14ac:dyDescent="0.25">
      <c r="A464" s="195">
        <v>16</v>
      </c>
      <c r="B464" s="216" t="str">
        <f t="shared" si="319"/>
        <v xml:space="preserve">: </v>
      </c>
      <c r="C464" s="221"/>
      <c r="D464" s="221"/>
      <c r="E464" s="221"/>
      <c r="F464" s="221"/>
      <c r="G464" s="240"/>
      <c r="H464" s="221"/>
      <c r="I464" s="240"/>
      <c r="J464" s="241"/>
      <c r="K464" s="241"/>
      <c r="L464" s="241"/>
      <c r="M464" s="225" t="str">
        <f t="shared" si="320"/>
        <v>US2014$/kg of protein</v>
      </c>
      <c r="N464" s="227"/>
      <c r="O464" s="241"/>
      <c r="P464" s="122"/>
      <c r="Q464" s="228"/>
      <c r="R464" s="231" t="str">
        <f t="shared" si="332"/>
        <v/>
      </c>
      <c r="S464" s="230" t="str">
        <f t="shared" si="321"/>
        <v/>
      </c>
      <c r="T464" s="231" t="str">
        <f>IF(OR(Q464="Y",IFERROR(R464&gt;R469+R473*$AA$35,0),IFERROR(R464&lt;R469-R473*$AA$35,0)),"",IFERROR(R464*N464,""))</f>
        <v/>
      </c>
      <c r="U464" s="232" t="str">
        <f t="shared" si="322"/>
        <v>US2014$/kg of protein</v>
      </c>
      <c r="V464" s="28"/>
      <c r="W464" s="28"/>
      <c r="Y464" s="91"/>
      <c r="AO464" s="91"/>
      <c r="AP464" s="28"/>
      <c r="AQ464" s="28"/>
      <c r="AR464" s="237"/>
      <c r="AS464" s="28"/>
      <c r="AT464" s="304" t="str">
        <f t="shared" si="333"/>
        <v/>
      </c>
      <c r="AU464" s="304" t="str">
        <f t="shared" si="333"/>
        <v/>
      </c>
      <c r="AV464" s="28"/>
      <c r="AW464" s="304" t="str">
        <f t="shared" si="323"/>
        <v/>
      </c>
      <c r="AX464" s="304" t="str">
        <f t="shared" si="323"/>
        <v/>
      </c>
      <c r="AY464" s="28"/>
      <c r="AZ464" s="304" t="str">
        <f t="shared" si="324"/>
        <v/>
      </c>
      <c r="BA464" s="304" t="str">
        <f t="shared" si="324"/>
        <v/>
      </c>
      <c r="BB464" s="28"/>
      <c r="BC464" s="304" t="str">
        <f t="shared" si="325"/>
        <v/>
      </c>
      <c r="BD464" s="304" t="str">
        <f t="shared" si="325"/>
        <v/>
      </c>
      <c r="BE464" s="28"/>
      <c r="BF464" s="304" t="str">
        <f t="shared" si="326"/>
        <v/>
      </c>
      <c r="BG464" s="304" t="str">
        <f t="shared" si="326"/>
        <v/>
      </c>
      <c r="BH464" s="28"/>
      <c r="BI464" s="304" t="str">
        <f t="shared" si="327"/>
        <v/>
      </c>
      <c r="BJ464" s="304" t="str">
        <f t="shared" si="327"/>
        <v/>
      </c>
      <c r="BK464" s="28"/>
      <c r="BL464" s="304" t="str">
        <f t="shared" si="328"/>
        <v/>
      </c>
      <c r="BM464" s="304" t="str">
        <f t="shared" si="328"/>
        <v/>
      </c>
      <c r="BN464" s="28"/>
      <c r="BO464" s="304" t="str">
        <f t="shared" si="329"/>
        <v/>
      </c>
      <c r="BP464" s="304" t="str">
        <f t="shared" si="329"/>
        <v/>
      </c>
      <c r="BQ464" s="28"/>
      <c r="BR464" s="304" t="str">
        <f t="shared" si="330"/>
        <v/>
      </c>
      <c r="BS464" s="304" t="str">
        <f t="shared" si="330"/>
        <v/>
      </c>
      <c r="BT464" s="28"/>
      <c r="BU464" s="304" t="str">
        <f t="shared" si="331"/>
        <v/>
      </c>
      <c r="BV464" s="304" t="str">
        <f t="shared" si="331"/>
        <v/>
      </c>
      <c r="BW464" s="28"/>
      <c r="BX464" s="91"/>
    </row>
    <row r="465" spans="1:76" s="55" customFormat="1" x14ac:dyDescent="0.25">
      <c r="A465" s="195">
        <v>17</v>
      </c>
      <c r="B465" s="216" t="str">
        <f t="shared" si="319"/>
        <v xml:space="preserve">: </v>
      </c>
      <c r="C465" s="221"/>
      <c r="D465" s="221"/>
      <c r="E465" s="221"/>
      <c r="F465" s="221"/>
      <c r="G465" s="240"/>
      <c r="H465" s="221"/>
      <c r="I465" s="240"/>
      <c r="J465" s="241"/>
      <c r="K465" s="241"/>
      <c r="L465" s="241"/>
      <c r="M465" s="225" t="str">
        <f t="shared" si="320"/>
        <v>US2014$/kg of protein</v>
      </c>
      <c r="N465" s="227"/>
      <c r="O465" s="241"/>
      <c r="P465" s="122"/>
      <c r="Q465" s="228"/>
      <c r="R465" s="231" t="str">
        <f t="shared" si="332"/>
        <v/>
      </c>
      <c r="S465" s="230" t="str">
        <f t="shared" si="321"/>
        <v/>
      </c>
      <c r="T465" s="231" t="str">
        <f>IF(OR(Q465="Y",IFERROR(R465&gt;R469+R473*$AA$35,0),IFERROR(R465&lt;R469-R473*$AA$35,0)),"",IFERROR(R465*N465,""))</f>
        <v/>
      </c>
      <c r="U465" s="232" t="str">
        <f t="shared" si="322"/>
        <v>US2014$/kg of protein</v>
      </c>
      <c r="V465" s="28"/>
      <c r="W465" s="28"/>
      <c r="Y465" s="91"/>
      <c r="AO465" s="91"/>
      <c r="AP465" s="28"/>
      <c r="AQ465" s="28"/>
      <c r="AR465" s="237"/>
      <c r="AS465" s="28"/>
      <c r="AT465" s="304" t="str">
        <f t="shared" si="333"/>
        <v/>
      </c>
      <c r="AU465" s="304" t="str">
        <f t="shared" si="333"/>
        <v/>
      </c>
      <c r="AV465" s="28"/>
      <c r="AW465" s="304" t="str">
        <f t="shared" si="323"/>
        <v/>
      </c>
      <c r="AX465" s="304" t="str">
        <f t="shared" si="323"/>
        <v/>
      </c>
      <c r="AY465" s="28"/>
      <c r="AZ465" s="304" t="str">
        <f t="shared" si="324"/>
        <v/>
      </c>
      <c r="BA465" s="304" t="str">
        <f t="shared" si="324"/>
        <v/>
      </c>
      <c r="BB465" s="28"/>
      <c r="BC465" s="304" t="str">
        <f t="shared" si="325"/>
        <v/>
      </c>
      <c r="BD465" s="304" t="str">
        <f t="shared" si="325"/>
        <v/>
      </c>
      <c r="BE465" s="28"/>
      <c r="BF465" s="304" t="str">
        <f t="shared" si="326"/>
        <v/>
      </c>
      <c r="BG465" s="304" t="str">
        <f t="shared" si="326"/>
        <v/>
      </c>
      <c r="BH465" s="28"/>
      <c r="BI465" s="304" t="str">
        <f t="shared" si="327"/>
        <v/>
      </c>
      <c r="BJ465" s="304" t="str">
        <f t="shared" si="327"/>
        <v/>
      </c>
      <c r="BK465" s="28"/>
      <c r="BL465" s="304" t="str">
        <f t="shared" si="328"/>
        <v/>
      </c>
      <c r="BM465" s="304" t="str">
        <f t="shared" si="328"/>
        <v/>
      </c>
      <c r="BN465" s="28"/>
      <c r="BO465" s="304" t="str">
        <f t="shared" si="329"/>
        <v/>
      </c>
      <c r="BP465" s="304" t="str">
        <f t="shared" si="329"/>
        <v/>
      </c>
      <c r="BQ465" s="28"/>
      <c r="BR465" s="304" t="str">
        <f t="shared" si="330"/>
        <v/>
      </c>
      <c r="BS465" s="304" t="str">
        <f t="shared" si="330"/>
        <v/>
      </c>
      <c r="BT465" s="28"/>
      <c r="BU465" s="304" t="str">
        <f t="shared" si="331"/>
        <v/>
      </c>
      <c r="BV465" s="304" t="str">
        <f t="shared" si="331"/>
        <v/>
      </c>
      <c r="BW465" s="28"/>
      <c r="BX465" s="91"/>
    </row>
    <row r="466" spans="1:76" s="55" customFormat="1" x14ac:dyDescent="0.25">
      <c r="A466" s="195">
        <v>18</v>
      </c>
      <c r="B466" s="216" t="str">
        <f t="shared" si="319"/>
        <v xml:space="preserve">: </v>
      </c>
      <c r="C466" s="221"/>
      <c r="D466" s="221"/>
      <c r="E466" s="221"/>
      <c r="F466" s="221"/>
      <c r="G466" s="240"/>
      <c r="H466" s="221"/>
      <c r="I466" s="240"/>
      <c r="J466" s="241"/>
      <c r="K466" s="241"/>
      <c r="L466" s="241"/>
      <c r="M466" s="225" t="str">
        <f t="shared" si="320"/>
        <v>US2014$/kg of protein</v>
      </c>
      <c r="N466" s="227"/>
      <c r="O466" s="241"/>
      <c r="P466" s="122"/>
      <c r="Q466" s="228"/>
      <c r="R466" s="231" t="str">
        <f t="shared" si="332"/>
        <v/>
      </c>
      <c r="S466" s="230" t="str">
        <f t="shared" si="321"/>
        <v/>
      </c>
      <c r="T466" s="231" t="str">
        <f>IF(OR(Q466="Y",IFERROR(R466&gt;R469+R473*$AA$35,0),IFERROR(R466&lt;R469-R473*$AA$35,0)),"",IFERROR(R466*N466,""))</f>
        <v/>
      </c>
      <c r="U466" s="232" t="str">
        <f t="shared" si="322"/>
        <v>US2014$/kg of protein</v>
      </c>
      <c r="V466" s="28"/>
      <c r="W466" s="28"/>
      <c r="Y466" s="91"/>
      <c r="AO466" s="91"/>
      <c r="AP466" s="28"/>
      <c r="AQ466" s="28"/>
      <c r="AR466" s="237"/>
      <c r="AS466" s="28"/>
      <c r="AT466" s="304" t="str">
        <f t="shared" si="333"/>
        <v/>
      </c>
      <c r="AU466" s="304" t="str">
        <f t="shared" si="333"/>
        <v/>
      </c>
      <c r="AV466" s="28"/>
      <c r="AW466" s="304" t="str">
        <f t="shared" si="323"/>
        <v/>
      </c>
      <c r="AX466" s="304" t="str">
        <f t="shared" si="323"/>
        <v/>
      </c>
      <c r="AY466" s="28"/>
      <c r="AZ466" s="304" t="str">
        <f t="shared" si="324"/>
        <v/>
      </c>
      <c r="BA466" s="304" t="str">
        <f t="shared" si="324"/>
        <v/>
      </c>
      <c r="BB466" s="28"/>
      <c r="BC466" s="304" t="str">
        <f t="shared" si="325"/>
        <v/>
      </c>
      <c r="BD466" s="304" t="str">
        <f t="shared" si="325"/>
        <v/>
      </c>
      <c r="BE466" s="28"/>
      <c r="BF466" s="304" t="str">
        <f t="shared" si="326"/>
        <v/>
      </c>
      <c r="BG466" s="304" t="str">
        <f t="shared" si="326"/>
        <v/>
      </c>
      <c r="BH466" s="28"/>
      <c r="BI466" s="304" t="str">
        <f t="shared" si="327"/>
        <v/>
      </c>
      <c r="BJ466" s="304" t="str">
        <f t="shared" si="327"/>
        <v/>
      </c>
      <c r="BK466" s="28"/>
      <c r="BL466" s="304" t="str">
        <f t="shared" si="328"/>
        <v/>
      </c>
      <c r="BM466" s="304" t="str">
        <f t="shared" si="328"/>
        <v/>
      </c>
      <c r="BN466" s="28"/>
      <c r="BO466" s="304" t="str">
        <f t="shared" si="329"/>
        <v/>
      </c>
      <c r="BP466" s="304" t="str">
        <f t="shared" si="329"/>
        <v/>
      </c>
      <c r="BQ466" s="28"/>
      <c r="BR466" s="304" t="str">
        <f t="shared" si="330"/>
        <v/>
      </c>
      <c r="BS466" s="304" t="str">
        <f t="shared" si="330"/>
        <v/>
      </c>
      <c r="BT466" s="28"/>
      <c r="BU466" s="304" t="str">
        <f t="shared" si="331"/>
        <v/>
      </c>
      <c r="BV466" s="304" t="str">
        <f t="shared" si="331"/>
        <v/>
      </c>
      <c r="BW466" s="28"/>
      <c r="BX466" s="91"/>
    </row>
    <row r="467" spans="1:76" s="55" customFormat="1" x14ac:dyDescent="0.25">
      <c r="A467" s="195">
        <v>19</v>
      </c>
      <c r="B467" s="216" t="str">
        <f t="shared" si="319"/>
        <v xml:space="preserve">: </v>
      </c>
      <c r="C467" s="221"/>
      <c r="D467" s="221"/>
      <c r="E467" s="221"/>
      <c r="F467" s="221"/>
      <c r="G467" s="240"/>
      <c r="H467" s="221"/>
      <c r="I467" s="240"/>
      <c r="J467" s="241"/>
      <c r="K467" s="241"/>
      <c r="L467" s="241"/>
      <c r="M467" s="225" t="str">
        <f t="shared" si="320"/>
        <v>US2014$/kg of protein</v>
      </c>
      <c r="N467" s="227"/>
      <c r="O467" s="241"/>
      <c r="P467" s="122"/>
      <c r="Q467" s="228"/>
      <c r="R467" s="231" t="str">
        <f t="shared" si="332"/>
        <v/>
      </c>
      <c r="S467" s="230" t="str">
        <f t="shared" si="321"/>
        <v/>
      </c>
      <c r="T467" s="231" t="str">
        <f>IF(OR(Q467="Y",IFERROR(R467&gt;R469+R473*$AA$35,0),IFERROR(R467&lt;R469-R473*$AA$35,0)),"",IFERROR(R467*N467,""))</f>
        <v/>
      </c>
      <c r="U467" s="232" t="str">
        <f t="shared" si="322"/>
        <v>US2014$/kg of protein</v>
      </c>
      <c r="V467" s="28"/>
      <c r="W467" s="28"/>
      <c r="Y467" s="91"/>
      <c r="AO467" s="91"/>
      <c r="AP467" s="28"/>
      <c r="AQ467" s="28"/>
      <c r="AR467" s="237"/>
      <c r="AS467" s="28"/>
      <c r="AT467" s="304" t="str">
        <f t="shared" si="333"/>
        <v/>
      </c>
      <c r="AU467" s="304" t="str">
        <f t="shared" si="333"/>
        <v/>
      </c>
      <c r="AV467" s="28"/>
      <c r="AW467" s="304" t="str">
        <f t="shared" si="323"/>
        <v/>
      </c>
      <c r="AX467" s="304" t="str">
        <f t="shared" si="323"/>
        <v/>
      </c>
      <c r="AY467" s="28"/>
      <c r="AZ467" s="304" t="str">
        <f t="shared" si="324"/>
        <v/>
      </c>
      <c r="BA467" s="304" t="str">
        <f t="shared" si="324"/>
        <v/>
      </c>
      <c r="BB467" s="28"/>
      <c r="BC467" s="304" t="str">
        <f t="shared" si="325"/>
        <v/>
      </c>
      <c r="BD467" s="304" t="str">
        <f t="shared" si="325"/>
        <v/>
      </c>
      <c r="BE467" s="28"/>
      <c r="BF467" s="304" t="str">
        <f t="shared" si="326"/>
        <v/>
      </c>
      <c r="BG467" s="304" t="str">
        <f t="shared" si="326"/>
        <v/>
      </c>
      <c r="BH467" s="28"/>
      <c r="BI467" s="304" t="str">
        <f t="shared" si="327"/>
        <v/>
      </c>
      <c r="BJ467" s="304" t="str">
        <f t="shared" si="327"/>
        <v/>
      </c>
      <c r="BK467" s="28"/>
      <c r="BL467" s="304" t="str">
        <f t="shared" si="328"/>
        <v/>
      </c>
      <c r="BM467" s="304" t="str">
        <f t="shared" si="328"/>
        <v/>
      </c>
      <c r="BN467" s="28"/>
      <c r="BO467" s="304" t="str">
        <f t="shared" si="329"/>
        <v/>
      </c>
      <c r="BP467" s="304" t="str">
        <f t="shared" si="329"/>
        <v/>
      </c>
      <c r="BQ467" s="28"/>
      <c r="BR467" s="304" t="str">
        <f t="shared" si="330"/>
        <v/>
      </c>
      <c r="BS467" s="304" t="str">
        <f t="shared" si="330"/>
        <v/>
      </c>
      <c r="BT467" s="28"/>
      <c r="BU467" s="304" t="str">
        <f t="shared" si="331"/>
        <v/>
      </c>
      <c r="BV467" s="304" t="str">
        <f t="shared" si="331"/>
        <v/>
      </c>
      <c r="BW467" s="28"/>
      <c r="BX467" s="91"/>
    </row>
    <row r="468" spans="1:76" s="55" customFormat="1" x14ac:dyDescent="0.25">
      <c r="A468" s="195">
        <v>20</v>
      </c>
      <c r="B468" s="216" t="str">
        <f t="shared" si="319"/>
        <v xml:space="preserve">: </v>
      </c>
      <c r="C468" s="221"/>
      <c r="D468" s="221"/>
      <c r="E468" s="221"/>
      <c r="F468" s="221"/>
      <c r="G468" s="240"/>
      <c r="H468" s="221"/>
      <c r="I468" s="240"/>
      <c r="J468" s="241"/>
      <c r="K468" s="241"/>
      <c r="L468" s="241"/>
      <c r="M468" s="225" t="str">
        <f t="shared" si="320"/>
        <v>US2014$/kg of protein</v>
      </c>
      <c r="N468" s="227"/>
      <c r="O468" s="241"/>
      <c r="P468" s="122"/>
      <c r="Q468" s="228"/>
      <c r="R468" s="231" t="str">
        <f t="shared" si="332"/>
        <v/>
      </c>
      <c r="S468" s="230" t="str">
        <f t="shared" si="321"/>
        <v/>
      </c>
      <c r="T468" s="231" t="str">
        <f>IF(OR(Q468="Y",IFERROR(R468&gt;R469+R473*$AA$35,0),IFERROR(R468&lt;R469-R473*$AA$35,0)),"",IFERROR(R468*N468,""))</f>
        <v/>
      </c>
      <c r="U468" s="232" t="str">
        <f t="shared" si="322"/>
        <v>US2014$/kg of protein</v>
      </c>
      <c r="V468" s="28"/>
      <c r="W468" s="28"/>
      <c r="Y468" s="91"/>
      <c r="AO468" s="91"/>
      <c r="AP468" s="28"/>
      <c r="AQ468" s="28"/>
      <c r="AR468" s="237"/>
      <c r="AS468" s="28"/>
      <c r="AT468" s="304" t="str">
        <f t="shared" si="333"/>
        <v/>
      </c>
      <c r="AU468" s="304" t="str">
        <f t="shared" si="333"/>
        <v/>
      </c>
      <c r="AV468" s="28"/>
      <c r="AW468" s="304" t="str">
        <f t="shared" si="323"/>
        <v/>
      </c>
      <c r="AX468" s="304" t="str">
        <f t="shared" si="323"/>
        <v/>
      </c>
      <c r="AY468" s="28"/>
      <c r="AZ468" s="304" t="str">
        <f t="shared" si="324"/>
        <v/>
      </c>
      <c r="BA468" s="304" t="str">
        <f t="shared" si="324"/>
        <v/>
      </c>
      <c r="BB468" s="28"/>
      <c r="BC468" s="304" t="str">
        <f t="shared" si="325"/>
        <v/>
      </c>
      <c r="BD468" s="304" t="str">
        <f t="shared" si="325"/>
        <v/>
      </c>
      <c r="BE468" s="28"/>
      <c r="BF468" s="304" t="str">
        <f t="shared" si="326"/>
        <v/>
      </c>
      <c r="BG468" s="304" t="str">
        <f t="shared" si="326"/>
        <v/>
      </c>
      <c r="BH468" s="28"/>
      <c r="BI468" s="304" t="str">
        <f t="shared" si="327"/>
        <v/>
      </c>
      <c r="BJ468" s="304" t="str">
        <f t="shared" si="327"/>
        <v/>
      </c>
      <c r="BK468" s="28"/>
      <c r="BL468" s="304" t="str">
        <f t="shared" si="328"/>
        <v/>
      </c>
      <c r="BM468" s="304" t="str">
        <f t="shared" si="328"/>
        <v/>
      </c>
      <c r="BN468" s="28"/>
      <c r="BO468" s="304" t="str">
        <f t="shared" si="329"/>
        <v/>
      </c>
      <c r="BP468" s="304" t="str">
        <f t="shared" si="329"/>
        <v/>
      </c>
      <c r="BQ468" s="28"/>
      <c r="BR468" s="304" t="str">
        <f t="shared" si="330"/>
        <v/>
      </c>
      <c r="BS468" s="304" t="str">
        <f t="shared" si="330"/>
        <v/>
      </c>
      <c r="BT468" s="28"/>
      <c r="BU468" s="304" t="str">
        <f t="shared" si="331"/>
        <v/>
      </c>
      <c r="BV468" s="304" t="str">
        <f t="shared" si="331"/>
        <v/>
      </c>
      <c r="BW468" s="28"/>
      <c r="BX468" s="91"/>
    </row>
    <row r="469" spans="1:76" s="55" customFormat="1" x14ac:dyDescent="0.25">
      <c r="A469" s="195"/>
      <c r="B469" s="244" t="s">
        <v>163</v>
      </c>
      <c r="C469" s="199"/>
      <c r="D469" s="199"/>
      <c r="E469" s="199"/>
      <c r="F469" s="199"/>
      <c r="G469" s="122"/>
      <c r="H469" s="28"/>
      <c r="I469" s="245"/>
      <c r="J469" s="122"/>
      <c r="K469" s="122"/>
      <c r="L469" s="122" t="s">
        <v>134</v>
      </c>
      <c r="M469" s="122"/>
      <c r="N469" s="122"/>
      <c r="O469" s="122"/>
      <c r="P469" s="122"/>
      <c r="Q469" s="305" t="s">
        <v>136</v>
      </c>
      <c r="R469" s="246" t="e">
        <f>AVERAGE(R449:R468)</f>
        <v>#DIV/0!</v>
      </c>
      <c r="S469" s="247" t="e">
        <f>IF(R477="Y",SUM(S449:S468)/SUMPRODUCT(N449:N468,--ISNUMBER(S449:S468)),AVERAGE(S449:S468))</f>
        <v>#DIV/0!</v>
      </c>
      <c r="T469" s="248" t="e">
        <f>SUM(T449:T468)/SUMPRODUCT(N449:N468,--ISNUMBER(T449:T468))</f>
        <v>#DIV/0!</v>
      </c>
      <c r="U469" s="28"/>
      <c r="V469" s="28"/>
      <c r="W469" s="28"/>
      <c r="Y469" s="249"/>
      <c r="AO469" s="91"/>
      <c r="AP469" s="28"/>
      <c r="AQ469" s="28"/>
      <c r="AR469" s="28"/>
      <c r="AS469" s="245" t="s">
        <v>136</v>
      </c>
      <c r="AT469" s="307" t="e">
        <f>AVERAGE(AT449:AT468)</f>
        <v>#DIV/0!</v>
      </c>
      <c r="AU469" s="307" t="e">
        <f>SUM(AU449:AU468)/COUNTIF(AU449:AU468,"&gt;0")</f>
        <v>#DIV/0!</v>
      </c>
      <c r="AV469" s="245"/>
      <c r="AW469" s="307" t="e">
        <f>AVERAGE(AW449:AW468)</f>
        <v>#DIV/0!</v>
      </c>
      <c r="AX469" s="307" t="e">
        <f>SUM(AX449:AX468)/COUNTIF(AX449:AX468,"&gt;0")</f>
        <v>#DIV/0!</v>
      </c>
      <c r="AY469" s="28"/>
      <c r="AZ469" s="307" t="e">
        <f>AVERAGE(AZ449:AZ468)</f>
        <v>#DIV/0!</v>
      </c>
      <c r="BA469" s="307" t="e">
        <f>SUM(BA449:BA468)/COUNTIF(BA449:BA468,"&gt;0")</f>
        <v>#DIV/0!</v>
      </c>
      <c r="BB469" s="28"/>
      <c r="BC469" s="307" t="e">
        <f>AVERAGE(BC449:BC468)</f>
        <v>#DIV/0!</v>
      </c>
      <c r="BD469" s="307" t="e">
        <f>SUM(BD449:BD468)/COUNTIF(BD449:BD468,"&gt;0")</f>
        <v>#DIV/0!</v>
      </c>
      <c r="BE469" s="28"/>
      <c r="BF469" s="307" t="e">
        <f>AVERAGE(BF449:BF468)</f>
        <v>#DIV/0!</v>
      </c>
      <c r="BG469" s="307" t="e">
        <f>SUM(BG449:BG468)/COUNTIF(BG449:BG468,"&gt;0")</f>
        <v>#DIV/0!</v>
      </c>
      <c r="BH469" s="28"/>
      <c r="BI469" s="307" t="e">
        <f>AVERAGE(BI449:BI468)</f>
        <v>#DIV/0!</v>
      </c>
      <c r="BJ469" s="307" t="e">
        <f>SUM(BJ449:BJ468)/COUNTIF(BJ449:BJ468,"&gt;0")</f>
        <v>#DIV/0!</v>
      </c>
      <c r="BK469" s="245"/>
      <c r="BL469" s="307" t="e">
        <f>AVERAGE(BL449:BL468)</f>
        <v>#DIV/0!</v>
      </c>
      <c r="BM469" s="307" t="e">
        <f>SUM(BM449:BM468)/COUNTIF(BM449:BM468,"&gt;0")</f>
        <v>#DIV/0!</v>
      </c>
      <c r="BN469" s="28"/>
      <c r="BO469" s="307" t="e">
        <f>AVERAGE(BO449:BO468)</f>
        <v>#DIV/0!</v>
      </c>
      <c r="BP469" s="307" t="e">
        <f>SUM(BP449:BP468)/COUNTIF(BP449:BP468,"&gt;0")</f>
        <v>#DIV/0!</v>
      </c>
      <c r="BQ469" s="28"/>
      <c r="BR469" s="307" t="e">
        <f>AVERAGE(BR449:BR468)</f>
        <v>#DIV/0!</v>
      </c>
      <c r="BS469" s="307" t="e">
        <f>SUM(BS449:BS468)/COUNTIF(BS449:BS468,"&gt;0")</f>
        <v>#DIV/0!</v>
      </c>
      <c r="BT469" s="28"/>
      <c r="BU469" s="307" t="e">
        <f>AVERAGE(BU449:BU468)</f>
        <v>#DIV/0!</v>
      </c>
      <c r="BV469" s="307" t="e">
        <f>SUM(BV449:BV468)/COUNTIF(BV449:BV468,"&gt;0")</f>
        <v>#DIV/0!</v>
      </c>
      <c r="BW469" s="28"/>
      <c r="BX469" s="91"/>
    </row>
    <row r="470" spans="1:76" s="55" customFormat="1" x14ac:dyDescent="0.25">
      <c r="A470" s="195"/>
      <c r="B470" s="244" t="s">
        <v>164</v>
      </c>
      <c r="C470" s="199" t="s">
        <v>139</v>
      </c>
      <c r="D470" s="252"/>
      <c r="E470" s="253"/>
      <c r="F470" s="253"/>
      <c r="G470" s="253"/>
      <c r="H470" s="253"/>
      <c r="I470" s="253"/>
      <c r="J470" s="254"/>
      <c r="K470" s="122"/>
      <c r="L470" s="122"/>
      <c r="M470" s="122"/>
      <c r="N470" s="122"/>
      <c r="O470" s="122"/>
      <c r="P470" s="122"/>
      <c r="Q470" s="306" t="s">
        <v>144</v>
      </c>
      <c r="R470" s="257" t="e">
        <f>R469+U470*R473</f>
        <v>#DIV/0!</v>
      </c>
      <c r="S470" s="257" t="e">
        <f>S469+U470*S473</f>
        <v>#DIV/0!</v>
      </c>
      <c r="T470" s="257" t="e">
        <f>T469+U470*T473</f>
        <v>#DIV/0!</v>
      </c>
      <c r="U470" s="258">
        <v>1</v>
      </c>
      <c r="V470" s="122" t="s">
        <v>142</v>
      </c>
      <c r="W470" s="28"/>
      <c r="X470" s="259" t="s">
        <v>143</v>
      </c>
      <c r="Y470" s="260"/>
      <c r="AO470" s="91"/>
      <c r="AP470" s="28"/>
      <c r="AQ470" s="28"/>
      <c r="AR470" s="28"/>
      <c r="AS470" s="256" t="s">
        <v>144</v>
      </c>
      <c r="AT470" s="261" t="e">
        <f>AT469+(AT475*AT472)</f>
        <v>#DIV/0!</v>
      </c>
      <c r="AU470" s="261" t="e">
        <f>AU469+(AU475*AT472)</f>
        <v>#DIV/0!</v>
      </c>
      <c r="AV470" s="256"/>
      <c r="AW470" s="261" t="e">
        <f>AW469+(AW475*AW472)</f>
        <v>#DIV/0!</v>
      </c>
      <c r="AX470" s="261" t="e">
        <f>AX469+(AX475*AW472)</f>
        <v>#DIV/0!</v>
      </c>
      <c r="AY470" s="28"/>
      <c r="AZ470" s="261" t="e">
        <f>AZ469+(AZ475*AZ472)</f>
        <v>#DIV/0!</v>
      </c>
      <c r="BA470" s="261" t="e">
        <f>BA469+(BA475*AZ472)</f>
        <v>#DIV/0!</v>
      </c>
      <c r="BB470" s="28"/>
      <c r="BC470" s="261" t="e">
        <f>BC469+(BC475*BC472)</f>
        <v>#DIV/0!</v>
      </c>
      <c r="BD470" s="261" t="e">
        <f>BD469+(BD475*BC472)</f>
        <v>#DIV/0!</v>
      </c>
      <c r="BE470" s="28"/>
      <c r="BF470" s="261" t="e">
        <f>BF469+(BF475*BF472)</f>
        <v>#DIV/0!</v>
      </c>
      <c r="BG470" s="261" t="e">
        <f>BG469+(BG475*BF472)</f>
        <v>#DIV/0!</v>
      </c>
      <c r="BH470" s="28"/>
      <c r="BI470" s="261" t="e">
        <f>BI469+(BI475*BI472)</f>
        <v>#DIV/0!</v>
      </c>
      <c r="BJ470" s="261" t="e">
        <f>BJ469+(BJ475*BI472)</f>
        <v>#DIV/0!</v>
      </c>
      <c r="BK470" s="256"/>
      <c r="BL470" s="261" t="e">
        <f>BL469+(BL475*BL472)</f>
        <v>#DIV/0!</v>
      </c>
      <c r="BM470" s="261" t="e">
        <f>BM469+(BM475*BL472)</f>
        <v>#DIV/0!</v>
      </c>
      <c r="BN470" s="28"/>
      <c r="BO470" s="261" t="e">
        <f>BO469+(BO475*BO472)</f>
        <v>#DIV/0!</v>
      </c>
      <c r="BP470" s="261" t="e">
        <f>BP469+(BP475*BO472)</f>
        <v>#DIV/0!</v>
      </c>
      <c r="BQ470" s="28"/>
      <c r="BR470" s="261" t="e">
        <f>BR469+(BR475*BR472)</f>
        <v>#DIV/0!</v>
      </c>
      <c r="BS470" s="261" t="e">
        <f>BS469+(BS475*BR472)</f>
        <v>#DIV/0!</v>
      </c>
      <c r="BT470" s="28"/>
      <c r="BU470" s="261" t="e">
        <f>BU469+(BU475*BU472)</f>
        <v>#DIV/0!</v>
      </c>
      <c r="BV470" s="261" t="e">
        <f>BV469+(BV475*BU472)</f>
        <v>#DIV/0!</v>
      </c>
      <c r="BW470" s="28"/>
      <c r="BX470" s="91"/>
    </row>
    <row r="471" spans="1:76" s="55" customFormat="1" x14ac:dyDescent="0.25">
      <c r="A471" s="195"/>
      <c r="B471" s="244" t="s">
        <v>165</v>
      </c>
      <c r="C471" s="195"/>
      <c r="D471" s="263"/>
      <c r="E471" s="264"/>
      <c r="F471" s="264"/>
      <c r="G471" s="264"/>
      <c r="H471" s="264"/>
      <c r="I471" s="264"/>
      <c r="J471" s="265"/>
      <c r="K471" s="28"/>
      <c r="L471" s="28"/>
      <c r="M471" s="122"/>
      <c r="N471" s="122"/>
      <c r="O471" s="122"/>
      <c r="P471" s="122"/>
      <c r="Q471" s="306" t="s">
        <v>150</v>
      </c>
      <c r="R471" s="257" t="e">
        <f>IF($X471="Y",MIN(R449:R468),R469-$U471*R473)</f>
        <v>#DIV/0!</v>
      </c>
      <c r="S471" s="257" t="e">
        <f t="shared" ref="S471:T471" si="334">IF($X471="Y",MIN(S449:S468),S469-$U471*S473)</f>
        <v>#DIV/0!</v>
      </c>
      <c r="T471" s="257" t="e">
        <f t="shared" si="334"/>
        <v>#DIV/0!</v>
      </c>
      <c r="U471" s="258">
        <v>1</v>
      </c>
      <c r="V471" s="122" t="s">
        <v>148</v>
      </c>
      <c r="W471" s="28"/>
      <c r="X471" s="266" t="s">
        <v>149</v>
      </c>
      <c r="Y471" s="260"/>
      <c r="AO471" s="91"/>
      <c r="AP471" s="28"/>
      <c r="AQ471" s="28"/>
      <c r="AR471" s="28"/>
      <c r="AS471" s="256" t="s">
        <v>150</v>
      </c>
      <c r="AT471" s="261" t="e">
        <f>AT469-(AT475*AT473)</f>
        <v>#DIV/0!</v>
      </c>
      <c r="AU471" s="261" t="e">
        <f>AU469-(AU475*AT473)</f>
        <v>#DIV/0!</v>
      </c>
      <c r="AV471" s="256"/>
      <c r="AW471" s="261" t="e">
        <f>AW469-(AW475*AW473)</f>
        <v>#DIV/0!</v>
      </c>
      <c r="AX471" s="261" t="e">
        <f>AX469-(AX475*AW473)</f>
        <v>#DIV/0!</v>
      </c>
      <c r="AY471" s="28"/>
      <c r="AZ471" s="261" t="e">
        <f>AZ469-(AZ475*AZ473)</f>
        <v>#DIV/0!</v>
      </c>
      <c r="BA471" s="261" t="e">
        <f>BA469-(BA475*AZ473)</f>
        <v>#DIV/0!</v>
      </c>
      <c r="BB471" s="28"/>
      <c r="BC471" s="261" t="e">
        <f>BC469-(BC475*BC473)</f>
        <v>#DIV/0!</v>
      </c>
      <c r="BD471" s="261" t="e">
        <f>BD469-(BD475*BC473)</f>
        <v>#DIV/0!</v>
      </c>
      <c r="BE471" s="28"/>
      <c r="BF471" s="261" t="e">
        <f>BF469-(BF475*BF473)</f>
        <v>#DIV/0!</v>
      </c>
      <c r="BG471" s="261" t="e">
        <f>BG469-(BG475*BF473)</f>
        <v>#DIV/0!</v>
      </c>
      <c r="BH471" s="28"/>
      <c r="BI471" s="261" t="e">
        <f>BI469-(BI475*BI473)</f>
        <v>#DIV/0!</v>
      </c>
      <c r="BJ471" s="261" t="e">
        <f>BJ469-(BJ475*BI473)</f>
        <v>#DIV/0!</v>
      </c>
      <c r="BK471" s="256"/>
      <c r="BL471" s="261" t="e">
        <f>BL469-(BL475*BL473)</f>
        <v>#DIV/0!</v>
      </c>
      <c r="BM471" s="261" t="e">
        <f>BM469-(BM475*BL473)</f>
        <v>#DIV/0!</v>
      </c>
      <c r="BN471" s="28"/>
      <c r="BO471" s="261" t="e">
        <f>BO469-(BO475*BO473)</f>
        <v>#DIV/0!</v>
      </c>
      <c r="BP471" s="261" t="e">
        <f>BP469-(BP475*BO473)</f>
        <v>#DIV/0!</v>
      </c>
      <c r="BQ471" s="28"/>
      <c r="BR471" s="261" t="e">
        <f>BR469-(BR475*BR473)</f>
        <v>#DIV/0!</v>
      </c>
      <c r="BS471" s="261" t="e">
        <f>BS469-(BS475*BR473)</f>
        <v>#DIV/0!</v>
      </c>
      <c r="BT471" s="28"/>
      <c r="BU471" s="261" t="e">
        <f>BU469-(BU475*BU473)</f>
        <v>#DIV/0!</v>
      </c>
      <c r="BV471" s="261" t="e">
        <f>BV469-(BV475*BU473)</f>
        <v>#DIV/0!</v>
      </c>
      <c r="BW471" s="28"/>
      <c r="BX471" s="91"/>
    </row>
    <row r="472" spans="1:76" s="55" customFormat="1" ht="14.25" x14ac:dyDescent="0.2">
      <c r="A472" s="195"/>
      <c r="B472" s="196"/>
      <c r="C472" s="195"/>
      <c r="D472" s="263"/>
      <c r="E472" s="264"/>
      <c r="F472" s="264"/>
      <c r="G472" s="264"/>
      <c r="H472" s="264"/>
      <c r="I472" s="264"/>
      <c r="J472" s="265"/>
      <c r="K472" s="122"/>
      <c r="L472" s="122"/>
      <c r="M472" s="122"/>
      <c r="N472" s="122"/>
      <c r="O472" s="122"/>
      <c r="P472" s="122"/>
      <c r="Q472" s="306" t="s">
        <v>151</v>
      </c>
      <c r="R472" s="257" t="e">
        <f>IF((0.67*R473)&gt;R469,"no","yes")</f>
        <v>#DIV/0!</v>
      </c>
      <c r="S472" s="257" t="e">
        <f>IF((0.67*S473)&gt;S469,"no","yes")</f>
        <v>#DIV/0!</v>
      </c>
      <c r="T472" s="257" t="e">
        <f>IF((0.67*T473)&gt;T469,"no","yes")</f>
        <v>#DIV/0!</v>
      </c>
      <c r="U472" s="122"/>
      <c r="V472" s="122"/>
      <c r="W472" s="122"/>
      <c r="Y472" s="260"/>
      <c r="AO472" s="91"/>
      <c r="AP472" s="122"/>
      <c r="AQ472" s="122"/>
      <c r="AR472" s="267" t="s">
        <v>152</v>
      </c>
      <c r="AS472" s="268"/>
      <c r="AT472" s="258">
        <v>1</v>
      </c>
      <c r="AU472" s="122"/>
      <c r="AV472" s="308"/>
      <c r="AW472" s="258">
        <v>1</v>
      </c>
      <c r="AX472" s="122"/>
      <c r="AY472" s="122"/>
      <c r="AZ472" s="258">
        <v>1</v>
      </c>
      <c r="BA472" s="122"/>
      <c r="BB472" s="122"/>
      <c r="BC472" s="258">
        <v>1</v>
      </c>
      <c r="BD472" s="122"/>
      <c r="BE472" s="122"/>
      <c r="BF472" s="258">
        <v>1</v>
      </c>
      <c r="BG472" s="122"/>
      <c r="BH472" s="122"/>
      <c r="BI472" s="258">
        <v>1</v>
      </c>
      <c r="BJ472" s="122"/>
      <c r="BK472" s="256"/>
      <c r="BL472" s="258">
        <v>1</v>
      </c>
      <c r="BM472" s="122"/>
      <c r="BN472" s="122"/>
      <c r="BO472" s="258">
        <v>1</v>
      </c>
      <c r="BP472" s="122"/>
      <c r="BQ472" s="122"/>
      <c r="BR472" s="258">
        <v>1</v>
      </c>
      <c r="BS472" s="122"/>
      <c r="BT472" s="122"/>
      <c r="BU472" s="258">
        <v>1</v>
      </c>
      <c r="BV472" s="122"/>
      <c r="BW472" s="122"/>
      <c r="BX472" s="91"/>
    </row>
    <row r="473" spans="1:76" s="55" customFormat="1" ht="28.5" x14ac:dyDescent="0.2">
      <c r="A473" s="270" t="e">
        <f ca="1">HYPERLINK("#"&amp;"'"&amp;A$1&amp;"'!a1","Back to top")</f>
        <v>#VALUE!</v>
      </c>
      <c r="B473" s="271"/>
      <c r="C473" s="195"/>
      <c r="D473" s="263"/>
      <c r="E473" s="264"/>
      <c r="F473" s="264"/>
      <c r="G473" s="264"/>
      <c r="H473" s="264"/>
      <c r="I473" s="264"/>
      <c r="J473" s="265"/>
      <c r="K473" s="122"/>
      <c r="L473" s="122"/>
      <c r="M473" s="122"/>
      <c r="N473" s="122"/>
      <c r="O473" s="122"/>
      <c r="P473" s="122"/>
      <c r="Q473" s="306" t="s">
        <v>157</v>
      </c>
      <c r="R473" s="257">
        <f>IF(COUNT(R449:R468)&gt;1,_xlfn.STDEV.S(R449:R468),0)</f>
        <v>0</v>
      </c>
      <c r="S473" s="257" t="e">
        <f t="array" ref="S473">IF(R477="Y",SQRT(SUM(IFERROR(N449:N468*(R449:R468-(S469))^2,0))/((COUNT(S449:S468)-1)/COUNT(S449:S468)*SUMPRODUCT(N449:N468,--ISNUMBER(S449:S468)))),_xlfn.STDEV.S(S449:S468))</f>
        <v>#DIV/0!</v>
      </c>
      <c r="T473" s="257" t="e">
        <f t="array" ref="T473">SQRT(SUM(IFERROR(N449:N468*(R449:R468-(T469))^2,0))/((COUNT(T449:T468)-1)/COUNT(T449:T468)*SUMPRODUCT(N449:N468,--ISNUMBER(T449:T468))))</f>
        <v>#DIV/0!</v>
      </c>
      <c r="U473" s="122"/>
      <c r="V473" s="122"/>
      <c r="W473" s="122"/>
      <c r="Y473" s="260"/>
      <c r="AO473" s="91"/>
      <c r="AP473" s="122"/>
      <c r="AQ473" s="122"/>
      <c r="AR473" s="267"/>
      <c r="AS473" s="268"/>
      <c r="AT473" s="258">
        <v>1</v>
      </c>
      <c r="AU473" s="122"/>
      <c r="AV473" s="308"/>
      <c r="AW473" s="258">
        <v>1</v>
      </c>
      <c r="AX473" s="122"/>
      <c r="AY473" s="122"/>
      <c r="AZ473" s="258">
        <v>1</v>
      </c>
      <c r="BA473" s="122"/>
      <c r="BB473" s="122"/>
      <c r="BC473" s="258">
        <v>1</v>
      </c>
      <c r="BD473" s="122"/>
      <c r="BE473" s="122"/>
      <c r="BF473" s="258">
        <v>1</v>
      </c>
      <c r="BG473" s="122"/>
      <c r="BH473" s="122"/>
      <c r="BI473" s="258">
        <v>1</v>
      </c>
      <c r="BJ473" s="122"/>
      <c r="BK473" s="256"/>
      <c r="BL473" s="258">
        <v>1</v>
      </c>
      <c r="BM473" s="122"/>
      <c r="BN473" s="122"/>
      <c r="BO473" s="258">
        <v>1</v>
      </c>
      <c r="BP473" s="122"/>
      <c r="BQ473" s="122"/>
      <c r="BR473" s="258">
        <v>1</v>
      </c>
      <c r="BS473" s="122"/>
      <c r="BT473" s="122"/>
      <c r="BU473" s="258">
        <v>1</v>
      </c>
      <c r="BV473" s="122"/>
      <c r="BW473" s="122"/>
      <c r="BX473" s="91"/>
    </row>
    <row r="474" spans="1:76" s="55" customFormat="1" ht="15" customHeight="1" x14ac:dyDescent="0.25">
      <c r="A474" s="195"/>
      <c r="B474" s="196"/>
      <c r="C474" s="195"/>
      <c r="D474" s="263"/>
      <c r="E474" s="264"/>
      <c r="F474" s="264"/>
      <c r="G474" s="264"/>
      <c r="H474" s="264"/>
      <c r="I474" s="264"/>
      <c r="J474" s="265"/>
      <c r="K474" s="122"/>
      <c r="L474" s="122"/>
      <c r="M474" s="122"/>
      <c r="N474" s="122"/>
      <c r="O474" s="122"/>
      <c r="P474" s="122"/>
      <c r="Q474" s="309" t="s">
        <v>159</v>
      </c>
      <c r="R474" s="310">
        <f>COUNT(R449:R468)</f>
        <v>0</v>
      </c>
      <c r="S474" s="310">
        <f>COUNT(S449:S468)</f>
        <v>0</v>
      </c>
      <c r="T474" s="118"/>
      <c r="U474" s="273" t="s">
        <v>155</v>
      </c>
      <c r="V474" s="122"/>
      <c r="W474" s="122"/>
      <c r="Y474" s="91"/>
      <c r="AO474" s="91"/>
      <c r="AP474" s="122"/>
      <c r="AQ474" s="122"/>
      <c r="AR474" s="122"/>
      <c r="AS474" s="256" t="s">
        <v>151</v>
      </c>
      <c r="AT474" s="261" t="e">
        <f>IF((0.67*AT475)&gt;AT469,"no","yes")</f>
        <v>#DIV/0!</v>
      </c>
      <c r="AU474" s="261" t="e">
        <f>IF((0.67*AU475)&gt;AU469,"no","yes")</f>
        <v>#DIV/0!</v>
      </c>
      <c r="AV474" s="256"/>
      <c r="AW474" s="261" t="e">
        <f>IF((0.67*AW475)&gt;AW469,"no","yes")</f>
        <v>#DIV/0!</v>
      </c>
      <c r="AX474" s="261" t="e">
        <f>IF((0.67*AX475)&gt;AX469,"no","yes")</f>
        <v>#DIV/0!</v>
      </c>
      <c r="AY474" s="122"/>
      <c r="AZ474" s="261" t="e">
        <f>IF((0.67*AZ475)&gt;AZ469,"no","yes")</f>
        <v>#DIV/0!</v>
      </c>
      <c r="BA474" s="261" t="e">
        <f>IF((0.67*BA475)&gt;BA469,"no","yes")</f>
        <v>#DIV/0!</v>
      </c>
      <c r="BB474" s="122"/>
      <c r="BC474" s="261" t="e">
        <f>IF((0.67*BC475)&gt;BC469,"no","yes")</f>
        <v>#DIV/0!</v>
      </c>
      <c r="BD474" s="261" t="e">
        <f>IF((0.67*BD475)&gt;BD469,"no","yes")</f>
        <v>#DIV/0!</v>
      </c>
      <c r="BE474" s="122"/>
      <c r="BF474" s="261" t="e">
        <f>IF((0.67*BF475)&gt;BF469,"no","yes")</f>
        <v>#DIV/0!</v>
      </c>
      <c r="BG474" s="261" t="e">
        <f>IF((0.67*BG475)&gt;BG469,"no","yes")</f>
        <v>#DIV/0!</v>
      </c>
      <c r="BH474" s="122"/>
      <c r="BI474" s="261" t="e">
        <f>IF((0.67*BI475)&gt;BI469,"no","yes")</f>
        <v>#DIV/0!</v>
      </c>
      <c r="BJ474" s="261" t="e">
        <f>IF((0.67*BJ475)&gt;BJ469,"no","yes")</f>
        <v>#DIV/0!</v>
      </c>
      <c r="BK474" s="133"/>
      <c r="BL474" s="261" t="e">
        <f>IF((0.67*BL475)&gt;BL469,"no","yes")</f>
        <v>#DIV/0!</v>
      </c>
      <c r="BM474" s="261" t="e">
        <f>IF((0.67*BM475)&gt;BM469,"no","yes")</f>
        <v>#DIV/0!</v>
      </c>
      <c r="BN474" s="122"/>
      <c r="BO474" s="261" t="e">
        <f>IF((0.67*BO475)&gt;BO469,"no","yes")</f>
        <v>#DIV/0!</v>
      </c>
      <c r="BP474" s="261" t="e">
        <f>IF((0.67*BP475)&gt;BP469,"no","yes")</f>
        <v>#DIV/0!</v>
      </c>
      <c r="BQ474" s="122"/>
      <c r="BR474" s="261" t="e">
        <f>IF((0.67*BR475)&gt;BR469,"no","yes")</f>
        <v>#DIV/0!</v>
      </c>
      <c r="BS474" s="261" t="e">
        <f>IF((0.67*BS475)&gt;BS469,"no","yes")</f>
        <v>#DIV/0!</v>
      </c>
      <c r="BT474" s="122"/>
      <c r="BU474" s="261" t="e">
        <f>IF((0.67*BU475)&gt;BU469,"no","yes")</f>
        <v>#DIV/0!</v>
      </c>
      <c r="BV474" s="261" t="e">
        <f>IF((0.67*BV475)&gt;BV469,"no","yes")</f>
        <v>#DIV/0!</v>
      </c>
      <c r="BW474" s="122"/>
      <c r="BX474" s="91"/>
    </row>
    <row r="475" spans="1:76" s="55" customFormat="1" ht="14.25" x14ac:dyDescent="0.2">
      <c r="B475" s="23"/>
      <c r="C475" s="195"/>
      <c r="D475" s="263"/>
      <c r="E475" s="264"/>
      <c r="F475" s="264"/>
      <c r="G475" s="264"/>
      <c r="H475" s="264"/>
      <c r="I475" s="264"/>
      <c r="J475" s="265"/>
      <c r="K475" s="122"/>
      <c r="L475" s="122"/>
      <c r="M475" s="122"/>
      <c r="N475" s="122"/>
      <c r="O475" s="122"/>
      <c r="P475" s="122"/>
      <c r="Q475" s="311"/>
      <c r="R475" s="118"/>
      <c r="S475" s="118"/>
      <c r="T475" s="118"/>
      <c r="U475" s="274"/>
      <c r="V475" s="275"/>
      <c r="W475" s="276"/>
      <c r="Y475" s="91"/>
      <c r="AO475" s="91"/>
      <c r="AP475" s="122"/>
      <c r="AQ475" s="122"/>
      <c r="AR475" s="122"/>
      <c r="AS475" s="256" t="s">
        <v>157</v>
      </c>
      <c r="AT475" s="261">
        <f>IF(AT476&gt;1,_xlfn.STDEV.S(AT449:AT468),0)</f>
        <v>0</v>
      </c>
      <c r="AU475" s="261">
        <f>IF(AU476&gt;1,_xlfn.STDEV.S(AU449:AU468),0)</f>
        <v>0</v>
      </c>
      <c r="AV475" s="122"/>
      <c r="AW475" s="261">
        <f t="shared" ref="AW475:AX475" si="335">IF(AW476&gt;1,_xlfn.STDEV.S(AW449:AW468),0)</f>
        <v>0</v>
      </c>
      <c r="AX475" s="261">
        <f t="shared" si="335"/>
        <v>0</v>
      </c>
      <c r="AY475" s="122"/>
      <c r="AZ475" s="261">
        <f t="shared" ref="AZ475:BA475" si="336">IF(AZ476&gt;1,_xlfn.STDEV.S(AZ449:AZ468),0)</f>
        <v>0</v>
      </c>
      <c r="BA475" s="261">
        <f t="shared" si="336"/>
        <v>0</v>
      </c>
      <c r="BB475" s="122"/>
      <c r="BC475" s="261">
        <f t="shared" ref="BC475:BD475" si="337">IF(BC476&gt;1,_xlfn.STDEV.S(BC449:BC468),0)</f>
        <v>0</v>
      </c>
      <c r="BD475" s="261">
        <f t="shared" si="337"/>
        <v>0</v>
      </c>
      <c r="BE475" s="122"/>
      <c r="BF475" s="261">
        <f t="shared" ref="BF475:BG475" si="338">IF(BF476&gt;1,_xlfn.STDEV.S(BF449:BF468),0)</f>
        <v>0</v>
      </c>
      <c r="BG475" s="261">
        <f t="shared" si="338"/>
        <v>0</v>
      </c>
      <c r="BH475" s="122"/>
      <c r="BI475" s="261">
        <f t="shared" ref="BI475:BJ475" si="339">IF(BI476&gt;1,_xlfn.STDEV.S(BI449:BI468),0)</f>
        <v>0</v>
      </c>
      <c r="BJ475" s="261">
        <f t="shared" si="339"/>
        <v>0</v>
      </c>
      <c r="BK475" s="122"/>
      <c r="BL475" s="261">
        <f t="shared" ref="BL475:BM475" si="340">IF(BL476&gt;1,_xlfn.STDEV.S(BL449:BL468),0)</f>
        <v>0</v>
      </c>
      <c r="BM475" s="261">
        <f t="shared" si="340"/>
        <v>0</v>
      </c>
      <c r="BN475" s="122"/>
      <c r="BO475" s="261">
        <f t="shared" ref="BO475:BP475" si="341">IF(BO476&gt;1,_xlfn.STDEV.S(BO449:BO468),0)</f>
        <v>0</v>
      </c>
      <c r="BP475" s="261">
        <f t="shared" si="341"/>
        <v>0</v>
      </c>
      <c r="BQ475" s="122"/>
      <c r="BR475" s="261">
        <f t="shared" ref="BR475:BS475" si="342">IF(BR476&gt;1,_xlfn.STDEV.S(BR449:BR468),0)</f>
        <v>0</v>
      </c>
      <c r="BS475" s="261">
        <f t="shared" si="342"/>
        <v>0</v>
      </c>
      <c r="BT475" s="122"/>
      <c r="BU475" s="261">
        <f t="shared" ref="BU475:BV475" si="343">IF(BU476&gt;1,_xlfn.STDEV.S(BU449:BU468),0)</f>
        <v>0</v>
      </c>
      <c r="BV475" s="261">
        <f t="shared" si="343"/>
        <v>0</v>
      </c>
      <c r="BW475" s="122"/>
      <c r="BX475" s="91"/>
    </row>
    <row r="476" spans="1:76" s="55" customFormat="1" x14ac:dyDescent="0.2">
      <c r="B476" s="23"/>
      <c r="C476" s="195"/>
      <c r="D476" s="277"/>
      <c r="E476" s="278"/>
      <c r="F476" s="278"/>
      <c r="G476" s="278"/>
      <c r="H476" s="278"/>
      <c r="I476" s="278"/>
      <c r="J476" s="279"/>
      <c r="K476" s="122"/>
      <c r="L476" s="122"/>
      <c r="M476" s="122"/>
      <c r="N476" s="122"/>
      <c r="O476" s="122"/>
      <c r="P476" s="122"/>
      <c r="Q476" s="311"/>
      <c r="R476" s="280" t="s">
        <v>158</v>
      </c>
      <c r="S476" s="122"/>
      <c r="T476" s="122"/>
      <c r="U476" s="281"/>
      <c r="V476" s="282"/>
      <c r="W476" s="283"/>
      <c r="Y476" s="91"/>
      <c r="AO476" s="91"/>
      <c r="AP476" s="122"/>
      <c r="AQ476" s="122"/>
      <c r="AR476" s="122"/>
      <c r="AS476" s="133" t="s">
        <v>159</v>
      </c>
      <c r="AT476" s="284">
        <f>COUNT(AT449:AT468)</f>
        <v>0</v>
      </c>
      <c r="AU476" s="284">
        <f>COUNT(AU449:AU468)</f>
        <v>0</v>
      </c>
      <c r="AV476" s="122"/>
      <c r="AW476" s="284">
        <f t="shared" ref="AW476:AX476" si="344">COUNT(AW449:AW468)</f>
        <v>0</v>
      </c>
      <c r="AX476" s="284">
        <f t="shared" si="344"/>
        <v>0</v>
      </c>
      <c r="AY476" s="122"/>
      <c r="AZ476" s="284">
        <f t="shared" ref="AZ476:BA476" si="345">COUNT(AZ449:AZ468)</f>
        <v>0</v>
      </c>
      <c r="BA476" s="284">
        <f t="shared" si="345"/>
        <v>0</v>
      </c>
      <c r="BB476" s="122"/>
      <c r="BC476" s="284">
        <f t="shared" ref="BC476:BD476" si="346">COUNT(BC449:BC468)</f>
        <v>0</v>
      </c>
      <c r="BD476" s="284">
        <f t="shared" si="346"/>
        <v>0</v>
      </c>
      <c r="BE476" s="122"/>
      <c r="BF476" s="284">
        <f t="shared" ref="BF476:BG476" si="347">COUNT(BF449:BF468)</f>
        <v>0</v>
      </c>
      <c r="BG476" s="284">
        <f t="shared" si="347"/>
        <v>0</v>
      </c>
      <c r="BH476" s="122"/>
      <c r="BI476" s="284">
        <f t="shared" ref="BI476:BJ476" si="348">COUNT(BI449:BI468)</f>
        <v>0</v>
      </c>
      <c r="BJ476" s="284">
        <f t="shared" si="348"/>
        <v>0</v>
      </c>
      <c r="BK476" s="122"/>
      <c r="BL476" s="284">
        <f t="shared" ref="BL476:BM476" si="349">COUNT(BL449:BL468)</f>
        <v>0</v>
      </c>
      <c r="BM476" s="284">
        <f t="shared" si="349"/>
        <v>0</v>
      </c>
      <c r="BN476" s="122"/>
      <c r="BO476" s="284">
        <f t="shared" ref="BO476:BP476" si="350">COUNT(BO449:BO468)</f>
        <v>0</v>
      </c>
      <c r="BP476" s="284">
        <f t="shared" si="350"/>
        <v>0</v>
      </c>
      <c r="BQ476" s="122"/>
      <c r="BR476" s="284">
        <f t="shared" ref="BR476:BS476" si="351">COUNT(BR449:BR468)</f>
        <v>0</v>
      </c>
      <c r="BS476" s="284">
        <f t="shared" si="351"/>
        <v>0</v>
      </c>
      <c r="BT476" s="122"/>
      <c r="BU476" s="284">
        <f t="shared" ref="BU476:BV476" si="352">COUNT(BU449:BU468)</f>
        <v>0</v>
      </c>
      <c r="BV476" s="284">
        <f t="shared" si="352"/>
        <v>0</v>
      </c>
      <c r="BW476" s="122"/>
      <c r="BX476" s="91"/>
    </row>
    <row r="477" spans="1:76" s="55" customFormat="1" ht="14.25" x14ac:dyDescent="0.2">
      <c r="B477" s="23"/>
      <c r="C477" s="122"/>
      <c r="D477" s="122"/>
      <c r="E477" s="122"/>
      <c r="F477" s="122"/>
      <c r="G477" s="122"/>
      <c r="H477" s="122"/>
      <c r="I477" s="122"/>
      <c r="J477" s="122"/>
      <c r="K477" s="122"/>
      <c r="L477" s="122"/>
      <c r="M477" s="122"/>
      <c r="N477" s="122"/>
      <c r="O477" s="122"/>
      <c r="P477" s="122"/>
      <c r="Q477" s="311"/>
      <c r="R477" s="287" t="s">
        <v>149</v>
      </c>
      <c r="S477" s="122"/>
      <c r="T477" s="122"/>
      <c r="U477" s="281"/>
      <c r="V477" s="282"/>
      <c r="W477" s="283"/>
      <c r="Y477" s="91"/>
      <c r="AO477" s="91"/>
      <c r="BX477" s="91"/>
    </row>
    <row r="478" spans="1:76" s="55" customFormat="1" ht="14.25" x14ac:dyDescent="0.2">
      <c r="B478" s="23"/>
      <c r="C478" s="122"/>
      <c r="D478" s="122"/>
      <c r="E478" s="122"/>
      <c r="F478" s="122"/>
      <c r="G478" s="122"/>
      <c r="H478" s="122"/>
      <c r="I478" s="122"/>
      <c r="J478" s="122"/>
      <c r="K478" s="122"/>
      <c r="L478" s="122"/>
      <c r="M478" s="122"/>
      <c r="N478" s="122"/>
      <c r="O478" s="122"/>
      <c r="P478" s="122"/>
      <c r="Q478" s="311"/>
      <c r="R478" s="122"/>
      <c r="S478" s="122"/>
      <c r="T478" s="122"/>
      <c r="U478" s="288"/>
      <c r="V478" s="289"/>
      <c r="W478" s="290"/>
      <c r="Y478" s="91"/>
      <c r="AO478" s="91"/>
      <c r="BX478" s="91"/>
    </row>
    <row r="479" spans="1:76" s="55" customFormat="1" ht="18" x14ac:dyDescent="0.25">
      <c r="B479" s="23"/>
      <c r="Q479" s="81"/>
      <c r="T479" s="122"/>
      <c r="U479" s="122"/>
      <c r="V479" s="122"/>
      <c r="W479" s="122"/>
      <c r="Y479" s="91"/>
      <c r="AO479" s="296"/>
      <c r="AP479" s="345"/>
      <c r="AQ479" s="345"/>
      <c r="AR479" s="346"/>
      <c r="AS479" s="346"/>
      <c r="AT479" s="346"/>
      <c r="AU479" s="346"/>
      <c r="AV479" s="346"/>
      <c r="AW479" s="346"/>
      <c r="AX479" s="346"/>
      <c r="AY479" s="346"/>
      <c r="AZ479" s="346"/>
      <c r="BA479" s="346"/>
      <c r="BB479" s="346"/>
      <c r="BC479" s="346"/>
      <c r="BD479" s="346"/>
      <c r="BE479" s="346"/>
      <c r="BF479" s="346"/>
      <c r="BG479" s="346"/>
      <c r="BH479" s="346"/>
      <c r="BI479" s="346"/>
      <c r="BJ479" s="346"/>
      <c r="BK479" s="346"/>
      <c r="BL479" s="346"/>
      <c r="BM479" s="346"/>
      <c r="BN479" s="346"/>
      <c r="BO479" s="346"/>
      <c r="BP479" s="346"/>
      <c r="BQ479" s="346"/>
      <c r="BR479" s="346"/>
      <c r="BS479" s="346"/>
      <c r="BT479" s="346"/>
      <c r="BU479" s="346"/>
      <c r="BV479" s="346"/>
      <c r="BW479" s="346"/>
      <c r="BX479" s="296"/>
    </row>
    <row r="480" spans="1:76" s="55" customFormat="1" ht="14.25" x14ac:dyDescent="0.2">
      <c r="B480" s="23"/>
      <c r="Q480" s="81"/>
      <c r="Y480" s="91"/>
      <c r="AO480" s="91"/>
      <c r="BX480" s="91"/>
    </row>
    <row r="481" spans="1:76" s="55" customFormat="1" ht="14.25" x14ac:dyDescent="0.2">
      <c r="B481" s="23"/>
      <c r="Q481" s="81"/>
      <c r="Y481" s="91"/>
      <c r="AO481" s="91"/>
      <c r="BX481" s="91"/>
    </row>
    <row r="482" spans="1:76" s="91" customFormat="1" ht="18" x14ac:dyDescent="0.25">
      <c r="A482" s="188">
        <f>A446+1</f>
        <v>11</v>
      </c>
      <c r="B482" s="189"/>
      <c r="C482" s="293" t="s">
        <v>321</v>
      </c>
      <c r="D482" s="328"/>
      <c r="E482" s="328"/>
      <c r="F482" s="328"/>
      <c r="G482" s="328"/>
      <c r="J482" s="328"/>
      <c r="K482" s="328"/>
      <c r="L482" s="139"/>
      <c r="M482" s="139"/>
      <c r="N482" s="139"/>
      <c r="Q482" s="347"/>
      <c r="R482" s="194" t="s">
        <v>93</v>
      </c>
      <c r="S482" s="194"/>
      <c r="T482" s="194"/>
      <c r="U482" s="194"/>
      <c r="AP482" s="295">
        <f>A482</f>
        <v>11</v>
      </c>
      <c r="AQ482" s="295" t="str">
        <f>C482</f>
        <v>SOLUTION Revenue from Increased Milk Yield</v>
      </c>
      <c r="AR482" s="296"/>
      <c r="AS482" s="296"/>
      <c r="AT482" s="296"/>
      <c r="AU482" s="296"/>
      <c r="AV482" s="296"/>
      <c r="AW482" s="296"/>
      <c r="AX482" s="296"/>
      <c r="AY482" s="296"/>
      <c r="AZ482" s="296"/>
      <c r="BA482" s="296"/>
      <c r="BB482" s="296"/>
      <c r="BC482" s="296"/>
      <c r="BD482" s="296"/>
      <c r="BE482" s="296"/>
      <c r="BF482" s="296"/>
      <c r="BG482" s="296"/>
      <c r="BH482" s="296"/>
      <c r="BI482" s="296"/>
      <c r="BJ482" s="296"/>
      <c r="BK482" s="296"/>
      <c r="BL482" s="296"/>
      <c r="BM482" s="296"/>
      <c r="BN482" s="296"/>
      <c r="BO482" s="296"/>
      <c r="BP482" s="296"/>
      <c r="BQ482" s="296"/>
      <c r="BR482" s="296"/>
      <c r="BS482" s="296"/>
      <c r="BT482" s="296"/>
      <c r="BU482" s="296"/>
      <c r="BV482" s="296"/>
      <c r="BW482" s="296"/>
    </row>
    <row r="483" spans="1:76" s="55" customFormat="1" x14ac:dyDescent="0.25">
      <c r="A483" s="195"/>
      <c r="B483" s="196"/>
      <c r="C483" s="195"/>
      <c r="D483" s="120"/>
      <c r="E483" s="120"/>
      <c r="F483" s="120"/>
      <c r="G483" s="120"/>
      <c r="J483" s="120"/>
      <c r="K483" s="120"/>
      <c r="L483" s="122"/>
      <c r="M483" s="122"/>
      <c r="N483" s="122"/>
      <c r="Q483" s="81"/>
      <c r="Y483" s="91"/>
      <c r="AO483" s="91"/>
      <c r="AP483" s="28"/>
      <c r="AQ483" s="28"/>
      <c r="AR483" s="28"/>
      <c r="AS483" s="28"/>
      <c r="AT483" s="198" t="s">
        <v>171</v>
      </c>
      <c r="AU483" s="198"/>
      <c r="AV483" s="28"/>
      <c r="AW483" s="198" t="s">
        <v>96</v>
      </c>
      <c r="AX483" s="198"/>
      <c r="AY483" s="28"/>
      <c r="AZ483" s="198" t="s">
        <v>97</v>
      </c>
      <c r="BA483" s="198"/>
      <c r="BB483" s="28"/>
      <c r="BC483" s="198" t="s">
        <v>98</v>
      </c>
      <c r="BD483" s="198"/>
      <c r="BE483" s="28"/>
      <c r="BF483" s="198" t="s">
        <v>99</v>
      </c>
      <c r="BG483" s="198"/>
      <c r="BH483" s="28"/>
      <c r="BI483" s="198" t="s">
        <v>100</v>
      </c>
      <c r="BJ483" s="198"/>
      <c r="BK483" s="28"/>
      <c r="BL483" s="198" t="s">
        <v>101</v>
      </c>
      <c r="BM483" s="198"/>
      <c r="BN483" s="28"/>
      <c r="BO483" s="198" t="s">
        <v>102</v>
      </c>
      <c r="BP483" s="198"/>
      <c r="BQ483" s="28"/>
      <c r="BR483" s="198" t="s">
        <v>103</v>
      </c>
      <c r="BS483" s="198"/>
      <c r="BT483" s="28"/>
      <c r="BU483" s="198" t="s">
        <v>104</v>
      </c>
      <c r="BV483" s="198"/>
      <c r="BW483" s="28"/>
      <c r="BX483" s="91"/>
    </row>
    <row r="484" spans="1:76" s="55" customFormat="1" ht="30.75" thickBot="1" x14ac:dyDescent="0.3">
      <c r="A484" s="199" t="s">
        <v>105</v>
      </c>
      <c r="B484" s="200" t="s">
        <v>106</v>
      </c>
      <c r="C484" s="201" t="s">
        <v>107</v>
      </c>
      <c r="D484" s="202" t="s">
        <v>108</v>
      </c>
      <c r="E484" s="202" t="s">
        <v>109</v>
      </c>
      <c r="F484" s="201" t="s">
        <v>110</v>
      </c>
      <c r="G484" s="201" t="s">
        <v>111</v>
      </c>
      <c r="H484" s="202" t="s">
        <v>112</v>
      </c>
      <c r="I484" s="203" t="s">
        <v>113</v>
      </c>
      <c r="J484" s="204" t="s">
        <v>114</v>
      </c>
      <c r="K484" s="205" t="s">
        <v>115</v>
      </c>
      <c r="L484" s="302" t="s">
        <v>116</v>
      </c>
      <c r="M484" s="207" t="s">
        <v>117</v>
      </c>
      <c r="N484" s="208" t="s">
        <v>118</v>
      </c>
      <c r="O484" s="208" t="s">
        <v>119</v>
      </c>
      <c r="P484" s="210"/>
      <c r="Q484" s="211" t="s">
        <v>120</v>
      </c>
      <c r="R484" s="212" t="s">
        <v>121</v>
      </c>
      <c r="S484" s="212" t="s">
        <v>122</v>
      </c>
      <c r="T484" s="212" t="s">
        <v>123</v>
      </c>
      <c r="U484" s="213" t="s">
        <v>124</v>
      </c>
      <c r="V484" s="210"/>
      <c r="W484" s="210"/>
      <c r="Y484" s="91"/>
      <c r="AO484" s="91"/>
      <c r="AP484" s="210"/>
      <c r="AQ484" s="210"/>
      <c r="AR484" s="213" t="s">
        <v>125</v>
      </c>
      <c r="AS484" s="210"/>
      <c r="AT484" s="215" t="s">
        <v>121</v>
      </c>
      <c r="AU484" s="215" t="s">
        <v>122</v>
      </c>
      <c r="AV484" s="210"/>
      <c r="AW484" s="215" t="s">
        <v>121</v>
      </c>
      <c r="AX484" s="215" t="s">
        <v>122</v>
      </c>
      <c r="AY484" s="210"/>
      <c r="AZ484" s="215" t="s">
        <v>121</v>
      </c>
      <c r="BA484" s="215" t="s">
        <v>122</v>
      </c>
      <c r="BB484" s="210"/>
      <c r="BC484" s="215" t="s">
        <v>121</v>
      </c>
      <c r="BD484" s="215" t="s">
        <v>122</v>
      </c>
      <c r="BE484" s="210"/>
      <c r="BF484" s="215" t="s">
        <v>121</v>
      </c>
      <c r="BG484" s="215" t="s">
        <v>122</v>
      </c>
      <c r="BH484" s="210"/>
      <c r="BI484" s="215" t="s">
        <v>121</v>
      </c>
      <c r="BJ484" s="215" t="s">
        <v>122</v>
      </c>
      <c r="BK484" s="210"/>
      <c r="BL484" s="215" t="s">
        <v>121</v>
      </c>
      <c r="BM484" s="215" t="s">
        <v>122</v>
      </c>
      <c r="BN484" s="210"/>
      <c r="BO484" s="215" t="s">
        <v>121</v>
      </c>
      <c r="BP484" s="215" t="s">
        <v>122</v>
      </c>
      <c r="BQ484" s="210"/>
      <c r="BR484" s="215" t="s">
        <v>121</v>
      </c>
      <c r="BS484" s="215" t="s">
        <v>122</v>
      </c>
      <c r="BT484" s="210"/>
      <c r="BU484" s="215" t="s">
        <v>121</v>
      </c>
      <c r="BV484" s="215" t="s">
        <v>122</v>
      </c>
      <c r="BW484" s="210"/>
      <c r="BX484" s="91"/>
    </row>
    <row r="485" spans="1:76" s="55" customFormat="1" x14ac:dyDescent="0.25">
      <c r="A485" s="195">
        <v>1</v>
      </c>
      <c r="B485" s="216" t="str">
        <f t="shared" ref="B485:B504" si="353">CONCATENATE(E485,": ",C485)</f>
        <v>OECD90: Santos et al. 2010. Effects of an addition of an essential oil complex to the diet of lactating dairy cows on whole tract digestion of nutrients and productive performance</v>
      </c>
      <c r="C485" s="221" t="s">
        <v>322</v>
      </c>
      <c r="D485" s="221" t="s">
        <v>323</v>
      </c>
      <c r="E485" s="219" t="s">
        <v>96</v>
      </c>
      <c r="F485" s="219" t="s">
        <v>324</v>
      </c>
      <c r="G485" s="240" t="s">
        <v>24</v>
      </c>
      <c r="H485" s="221">
        <v>2009</v>
      </c>
      <c r="I485" s="220"/>
      <c r="J485" s="348">
        <f>L1589</f>
        <v>14.599999999998545</v>
      </c>
      <c r="K485" s="217" t="s">
        <v>325</v>
      </c>
      <c r="L485" s="334">
        <f>102/(J485*0.032)</f>
        <v>218.32191780824095</v>
      </c>
      <c r="M485" s="225" t="str">
        <f t="shared" ref="M485:M504" si="354">CONCATENATE("US2014$/",AdoptionUnitOfMeasure)</f>
        <v>US2014$/kg of protein</v>
      </c>
      <c r="N485" s="227">
        <v>0.77</v>
      </c>
      <c r="O485" s="349" t="s">
        <v>326</v>
      </c>
      <c r="P485" s="122"/>
      <c r="Q485" s="228" t="s">
        <v>327</v>
      </c>
      <c r="R485" s="231" t="str">
        <f>IF(Q485="Y","",IF(AND(L485="",J485=""),"",IF(L485="",J485,L485)))</f>
        <v/>
      </c>
      <c r="S485" s="230" t="str">
        <f t="shared" ref="S485:S504" si="355">IF(R485="","",IF($R$513="Y",T485,IF(R485&gt;=$R$505-$AA$35*$R$509,IF(R485&lt;=$R$505+$AA$35*$R$509,R485,""),"")))</f>
        <v/>
      </c>
      <c r="T485" s="231" t="str">
        <f>IF(OR(Q485="Y",IFERROR(R485&gt;R505+R509*$AA$35,0),IFERROR(R485&lt;R505-R509*$AA$35,0)),"",IFERROR(R485*N485,""))</f>
        <v/>
      </c>
      <c r="U485" s="232" t="str">
        <f t="shared" ref="U485:U504" si="356">IF(AND(M485="",K485=""),"",IF(M485="",K485,M485))</f>
        <v>US2014$/kg of protein</v>
      </c>
      <c r="V485" s="28"/>
      <c r="W485" s="28"/>
      <c r="Y485" s="91"/>
      <c r="AO485" s="91"/>
      <c r="AP485" s="28"/>
      <c r="AQ485" s="28"/>
      <c r="AR485" s="233" t="str">
        <f>$U485</f>
        <v>US2014$/kg of protein</v>
      </c>
      <c r="AS485" s="28"/>
      <c r="AT485" s="304" t="str">
        <f>IF($E485=$AT$47,R485,"")</f>
        <v/>
      </c>
      <c r="AU485" s="304" t="str">
        <f>IF($E485=$AT$47,S485,"")</f>
        <v/>
      </c>
      <c r="AV485" s="28"/>
      <c r="AW485" s="304" t="str">
        <f t="shared" ref="AW485:AX504" si="357">IF($E485=$AW$83,R485,"")</f>
        <v/>
      </c>
      <c r="AX485" s="304" t="str">
        <f t="shared" si="357"/>
        <v/>
      </c>
      <c r="AY485" s="28"/>
      <c r="AZ485" s="304" t="str">
        <f t="shared" ref="AZ485:BA504" si="358">IF($E485=$AZ$83,R485,"")</f>
        <v/>
      </c>
      <c r="BA485" s="304" t="str">
        <f t="shared" si="358"/>
        <v/>
      </c>
      <c r="BB485" s="28"/>
      <c r="BC485" s="304" t="str">
        <f t="shared" ref="BC485:BD504" si="359">IF($E485=$BC$83,R485,"")</f>
        <v/>
      </c>
      <c r="BD485" s="304" t="str">
        <f t="shared" si="359"/>
        <v/>
      </c>
      <c r="BE485" s="28"/>
      <c r="BF485" s="304" t="str">
        <f t="shared" ref="BF485:BG504" si="360">IF($E485=$BF$83,R485,"")</f>
        <v/>
      </c>
      <c r="BG485" s="304" t="str">
        <f t="shared" si="360"/>
        <v/>
      </c>
      <c r="BH485" s="28"/>
      <c r="BI485" s="304" t="str">
        <f t="shared" ref="BI485:BJ504" si="361">IF($E485=$BI$83,R485,"")</f>
        <v/>
      </c>
      <c r="BJ485" s="304" t="str">
        <f t="shared" si="361"/>
        <v/>
      </c>
      <c r="BK485" s="28"/>
      <c r="BL485" s="304" t="str">
        <f t="shared" ref="BL485:BM504" si="362">IF($E485=$BL$83,R485,"")</f>
        <v/>
      </c>
      <c r="BM485" s="304" t="str">
        <f t="shared" si="362"/>
        <v/>
      </c>
      <c r="BN485" s="28"/>
      <c r="BO485" s="304" t="str">
        <f t="shared" ref="BO485:BP504" si="363">IF($E485=$BO$83,R485,"")</f>
        <v/>
      </c>
      <c r="BP485" s="304" t="str">
        <f t="shared" si="363"/>
        <v/>
      </c>
      <c r="BQ485" s="28"/>
      <c r="BR485" s="304" t="str">
        <f t="shared" ref="BR485:BS504" si="364">IF($E485=$BR$83,R485,"")</f>
        <v/>
      </c>
      <c r="BS485" s="304" t="str">
        <f t="shared" si="364"/>
        <v/>
      </c>
      <c r="BT485" s="28"/>
      <c r="BU485" s="304" t="str">
        <f t="shared" ref="BU485:BV504" si="365">IF($E485=$BU$83,R485,"")</f>
        <v/>
      </c>
      <c r="BV485" s="304" t="str">
        <f t="shared" si="365"/>
        <v/>
      </c>
      <c r="BW485" s="28"/>
      <c r="BX485" s="91"/>
    </row>
    <row r="486" spans="1:76" s="55" customFormat="1" x14ac:dyDescent="0.25">
      <c r="A486" s="195">
        <v>2</v>
      </c>
      <c r="B486" s="216" t="str">
        <f t="shared" si="353"/>
        <v>OECD90: Hart et atl. 2019. An Essential Oil Blend Decreases Methane Emissions and Increases Milk Yield in Dairy Cows</v>
      </c>
      <c r="C486" s="219" t="s">
        <v>328</v>
      </c>
      <c r="D486" s="219" t="s">
        <v>329</v>
      </c>
      <c r="E486" s="219" t="s">
        <v>96</v>
      </c>
      <c r="F486" s="219" t="s">
        <v>330</v>
      </c>
      <c r="G486" s="240" t="s">
        <v>24</v>
      </c>
      <c r="H486" s="221">
        <v>2019</v>
      </c>
      <c r="I486" s="220"/>
      <c r="J486" s="348">
        <f t="shared" ref="J486:J503" si="366">L1590</f>
        <v>1058.5</v>
      </c>
      <c r="K486" s="217" t="s">
        <v>325</v>
      </c>
      <c r="L486" s="334">
        <f t="shared" ref="L486:L503" si="367">102/(J486*0.032)</f>
        <v>3.0113367973547471</v>
      </c>
      <c r="M486" s="225" t="str">
        <f t="shared" si="354"/>
        <v>US2014$/kg of protein</v>
      </c>
      <c r="N486" s="227">
        <v>0.77</v>
      </c>
      <c r="O486" s="350" t="s">
        <v>331</v>
      </c>
      <c r="P486" s="122"/>
      <c r="Q486" s="228"/>
      <c r="R486" s="231">
        <f t="shared" ref="R486:R504" si="368">IF(Q486="Y","",IF(AND(L486="",J486=""),"",IF(L486="",J486,L486)))</f>
        <v>3.0113367973547471</v>
      </c>
      <c r="S486" s="230">
        <f t="shared" si="355"/>
        <v>2.3187293339631552</v>
      </c>
      <c r="T486" s="231">
        <f>IF(OR(Q486="Y",IFERROR(R486&gt;R505+R509*$AA$35,0),IFERROR(R486&lt;R505-R509*$AA$35,0)),"",IFERROR(R486*N486,""))</f>
        <v>2.3187293339631552</v>
      </c>
      <c r="U486" s="232" t="str">
        <f t="shared" si="356"/>
        <v>US2014$/kg of protein</v>
      </c>
      <c r="V486" s="28"/>
      <c r="W486" s="28"/>
      <c r="Y486" s="91"/>
      <c r="AO486" s="91"/>
      <c r="AP486" s="28"/>
      <c r="AQ486" s="28"/>
      <c r="AR486" s="237"/>
      <c r="AS486" s="28"/>
      <c r="AT486" s="304" t="str">
        <f t="shared" ref="AT486:AU504" si="369">IF($E486=$AT$47,R486,"")</f>
        <v/>
      </c>
      <c r="AU486" s="304" t="str">
        <f t="shared" si="369"/>
        <v/>
      </c>
      <c r="AV486" s="28"/>
      <c r="AW486" s="304">
        <f t="shared" si="357"/>
        <v>3.0113367973547471</v>
      </c>
      <c r="AX486" s="304">
        <f t="shared" si="357"/>
        <v>2.3187293339631552</v>
      </c>
      <c r="AY486" s="28"/>
      <c r="AZ486" s="304" t="str">
        <f t="shared" si="358"/>
        <v/>
      </c>
      <c r="BA486" s="304" t="str">
        <f t="shared" si="358"/>
        <v/>
      </c>
      <c r="BB486" s="28"/>
      <c r="BC486" s="304" t="str">
        <f t="shared" si="359"/>
        <v/>
      </c>
      <c r="BD486" s="304" t="str">
        <f t="shared" si="359"/>
        <v/>
      </c>
      <c r="BE486" s="28"/>
      <c r="BF486" s="304" t="str">
        <f t="shared" si="360"/>
        <v/>
      </c>
      <c r="BG486" s="304" t="str">
        <f t="shared" si="360"/>
        <v/>
      </c>
      <c r="BH486" s="28"/>
      <c r="BI486" s="304" t="str">
        <f t="shared" si="361"/>
        <v/>
      </c>
      <c r="BJ486" s="304" t="str">
        <f t="shared" si="361"/>
        <v/>
      </c>
      <c r="BK486" s="28"/>
      <c r="BL486" s="304" t="str">
        <f t="shared" si="362"/>
        <v/>
      </c>
      <c r="BM486" s="304" t="str">
        <f t="shared" si="362"/>
        <v/>
      </c>
      <c r="BN486" s="28"/>
      <c r="BO486" s="304" t="str">
        <f t="shared" si="363"/>
        <v/>
      </c>
      <c r="BP486" s="304" t="str">
        <f t="shared" si="363"/>
        <v/>
      </c>
      <c r="BQ486" s="28"/>
      <c r="BR486" s="304" t="str">
        <f t="shared" si="364"/>
        <v/>
      </c>
      <c r="BS486" s="304" t="str">
        <f t="shared" si="364"/>
        <v/>
      </c>
      <c r="BT486" s="28"/>
      <c r="BU486" s="304" t="str">
        <f t="shared" si="365"/>
        <v/>
      </c>
      <c r="BV486" s="304" t="str">
        <f t="shared" si="365"/>
        <v/>
      </c>
      <c r="BW486" s="28"/>
      <c r="BX486" s="91"/>
    </row>
    <row r="487" spans="1:76" s="55" customFormat="1" x14ac:dyDescent="0.25">
      <c r="A487" s="195">
        <v>3</v>
      </c>
      <c r="B487" s="216" t="str">
        <f>CONCATENATE(E487,": ",C487)</f>
        <v>OECD90: Klop et al. 2016. Changes in in vitro gas and methane production from rumen fluid from dairy cows during adaptation to feed addditives</v>
      </c>
      <c r="C487" s="221" t="s">
        <v>332</v>
      </c>
      <c r="D487" s="221" t="s">
        <v>333</v>
      </c>
      <c r="E487" s="221" t="s">
        <v>96</v>
      </c>
      <c r="F487" s="221" t="s">
        <v>334</v>
      </c>
      <c r="G487" s="240" t="s">
        <v>24</v>
      </c>
      <c r="H487" s="221">
        <v>2016</v>
      </c>
      <c r="I487" s="240"/>
      <c r="J487" s="348">
        <f t="shared" si="366"/>
        <v>292</v>
      </c>
      <c r="K487" s="217" t="s">
        <v>325</v>
      </c>
      <c r="L487" s="334">
        <f t="shared" si="367"/>
        <v>10.91609589041096</v>
      </c>
      <c r="M487" s="225" t="str">
        <f t="shared" si="354"/>
        <v>US2014$/kg of protein</v>
      </c>
      <c r="N487" s="227">
        <v>0.77</v>
      </c>
      <c r="O487" s="350" t="s">
        <v>331</v>
      </c>
      <c r="P487" s="122"/>
      <c r="Q487" s="228"/>
      <c r="R487" s="231">
        <f t="shared" si="368"/>
        <v>10.91609589041096</v>
      </c>
      <c r="S487" s="230">
        <f t="shared" si="355"/>
        <v>8.4053938356164384</v>
      </c>
      <c r="T487" s="231">
        <f>IF(OR(Q487="Y",IFERROR(R487&gt;R505+R509*$AA$35,0),IFERROR(R487&lt;R505-R509*$AA$35,0)),"",IFERROR(R487*N487,""))</f>
        <v>8.4053938356164384</v>
      </c>
      <c r="U487" s="232" t="str">
        <f t="shared" si="356"/>
        <v>US2014$/kg of protein</v>
      </c>
      <c r="V487" s="28"/>
      <c r="W487" s="28"/>
      <c r="Y487" s="91"/>
      <c r="AO487" s="91"/>
      <c r="AP487" s="28"/>
      <c r="AQ487" s="28"/>
      <c r="AR487" s="237"/>
      <c r="AS487" s="28"/>
      <c r="AT487" s="304" t="str">
        <f t="shared" si="369"/>
        <v/>
      </c>
      <c r="AU487" s="304" t="str">
        <f t="shared" si="369"/>
        <v/>
      </c>
      <c r="AV487" s="28"/>
      <c r="AW487" s="304">
        <f t="shared" si="357"/>
        <v>10.91609589041096</v>
      </c>
      <c r="AX487" s="304">
        <f t="shared" si="357"/>
        <v>8.4053938356164384</v>
      </c>
      <c r="AY487" s="28"/>
      <c r="AZ487" s="304" t="str">
        <f t="shared" si="358"/>
        <v/>
      </c>
      <c r="BA487" s="304" t="str">
        <f t="shared" si="358"/>
        <v/>
      </c>
      <c r="BB487" s="28"/>
      <c r="BC487" s="304" t="str">
        <f t="shared" si="359"/>
        <v/>
      </c>
      <c r="BD487" s="304" t="str">
        <f t="shared" si="359"/>
        <v/>
      </c>
      <c r="BE487" s="28"/>
      <c r="BF487" s="304" t="str">
        <f t="shared" si="360"/>
        <v/>
      </c>
      <c r="BG487" s="304" t="str">
        <f t="shared" si="360"/>
        <v/>
      </c>
      <c r="BH487" s="28"/>
      <c r="BI487" s="304" t="str">
        <f t="shared" si="361"/>
        <v/>
      </c>
      <c r="BJ487" s="304" t="str">
        <f t="shared" si="361"/>
        <v/>
      </c>
      <c r="BK487" s="28"/>
      <c r="BL487" s="304" t="str">
        <f t="shared" si="362"/>
        <v/>
      </c>
      <c r="BM487" s="304" t="str">
        <f t="shared" si="362"/>
        <v/>
      </c>
      <c r="BN487" s="28"/>
      <c r="BO487" s="304" t="str">
        <f t="shared" si="363"/>
        <v/>
      </c>
      <c r="BP487" s="304" t="str">
        <f t="shared" si="363"/>
        <v/>
      </c>
      <c r="BQ487" s="28"/>
      <c r="BR487" s="304" t="str">
        <f t="shared" si="364"/>
        <v/>
      </c>
      <c r="BS487" s="304" t="str">
        <f t="shared" si="364"/>
        <v/>
      </c>
      <c r="BT487" s="28"/>
      <c r="BU487" s="304" t="str">
        <f t="shared" si="365"/>
        <v/>
      </c>
      <c r="BV487" s="304" t="str">
        <f t="shared" si="365"/>
        <v/>
      </c>
      <c r="BW487" s="28"/>
      <c r="BX487" s="91"/>
    </row>
    <row r="488" spans="1:76" s="55" customFormat="1" x14ac:dyDescent="0.25">
      <c r="A488" s="195">
        <v>4</v>
      </c>
      <c r="B488" s="216" t="str">
        <f t="shared" si="353"/>
        <v>OECD90: Elcoso et al. Effects of a blend of essential oils on milk yield and feed efficiency of lactating dairy cows</v>
      </c>
      <c r="C488" s="221" t="s">
        <v>335</v>
      </c>
      <c r="D488" s="221" t="s">
        <v>336</v>
      </c>
      <c r="E488" s="221" t="s">
        <v>96</v>
      </c>
      <c r="F488" s="221" t="s">
        <v>337</v>
      </c>
      <c r="G488" s="240" t="s">
        <v>24</v>
      </c>
      <c r="H488" s="221">
        <v>2019</v>
      </c>
      <c r="I488" s="240"/>
      <c r="J488" s="348">
        <f t="shared" si="366"/>
        <v>401.5</v>
      </c>
      <c r="K488" s="217" t="s">
        <v>325</v>
      </c>
      <c r="L488" s="334">
        <f t="shared" si="367"/>
        <v>7.9389788293897876</v>
      </c>
      <c r="M488" s="225" t="str">
        <f t="shared" si="354"/>
        <v>US2014$/kg of protein</v>
      </c>
      <c r="N488" s="227">
        <v>0.77</v>
      </c>
      <c r="O488" s="350" t="s">
        <v>331</v>
      </c>
      <c r="P488" s="122"/>
      <c r="Q488" s="228"/>
      <c r="R488" s="231">
        <f t="shared" si="368"/>
        <v>7.9389788293897876</v>
      </c>
      <c r="S488" s="230">
        <f t="shared" si="355"/>
        <v>6.1130136986301364</v>
      </c>
      <c r="T488" s="231">
        <f>IF(OR(Q488="Y",IFERROR(R488&gt;R505+R509*$AA$35,0),IFERROR(R488&lt;R505-R509*$AA$35,0)),"",IFERROR(R488*N488,""))</f>
        <v>6.1130136986301364</v>
      </c>
      <c r="U488" s="232" t="str">
        <f t="shared" si="356"/>
        <v>US2014$/kg of protein</v>
      </c>
      <c r="V488" s="28"/>
      <c r="W488" s="28"/>
      <c r="Y488" s="91"/>
      <c r="AO488" s="91"/>
      <c r="AP488" s="28"/>
      <c r="AQ488" s="28"/>
      <c r="AR488" s="237"/>
      <c r="AS488" s="28"/>
      <c r="AT488" s="304" t="str">
        <f t="shared" si="369"/>
        <v/>
      </c>
      <c r="AU488" s="304" t="str">
        <f t="shared" si="369"/>
        <v/>
      </c>
      <c r="AV488" s="28"/>
      <c r="AW488" s="304">
        <f t="shared" si="357"/>
        <v>7.9389788293897876</v>
      </c>
      <c r="AX488" s="304">
        <f t="shared" si="357"/>
        <v>6.1130136986301364</v>
      </c>
      <c r="AY488" s="28"/>
      <c r="AZ488" s="304" t="str">
        <f t="shared" si="358"/>
        <v/>
      </c>
      <c r="BA488" s="304" t="str">
        <f t="shared" si="358"/>
        <v/>
      </c>
      <c r="BB488" s="28"/>
      <c r="BC488" s="304" t="str">
        <f t="shared" si="359"/>
        <v/>
      </c>
      <c r="BD488" s="304" t="str">
        <f t="shared" si="359"/>
        <v/>
      </c>
      <c r="BE488" s="28"/>
      <c r="BF488" s="304" t="str">
        <f t="shared" si="360"/>
        <v/>
      </c>
      <c r="BG488" s="304" t="str">
        <f t="shared" si="360"/>
        <v/>
      </c>
      <c r="BH488" s="28"/>
      <c r="BI488" s="304" t="str">
        <f t="shared" si="361"/>
        <v/>
      </c>
      <c r="BJ488" s="304" t="str">
        <f t="shared" si="361"/>
        <v/>
      </c>
      <c r="BK488" s="28"/>
      <c r="BL488" s="304" t="str">
        <f t="shared" si="362"/>
        <v/>
      </c>
      <c r="BM488" s="304" t="str">
        <f t="shared" si="362"/>
        <v/>
      </c>
      <c r="BN488" s="28"/>
      <c r="BO488" s="304" t="str">
        <f t="shared" si="363"/>
        <v/>
      </c>
      <c r="BP488" s="304" t="str">
        <f t="shared" si="363"/>
        <v/>
      </c>
      <c r="BQ488" s="28"/>
      <c r="BR488" s="304" t="str">
        <f t="shared" si="364"/>
        <v/>
      </c>
      <c r="BS488" s="304" t="str">
        <f t="shared" si="364"/>
        <v/>
      </c>
      <c r="BT488" s="28"/>
      <c r="BU488" s="304" t="str">
        <f t="shared" si="365"/>
        <v/>
      </c>
      <c r="BV488" s="304" t="str">
        <f t="shared" si="365"/>
        <v/>
      </c>
      <c r="BW488" s="28"/>
      <c r="BX488" s="91"/>
    </row>
    <row r="489" spans="1:76" s="55" customFormat="1" x14ac:dyDescent="0.25">
      <c r="A489" s="195">
        <v>5</v>
      </c>
      <c r="B489" s="216" t="str">
        <f t="shared" si="353"/>
        <v>OECD90: Guasch et al. 2016. Effects of a blend of essential oils on milk yield and feed efficiency of lactating cows</v>
      </c>
      <c r="C489" s="221" t="s">
        <v>338</v>
      </c>
      <c r="D489" s="221" t="s">
        <v>339</v>
      </c>
      <c r="E489" s="221" t="s">
        <v>96</v>
      </c>
      <c r="F489" s="221" t="s">
        <v>337</v>
      </c>
      <c r="G489" s="240" t="s">
        <v>24</v>
      </c>
      <c r="H489" s="221">
        <v>2016</v>
      </c>
      <c r="I489" s="240"/>
      <c r="J489" s="348">
        <f t="shared" si="366"/>
        <v>511</v>
      </c>
      <c r="K489" s="217" t="s">
        <v>325</v>
      </c>
      <c r="L489" s="334">
        <f t="shared" si="367"/>
        <v>6.2377690802348331</v>
      </c>
      <c r="M489" s="225" t="str">
        <f t="shared" si="354"/>
        <v>US2014$/kg of protein</v>
      </c>
      <c r="N489" s="227">
        <v>0.77</v>
      </c>
      <c r="O489" s="350" t="s">
        <v>340</v>
      </c>
      <c r="P489" s="122"/>
      <c r="Q489" s="228"/>
      <c r="R489" s="231">
        <f t="shared" si="368"/>
        <v>6.2377690802348331</v>
      </c>
      <c r="S489" s="230">
        <f t="shared" si="355"/>
        <v>4.8030821917808213</v>
      </c>
      <c r="T489" s="231">
        <f>IF(OR(Q489="Y",IFERROR(R489&gt;R505+R509*$AA$35,0),IFERROR(R489&lt;R505-R509*$AA$35,0)),"",IFERROR(R489*N489,""))</f>
        <v>4.8030821917808213</v>
      </c>
      <c r="U489" s="232" t="str">
        <f t="shared" si="356"/>
        <v>US2014$/kg of protein</v>
      </c>
      <c r="V489" s="28"/>
      <c r="W489" s="28"/>
      <c r="Y489" s="91"/>
      <c r="AO489" s="91"/>
      <c r="AP489" s="28"/>
      <c r="AQ489" s="28"/>
      <c r="AR489" s="237"/>
      <c r="AS489" s="28"/>
      <c r="AT489" s="304" t="str">
        <f t="shared" si="369"/>
        <v/>
      </c>
      <c r="AU489" s="304" t="str">
        <f t="shared" si="369"/>
        <v/>
      </c>
      <c r="AV489" s="28"/>
      <c r="AW489" s="304">
        <f t="shared" si="357"/>
        <v>6.2377690802348331</v>
      </c>
      <c r="AX489" s="304">
        <f t="shared" si="357"/>
        <v>4.8030821917808213</v>
      </c>
      <c r="AY489" s="28"/>
      <c r="AZ489" s="304" t="str">
        <f t="shared" si="358"/>
        <v/>
      </c>
      <c r="BA489" s="304" t="str">
        <f t="shared" si="358"/>
        <v/>
      </c>
      <c r="BB489" s="28"/>
      <c r="BC489" s="304" t="str">
        <f t="shared" si="359"/>
        <v/>
      </c>
      <c r="BD489" s="304" t="str">
        <f t="shared" si="359"/>
        <v/>
      </c>
      <c r="BE489" s="28"/>
      <c r="BF489" s="304" t="str">
        <f t="shared" si="360"/>
        <v/>
      </c>
      <c r="BG489" s="304" t="str">
        <f t="shared" si="360"/>
        <v/>
      </c>
      <c r="BH489" s="28"/>
      <c r="BI489" s="304" t="str">
        <f t="shared" si="361"/>
        <v/>
      </c>
      <c r="BJ489" s="304" t="str">
        <f t="shared" si="361"/>
        <v/>
      </c>
      <c r="BK489" s="28"/>
      <c r="BL489" s="304" t="str">
        <f t="shared" si="362"/>
        <v/>
      </c>
      <c r="BM489" s="304" t="str">
        <f t="shared" si="362"/>
        <v/>
      </c>
      <c r="BN489" s="28"/>
      <c r="BO489" s="304" t="str">
        <f t="shared" si="363"/>
        <v/>
      </c>
      <c r="BP489" s="304" t="str">
        <f t="shared" si="363"/>
        <v/>
      </c>
      <c r="BQ489" s="28"/>
      <c r="BR489" s="304" t="str">
        <f t="shared" si="364"/>
        <v/>
      </c>
      <c r="BS489" s="304" t="str">
        <f t="shared" si="364"/>
        <v/>
      </c>
      <c r="BT489" s="28"/>
      <c r="BU489" s="304" t="str">
        <f t="shared" si="365"/>
        <v/>
      </c>
      <c r="BV489" s="304" t="str">
        <f t="shared" si="365"/>
        <v/>
      </c>
      <c r="BW489" s="28"/>
      <c r="BX489" s="91"/>
    </row>
    <row r="490" spans="1:76" s="55" customFormat="1" ht="15.75" x14ac:dyDescent="0.25">
      <c r="A490" s="195">
        <v>6</v>
      </c>
      <c r="B490" s="216" t="str">
        <f t="shared" si="353"/>
        <v>OECD90: Castro-Montoya et al. 2015. In vivo and in vitro effects of a blend of essential oils on rumen methane mitigation</v>
      </c>
      <c r="C490" s="221" t="s">
        <v>341</v>
      </c>
      <c r="D490" s="351" t="s">
        <v>342</v>
      </c>
      <c r="E490" s="221" t="s">
        <v>96</v>
      </c>
      <c r="F490" s="221" t="s">
        <v>343</v>
      </c>
      <c r="G490" s="240" t="s">
        <v>24</v>
      </c>
      <c r="H490" s="221">
        <v>2015</v>
      </c>
      <c r="I490" s="240"/>
      <c r="J490" s="348">
        <f t="shared" si="366"/>
        <v>109.5</v>
      </c>
      <c r="K490" s="217" t="s">
        <v>325</v>
      </c>
      <c r="L490" s="334">
        <f t="shared" si="367"/>
        <v>29.109589041095891</v>
      </c>
      <c r="M490" s="225" t="str">
        <f t="shared" si="354"/>
        <v>US2014$/kg of protein</v>
      </c>
      <c r="N490" s="227">
        <v>0.77</v>
      </c>
      <c r="O490" s="350" t="s">
        <v>344</v>
      </c>
      <c r="P490" s="122"/>
      <c r="Q490" s="228"/>
      <c r="R490" s="231">
        <f t="shared" si="368"/>
        <v>29.109589041095891</v>
      </c>
      <c r="S490" s="230">
        <f t="shared" si="355"/>
        <v>22.414383561643838</v>
      </c>
      <c r="T490" s="231">
        <f>IF(OR(Q490="Y",IFERROR(R490&gt;R505+R509*$AA$35,0),IFERROR(R490&lt;R505-R509*$AA$35,0)),"",IFERROR(R490*N490,""))</f>
        <v>22.414383561643838</v>
      </c>
      <c r="U490" s="232" t="str">
        <f t="shared" si="356"/>
        <v>US2014$/kg of protein</v>
      </c>
      <c r="V490" s="28"/>
      <c r="W490" s="28"/>
      <c r="Y490" s="91"/>
      <c r="AO490" s="91"/>
      <c r="AP490" s="28"/>
      <c r="AQ490" s="28"/>
      <c r="AR490" s="237"/>
      <c r="AS490" s="28"/>
      <c r="AT490" s="304" t="str">
        <f t="shared" si="369"/>
        <v/>
      </c>
      <c r="AU490" s="304" t="str">
        <f t="shared" si="369"/>
        <v/>
      </c>
      <c r="AV490" s="28"/>
      <c r="AW490" s="304">
        <f t="shared" si="357"/>
        <v>29.109589041095891</v>
      </c>
      <c r="AX490" s="304">
        <f t="shared" si="357"/>
        <v>22.414383561643838</v>
      </c>
      <c r="AY490" s="28"/>
      <c r="AZ490" s="304" t="str">
        <f t="shared" si="358"/>
        <v/>
      </c>
      <c r="BA490" s="304" t="str">
        <f t="shared" si="358"/>
        <v/>
      </c>
      <c r="BB490" s="28"/>
      <c r="BC490" s="304" t="str">
        <f t="shared" si="359"/>
        <v/>
      </c>
      <c r="BD490" s="304" t="str">
        <f t="shared" si="359"/>
        <v/>
      </c>
      <c r="BE490" s="28"/>
      <c r="BF490" s="304" t="str">
        <f t="shared" si="360"/>
        <v/>
      </c>
      <c r="BG490" s="304" t="str">
        <f t="shared" si="360"/>
        <v/>
      </c>
      <c r="BH490" s="28"/>
      <c r="BI490" s="304" t="str">
        <f t="shared" si="361"/>
        <v/>
      </c>
      <c r="BJ490" s="304" t="str">
        <f t="shared" si="361"/>
        <v/>
      </c>
      <c r="BK490" s="28"/>
      <c r="BL490" s="304" t="str">
        <f t="shared" si="362"/>
        <v/>
      </c>
      <c r="BM490" s="304" t="str">
        <f t="shared" si="362"/>
        <v/>
      </c>
      <c r="BN490" s="28"/>
      <c r="BO490" s="304" t="str">
        <f t="shared" si="363"/>
        <v/>
      </c>
      <c r="BP490" s="304" t="str">
        <f t="shared" si="363"/>
        <v/>
      </c>
      <c r="BQ490" s="28"/>
      <c r="BR490" s="304" t="str">
        <f t="shared" si="364"/>
        <v/>
      </c>
      <c r="BS490" s="304" t="str">
        <f t="shared" si="364"/>
        <v/>
      </c>
      <c r="BT490" s="28"/>
      <c r="BU490" s="304" t="str">
        <f t="shared" si="365"/>
        <v/>
      </c>
      <c r="BV490" s="304" t="str">
        <f t="shared" si="365"/>
        <v/>
      </c>
      <c r="BW490" s="28"/>
      <c r="BX490" s="91"/>
    </row>
    <row r="491" spans="1:76" s="55" customFormat="1" x14ac:dyDescent="0.25">
      <c r="A491" s="195">
        <v>7</v>
      </c>
      <c r="B491" s="216" t="str">
        <f t="shared" si="353"/>
        <v>OECD90: Veltman et al. 2018, A quantitative assessment of Beneficial Management Practices to reduce carbon and reactive nitrogen footprints and phosphorus losses on dairy farms in the US Great Lakes region</v>
      </c>
      <c r="C491" s="219" t="s">
        <v>345</v>
      </c>
      <c r="D491" s="352" t="s">
        <v>346</v>
      </c>
      <c r="E491" s="219" t="s">
        <v>96</v>
      </c>
      <c r="F491" s="352" t="s">
        <v>347</v>
      </c>
      <c r="G491" s="220" t="s">
        <v>24</v>
      </c>
      <c r="H491" s="221">
        <v>2018</v>
      </c>
      <c r="I491" s="240"/>
      <c r="J491" s="348">
        <f t="shared" si="366"/>
        <v>0</v>
      </c>
      <c r="K491" s="217" t="s">
        <v>325</v>
      </c>
      <c r="L491" s="334" t="e">
        <f t="shared" si="367"/>
        <v>#DIV/0!</v>
      </c>
      <c r="M491" s="225" t="str">
        <f t="shared" si="354"/>
        <v>US2014$/kg of protein</v>
      </c>
      <c r="N491" s="227">
        <v>0.77</v>
      </c>
      <c r="O491" s="349" t="s">
        <v>348</v>
      </c>
      <c r="P491" s="122"/>
      <c r="Q491" s="228" t="s">
        <v>327</v>
      </c>
      <c r="R491" s="231" t="str">
        <f t="shared" si="368"/>
        <v/>
      </c>
      <c r="S491" s="230" t="str">
        <f t="shared" si="355"/>
        <v/>
      </c>
      <c r="T491" s="231" t="str">
        <f>IF(OR(Q491="Y",IFERROR(R491&gt;R505+R509*$AA$35,0),IFERROR(R491&lt;R505-R509*$AA$35,0)),"",IFERROR(R491*N491,""))</f>
        <v/>
      </c>
      <c r="U491" s="232" t="str">
        <f t="shared" si="356"/>
        <v>US2014$/kg of protein</v>
      </c>
      <c r="V491" s="28"/>
      <c r="W491" s="28"/>
      <c r="Y491" s="91"/>
      <c r="AO491" s="91"/>
      <c r="AP491" s="28"/>
      <c r="AQ491" s="28"/>
      <c r="AR491" s="237"/>
      <c r="AS491" s="28"/>
      <c r="AT491" s="304" t="str">
        <f t="shared" si="369"/>
        <v/>
      </c>
      <c r="AU491" s="304" t="str">
        <f t="shared" si="369"/>
        <v/>
      </c>
      <c r="AV491" s="28"/>
      <c r="AW491" s="304" t="str">
        <f t="shared" si="357"/>
        <v/>
      </c>
      <c r="AX491" s="304" t="str">
        <f t="shared" si="357"/>
        <v/>
      </c>
      <c r="AY491" s="28"/>
      <c r="AZ491" s="304" t="str">
        <f t="shared" si="358"/>
        <v/>
      </c>
      <c r="BA491" s="304" t="str">
        <f t="shared" si="358"/>
        <v/>
      </c>
      <c r="BB491" s="28"/>
      <c r="BC491" s="304" t="str">
        <f t="shared" si="359"/>
        <v/>
      </c>
      <c r="BD491" s="304" t="str">
        <f t="shared" si="359"/>
        <v/>
      </c>
      <c r="BE491" s="28"/>
      <c r="BF491" s="304" t="str">
        <f t="shared" si="360"/>
        <v/>
      </c>
      <c r="BG491" s="304" t="str">
        <f t="shared" si="360"/>
        <v/>
      </c>
      <c r="BH491" s="28"/>
      <c r="BI491" s="304" t="str">
        <f t="shared" si="361"/>
        <v/>
      </c>
      <c r="BJ491" s="304" t="str">
        <f t="shared" si="361"/>
        <v/>
      </c>
      <c r="BK491" s="28"/>
      <c r="BL491" s="304" t="str">
        <f t="shared" si="362"/>
        <v/>
      </c>
      <c r="BM491" s="304" t="str">
        <f t="shared" si="362"/>
        <v/>
      </c>
      <c r="BN491" s="28"/>
      <c r="BO491" s="304" t="str">
        <f t="shared" si="363"/>
        <v/>
      </c>
      <c r="BP491" s="304" t="str">
        <f t="shared" si="363"/>
        <v/>
      </c>
      <c r="BQ491" s="28"/>
      <c r="BR491" s="304" t="str">
        <f t="shared" si="364"/>
        <v/>
      </c>
      <c r="BS491" s="304" t="str">
        <f t="shared" si="364"/>
        <v/>
      </c>
      <c r="BT491" s="28"/>
      <c r="BU491" s="304" t="str">
        <f t="shared" si="365"/>
        <v/>
      </c>
      <c r="BV491" s="304" t="str">
        <f t="shared" si="365"/>
        <v/>
      </c>
      <c r="BW491" s="28"/>
      <c r="BX491" s="91"/>
    </row>
    <row r="492" spans="1:76" s="55" customFormat="1" x14ac:dyDescent="0.25">
      <c r="A492" s="195">
        <v>8</v>
      </c>
      <c r="B492" s="216" t="str">
        <f t="shared" si="353"/>
        <v>OECD90: Veltman et al. 2018, A quantitative assessment of Beneficial Management Practices to reduce carbon and reactive nitrogen footprints and phosphorus losses on dairy farms in the US Great Lakes region</v>
      </c>
      <c r="C492" s="219" t="s">
        <v>345</v>
      </c>
      <c r="D492" s="352" t="s">
        <v>346</v>
      </c>
      <c r="E492" s="219" t="s">
        <v>96</v>
      </c>
      <c r="F492" s="352" t="s">
        <v>347</v>
      </c>
      <c r="G492" s="220" t="s">
        <v>24</v>
      </c>
      <c r="H492" s="221">
        <v>2018</v>
      </c>
      <c r="I492" s="240"/>
      <c r="J492" s="348">
        <f t="shared" si="366"/>
        <v>714.52499999999964</v>
      </c>
      <c r="K492" s="217" t="s">
        <v>325</v>
      </c>
      <c r="L492" s="334">
        <f t="shared" si="367"/>
        <v>4.4610055631363519</v>
      </c>
      <c r="M492" s="225" t="str">
        <f t="shared" si="354"/>
        <v>US2014$/kg of protein</v>
      </c>
      <c r="N492" s="227">
        <v>0.77</v>
      </c>
      <c r="O492" s="350" t="s">
        <v>349</v>
      </c>
      <c r="P492" s="122"/>
      <c r="Q492" s="228"/>
      <c r="R492" s="231">
        <f t="shared" si="368"/>
        <v>4.4610055631363519</v>
      </c>
      <c r="S492" s="230">
        <f t="shared" si="355"/>
        <v>3.434974283614991</v>
      </c>
      <c r="T492" s="231">
        <f>IF(OR(Q492="Y",IFERROR(R492&gt;R505+R509*$AA$35,0),IFERROR(R492&lt;R505-R509*$AA$35,0)),"",IFERROR(R492*N492,""))</f>
        <v>3.434974283614991</v>
      </c>
      <c r="U492" s="232" t="str">
        <f t="shared" si="356"/>
        <v>US2014$/kg of protein</v>
      </c>
      <c r="V492" s="28"/>
      <c r="W492" s="28"/>
      <c r="Y492" s="91"/>
      <c r="AO492" s="91"/>
      <c r="AP492" s="28"/>
      <c r="AQ492" s="28"/>
      <c r="AR492" s="237"/>
      <c r="AS492" s="28"/>
      <c r="AT492" s="304" t="str">
        <f t="shared" si="369"/>
        <v/>
      </c>
      <c r="AU492" s="304" t="str">
        <f t="shared" si="369"/>
        <v/>
      </c>
      <c r="AV492" s="28"/>
      <c r="AW492" s="304">
        <f t="shared" si="357"/>
        <v>4.4610055631363519</v>
      </c>
      <c r="AX492" s="304">
        <f t="shared" si="357"/>
        <v>3.434974283614991</v>
      </c>
      <c r="AY492" s="28"/>
      <c r="AZ492" s="304" t="str">
        <f t="shared" si="358"/>
        <v/>
      </c>
      <c r="BA492" s="304" t="str">
        <f t="shared" si="358"/>
        <v/>
      </c>
      <c r="BB492" s="28"/>
      <c r="BC492" s="304" t="str">
        <f t="shared" si="359"/>
        <v/>
      </c>
      <c r="BD492" s="304" t="str">
        <f t="shared" si="359"/>
        <v/>
      </c>
      <c r="BE492" s="28"/>
      <c r="BF492" s="304" t="str">
        <f t="shared" si="360"/>
        <v/>
      </c>
      <c r="BG492" s="304" t="str">
        <f t="shared" si="360"/>
        <v/>
      </c>
      <c r="BH492" s="28"/>
      <c r="BI492" s="304" t="str">
        <f t="shared" si="361"/>
        <v/>
      </c>
      <c r="BJ492" s="304" t="str">
        <f t="shared" si="361"/>
        <v/>
      </c>
      <c r="BK492" s="28"/>
      <c r="BL492" s="304" t="str">
        <f t="shared" si="362"/>
        <v/>
      </c>
      <c r="BM492" s="304" t="str">
        <f t="shared" si="362"/>
        <v/>
      </c>
      <c r="BN492" s="28"/>
      <c r="BO492" s="304" t="str">
        <f t="shared" si="363"/>
        <v/>
      </c>
      <c r="BP492" s="304" t="str">
        <f t="shared" si="363"/>
        <v/>
      </c>
      <c r="BQ492" s="28"/>
      <c r="BR492" s="304" t="str">
        <f t="shared" si="364"/>
        <v/>
      </c>
      <c r="BS492" s="304" t="str">
        <f t="shared" si="364"/>
        <v/>
      </c>
      <c r="BT492" s="28"/>
      <c r="BU492" s="304" t="str">
        <f t="shared" si="365"/>
        <v/>
      </c>
      <c r="BV492" s="304" t="str">
        <f t="shared" si="365"/>
        <v/>
      </c>
      <c r="BW492" s="28"/>
      <c r="BX492" s="91"/>
    </row>
    <row r="493" spans="1:76" s="55" customFormat="1" x14ac:dyDescent="0.25">
      <c r="A493" s="195">
        <v>9</v>
      </c>
      <c r="B493" s="216" t="str">
        <f t="shared" si="353"/>
        <v>OECD90: Veltman et al. 2018, A quantitative assessment of Beneficial Management Practices to reduce carbon and reactive nitrogen footprints and phosphorus losses on dairy farms in the US Great Lakes region</v>
      </c>
      <c r="C493" s="219" t="s">
        <v>345</v>
      </c>
      <c r="D493" s="352" t="s">
        <v>346</v>
      </c>
      <c r="E493" s="219" t="s">
        <v>96</v>
      </c>
      <c r="F493" s="352" t="s">
        <v>347</v>
      </c>
      <c r="G493" s="220" t="s">
        <v>24</v>
      </c>
      <c r="H493" s="221">
        <v>2018</v>
      </c>
      <c r="I493" s="240"/>
      <c r="J493" s="348">
        <f t="shared" si="366"/>
        <v>0</v>
      </c>
      <c r="K493" s="217" t="s">
        <v>325</v>
      </c>
      <c r="L493" s="334" t="e">
        <f t="shared" si="367"/>
        <v>#DIV/0!</v>
      </c>
      <c r="M493" s="225" t="str">
        <f t="shared" si="354"/>
        <v>US2014$/kg of protein</v>
      </c>
      <c r="N493" s="227">
        <v>0.77</v>
      </c>
      <c r="O493" s="350" t="s">
        <v>350</v>
      </c>
      <c r="P493" s="122"/>
      <c r="Q493" s="228" t="s">
        <v>327</v>
      </c>
      <c r="R493" s="231" t="str">
        <f t="shared" si="368"/>
        <v/>
      </c>
      <c r="S493" s="230" t="str">
        <f t="shared" si="355"/>
        <v/>
      </c>
      <c r="T493" s="231" t="str">
        <f>IF(OR(Q493="Y",IFERROR(R493&gt;R505+R509*$AA$35,0),IFERROR(R493&lt;R505-R509*$AA$35,0)),"",IFERROR(R493*N493,""))</f>
        <v/>
      </c>
      <c r="U493" s="232" t="str">
        <f t="shared" si="356"/>
        <v>US2014$/kg of protein</v>
      </c>
      <c r="V493" s="28"/>
      <c r="W493" s="28"/>
      <c r="Y493" s="91"/>
      <c r="AO493" s="91"/>
      <c r="AP493" s="28"/>
      <c r="AQ493" s="28"/>
      <c r="AR493" s="237"/>
      <c r="AS493" s="28"/>
      <c r="AT493" s="304" t="str">
        <f t="shared" si="369"/>
        <v/>
      </c>
      <c r="AU493" s="304" t="str">
        <f t="shared" si="369"/>
        <v/>
      </c>
      <c r="AV493" s="28"/>
      <c r="AW493" s="304" t="str">
        <f t="shared" si="357"/>
        <v/>
      </c>
      <c r="AX493" s="304" t="str">
        <f t="shared" si="357"/>
        <v/>
      </c>
      <c r="AY493" s="28"/>
      <c r="AZ493" s="304" t="str">
        <f t="shared" si="358"/>
        <v/>
      </c>
      <c r="BA493" s="304" t="str">
        <f t="shared" si="358"/>
        <v/>
      </c>
      <c r="BB493" s="28"/>
      <c r="BC493" s="304" t="str">
        <f t="shared" si="359"/>
        <v/>
      </c>
      <c r="BD493" s="304" t="str">
        <f t="shared" si="359"/>
        <v/>
      </c>
      <c r="BE493" s="28"/>
      <c r="BF493" s="304" t="str">
        <f t="shared" si="360"/>
        <v/>
      </c>
      <c r="BG493" s="304" t="str">
        <f t="shared" si="360"/>
        <v/>
      </c>
      <c r="BH493" s="28"/>
      <c r="BI493" s="304" t="str">
        <f t="shared" si="361"/>
        <v/>
      </c>
      <c r="BJ493" s="304" t="str">
        <f t="shared" si="361"/>
        <v/>
      </c>
      <c r="BK493" s="28"/>
      <c r="BL493" s="304" t="str">
        <f t="shared" si="362"/>
        <v/>
      </c>
      <c r="BM493" s="304" t="str">
        <f t="shared" si="362"/>
        <v/>
      </c>
      <c r="BN493" s="28"/>
      <c r="BO493" s="304" t="str">
        <f t="shared" si="363"/>
        <v/>
      </c>
      <c r="BP493" s="304" t="str">
        <f t="shared" si="363"/>
        <v/>
      </c>
      <c r="BQ493" s="28"/>
      <c r="BR493" s="304" t="str">
        <f t="shared" si="364"/>
        <v/>
      </c>
      <c r="BS493" s="304" t="str">
        <f t="shared" si="364"/>
        <v/>
      </c>
      <c r="BT493" s="28"/>
      <c r="BU493" s="304" t="str">
        <f t="shared" si="365"/>
        <v/>
      </c>
      <c r="BV493" s="304" t="str">
        <f t="shared" si="365"/>
        <v/>
      </c>
      <c r="BW493" s="28"/>
      <c r="BX493" s="91"/>
    </row>
    <row r="494" spans="1:76" s="55" customFormat="1" x14ac:dyDescent="0.25">
      <c r="A494" s="195">
        <v>10</v>
      </c>
      <c r="B494" s="216" t="str">
        <f t="shared" si="353"/>
        <v>OECD90: Veltman et al. 2018, A quantitative assessment of Beneficial Management Practices to reduce carbon and reactive nitrogen footprints and phosphorus losses on dairy farms in the US Great Lakes region</v>
      </c>
      <c r="C494" s="219" t="s">
        <v>345</v>
      </c>
      <c r="D494" s="352" t="s">
        <v>346</v>
      </c>
      <c r="E494" s="219" t="s">
        <v>96</v>
      </c>
      <c r="F494" s="352" t="s">
        <v>347</v>
      </c>
      <c r="G494" s="220" t="s">
        <v>24</v>
      </c>
      <c r="H494" s="221">
        <v>2018</v>
      </c>
      <c r="I494" s="240"/>
      <c r="J494" s="348">
        <f t="shared" si="366"/>
        <v>466.8229999999985</v>
      </c>
      <c r="K494" s="217" t="s">
        <v>325</v>
      </c>
      <c r="L494" s="334">
        <f t="shared" si="367"/>
        <v>6.8280697394944347</v>
      </c>
      <c r="M494" s="225" t="str">
        <f t="shared" si="354"/>
        <v>US2014$/kg of protein</v>
      </c>
      <c r="N494" s="227">
        <v>0.77</v>
      </c>
      <c r="O494" s="350" t="s">
        <v>351</v>
      </c>
      <c r="P494" s="122"/>
      <c r="Q494" s="228"/>
      <c r="R494" s="231">
        <f t="shared" si="368"/>
        <v>6.8280697394944347</v>
      </c>
      <c r="S494" s="230">
        <f t="shared" si="355"/>
        <v>5.2576136994107152</v>
      </c>
      <c r="T494" s="231">
        <f>IF(OR(Q494="Y",IFERROR(R494&gt;R505+R509*$AA$35,0),IFERROR(R494&lt;R505-R509*$AA$35,0)),"",IFERROR(R494*N494,""))</f>
        <v>5.2576136994107152</v>
      </c>
      <c r="U494" s="232" t="str">
        <f t="shared" si="356"/>
        <v>US2014$/kg of protein</v>
      </c>
      <c r="V494" s="28"/>
      <c r="W494" s="28"/>
      <c r="Y494" s="91"/>
      <c r="AO494" s="91"/>
      <c r="AP494" s="28"/>
      <c r="AQ494" s="28"/>
      <c r="AR494" s="237"/>
      <c r="AS494" s="28"/>
      <c r="AT494" s="304" t="str">
        <f t="shared" si="369"/>
        <v/>
      </c>
      <c r="AU494" s="304" t="str">
        <f t="shared" si="369"/>
        <v/>
      </c>
      <c r="AV494" s="28"/>
      <c r="AW494" s="304">
        <f t="shared" si="357"/>
        <v>6.8280697394944347</v>
      </c>
      <c r="AX494" s="304">
        <f t="shared" si="357"/>
        <v>5.2576136994107152</v>
      </c>
      <c r="AY494" s="28"/>
      <c r="AZ494" s="304" t="str">
        <f t="shared" si="358"/>
        <v/>
      </c>
      <c r="BA494" s="304" t="str">
        <f t="shared" si="358"/>
        <v/>
      </c>
      <c r="BB494" s="28"/>
      <c r="BC494" s="304" t="str">
        <f t="shared" si="359"/>
        <v/>
      </c>
      <c r="BD494" s="304" t="str">
        <f t="shared" si="359"/>
        <v/>
      </c>
      <c r="BE494" s="28"/>
      <c r="BF494" s="304" t="str">
        <f t="shared" si="360"/>
        <v/>
      </c>
      <c r="BG494" s="304" t="str">
        <f t="shared" si="360"/>
        <v/>
      </c>
      <c r="BH494" s="28"/>
      <c r="BI494" s="304" t="str">
        <f t="shared" si="361"/>
        <v/>
      </c>
      <c r="BJ494" s="304" t="str">
        <f t="shared" si="361"/>
        <v/>
      </c>
      <c r="BK494" s="28"/>
      <c r="BL494" s="304" t="str">
        <f t="shared" si="362"/>
        <v/>
      </c>
      <c r="BM494" s="304" t="str">
        <f t="shared" si="362"/>
        <v/>
      </c>
      <c r="BN494" s="28"/>
      <c r="BO494" s="304" t="str">
        <f t="shared" si="363"/>
        <v/>
      </c>
      <c r="BP494" s="304" t="str">
        <f t="shared" si="363"/>
        <v/>
      </c>
      <c r="BQ494" s="28"/>
      <c r="BR494" s="304" t="str">
        <f t="shared" si="364"/>
        <v/>
      </c>
      <c r="BS494" s="304" t="str">
        <f t="shared" si="364"/>
        <v/>
      </c>
      <c r="BT494" s="28"/>
      <c r="BU494" s="304" t="str">
        <f t="shared" si="365"/>
        <v/>
      </c>
      <c r="BV494" s="304" t="str">
        <f t="shared" si="365"/>
        <v/>
      </c>
      <c r="BW494" s="28"/>
      <c r="BX494" s="91"/>
    </row>
    <row r="495" spans="1:76" s="55" customFormat="1" x14ac:dyDescent="0.25">
      <c r="A495" s="195">
        <v>11</v>
      </c>
      <c r="B495" s="216" t="str">
        <f t="shared" si="353"/>
        <v>OECD90: Veltman et al. 2018, A quantitative assessment of Beneficial Management Practices to reduce carbon and reactive nitrogen footprints and phosphorus losses on dairy farms in the US Great Lakes region</v>
      </c>
      <c r="C495" s="219" t="s">
        <v>345</v>
      </c>
      <c r="D495" s="352" t="s">
        <v>346</v>
      </c>
      <c r="E495" s="219" t="s">
        <v>96</v>
      </c>
      <c r="F495" s="352" t="s">
        <v>347</v>
      </c>
      <c r="G495" s="220" t="s">
        <v>24</v>
      </c>
      <c r="H495" s="221">
        <v>2018</v>
      </c>
      <c r="I495" s="240"/>
      <c r="J495" s="348">
        <f t="shared" si="366"/>
        <v>238.17499999999927</v>
      </c>
      <c r="K495" s="217" t="s">
        <v>325</v>
      </c>
      <c r="L495" s="334">
        <f t="shared" si="367"/>
        <v>13.383016689409089</v>
      </c>
      <c r="M495" s="225" t="str">
        <f t="shared" si="354"/>
        <v>US2014$/kg of protein</v>
      </c>
      <c r="N495" s="227">
        <v>0.77</v>
      </c>
      <c r="O495" s="350" t="s">
        <v>352</v>
      </c>
      <c r="P495" s="122"/>
      <c r="Q495" s="228"/>
      <c r="R495" s="231">
        <f t="shared" si="368"/>
        <v>13.383016689409089</v>
      </c>
      <c r="S495" s="230">
        <f t="shared" si="355"/>
        <v>10.304922850844999</v>
      </c>
      <c r="T495" s="231">
        <f>IF(OR(Q495="Y",IFERROR(R495&gt;R505+R509*$AA$35,0),IFERROR(R495&lt;R505-R509*$AA$35,0)),"",IFERROR(R495*N495,""))</f>
        <v>10.304922850844999</v>
      </c>
      <c r="U495" s="232" t="str">
        <f t="shared" si="356"/>
        <v>US2014$/kg of protein</v>
      </c>
      <c r="V495" s="28"/>
      <c r="W495" s="28"/>
      <c r="Y495" s="91"/>
      <c r="AO495" s="91"/>
      <c r="AP495" s="28"/>
      <c r="AQ495" s="28"/>
      <c r="AR495" s="237"/>
      <c r="AS495" s="28"/>
      <c r="AT495" s="304" t="str">
        <f t="shared" si="369"/>
        <v/>
      </c>
      <c r="AU495" s="304" t="str">
        <f t="shared" si="369"/>
        <v/>
      </c>
      <c r="AV495" s="28"/>
      <c r="AW495" s="304">
        <f t="shared" si="357"/>
        <v>13.383016689409089</v>
      </c>
      <c r="AX495" s="304">
        <f t="shared" si="357"/>
        <v>10.304922850844999</v>
      </c>
      <c r="AY495" s="28"/>
      <c r="AZ495" s="304" t="str">
        <f t="shared" si="358"/>
        <v/>
      </c>
      <c r="BA495" s="304" t="str">
        <f t="shared" si="358"/>
        <v/>
      </c>
      <c r="BB495" s="28"/>
      <c r="BC495" s="304" t="str">
        <f t="shared" si="359"/>
        <v/>
      </c>
      <c r="BD495" s="304" t="str">
        <f t="shared" si="359"/>
        <v/>
      </c>
      <c r="BE495" s="28"/>
      <c r="BF495" s="304" t="str">
        <f t="shared" si="360"/>
        <v/>
      </c>
      <c r="BG495" s="304" t="str">
        <f t="shared" si="360"/>
        <v/>
      </c>
      <c r="BH495" s="28"/>
      <c r="BI495" s="304" t="str">
        <f t="shared" si="361"/>
        <v/>
      </c>
      <c r="BJ495" s="304" t="str">
        <f t="shared" si="361"/>
        <v/>
      </c>
      <c r="BK495" s="28"/>
      <c r="BL495" s="304" t="str">
        <f t="shared" si="362"/>
        <v/>
      </c>
      <c r="BM495" s="304" t="str">
        <f t="shared" si="362"/>
        <v/>
      </c>
      <c r="BN495" s="28"/>
      <c r="BO495" s="304" t="str">
        <f t="shared" si="363"/>
        <v/>
      </c>
      <c r="BP495" s="304" t="str">
        <f t="shared" si="363"/>
        <v/>
      </c>
      <c r="BQ495" s="28"/>
      <c r="BR495" s="304" t="str">
        <f t="shared" si="364"/>
        <v/>
      </c>
      <c r="BS495" s="304" t="str">
        <f t="shared" si="364"/>
        <v/>
      </c>
      <c r="BT495" s="28"/>
      <c r="BU495" s="304" t="str">
        <f t="shared" si="365"/>
        <v/>
      </c>
      <c r="BV495" s="304" t="str">
        <f t="shared" si="365"/>
        <v/>
      </c>
      <c r="BW495" s="28"/>
      <c r="BX495" s="91"/>
    </row>
    <row r="496" spans="1:76" s="55" customFormat="1" x14ac:dyDescent="0.25">
      <c r="A496" s="195">
        <v>12</v>
      </c>
      <c r="B496" s="216" t="str">
        <f t="shared" si="353"/>
        <v>OECD90: Veltman et al. 2018, A quantitative assessment of Beneficial Management Practices to reduce carbon and reactive nitrogen footprints and phosphorus losses on dairy farms in the US Great Lakes region</v>
      </c>
      <c r="C496" s="219" t="s">
        <v>345</v>
      </c>
      <c r="D496" s="352" t="s">
        <v>346</v>
      </c>
      <c r="E496" s="219" t="s">
        <v>96</v>
      </c>
      <c r="F496" s="352" t="s">
        <v>347</v>
      </c>
      <c r="G496" s="220" t="s">
        <v>24</v>
      </c>
      <c r="H496" s="221">
        <v>2018</v>
      </c>
      <c r="I496" s="240"/>
      <c r="J496" s="348">
        <f t="shared" si="366"/>
        <v>952.70000000000073</v>
      </c>
      <c r="K496" s="217" t="s">
        <v>325</v>
      </c>
      <c r="L496" s="334">
        <f t="shared" si="367"/>
        <v>3.3457541723522595</v>
      </c>
      <c r="M496" s="225" t="str">
        <f t="shared" si="354"/>
        <v>US2014$/kg of protein</v>
      </c>
      <c r="N496" s="227">
        <v>0.77</v>
      </c>
      <c r="O496" s="350" t="s">
        <v>353</v>
      </c>
      <c r="P496" s="122"/>
      <c r="Q496" s="228"/>
      <c r="R496" s="231">
        <f t="shared" si="368"/>
        <v>3.3457541723522595</v>
      </c>
      <c r="S496" s="230">
        <f t="shared" si="355"/>
        <v>2.57623071271124</v>
      </c>
      <c r="T496" s="231">
        <f>IF(OR(Q496="Y",IFERROR(R496&gt;R505+R509*$AA$35,0),IFERROR(R496&lt;R505-R509*$AA$35,0)),"",IFERROR(R496*N496,""))</f>
        <v>2.57623071271124</v>
      </c>
      <c r="U496" s="232" t="str">
        <f t="shared" si="356"/>
        <v>US2014$/kg of protein</v>
      </c>
      <c r="V496" s="28"/>
      <c r="W496" s="28"/>
      <c r="Y496" s="91"/>
      <c r="AO496" s="91"/>
      <c r="AP496" s="28"/>
      <c r="AQ496" s="28"/>
      <c r="AR496" s="237"/>
      <c r="AS496" s="28"/>
      <c r="AT496" s="304" t="str">
        <f t="shared" si="369"/>
        <v/>
      </c>
      <c r="AU496" s="304" t="str">
        <f t="shared" si="369"/>
        <v/>
      </c>
      <c r="AV496" s="28"/>
      <c r="AW496" s="304">
        <f t="shared" si="357"/>
        <v>3.3457541723522595</v>
      </c>
      <c r="AX496" s="304">
        <f t="shared" si="357"/>
        <v>2.57623071271124</v>
      </c>
      <c r="AY496" s="28"/>
      <c r="AZ496" s="304" t="str">
        <f t="shared" si="358"/>
        <v/>
      </c>
      <c r="BA496" s="304" t="str">
        <f t="shared" si="358"/>
        <v/>
      </c>
      <c r="BB496" s="28"/>
      <c r="BC496" s="304" t="str">
        <f t="shared" si="359"/>
        <v/>
      </c>
      <c r="BD496" s="304" t="str">
        <f t="shared" si="359"/>
        <v/>
      </c>
      <c r="BE496" s="28"/>
      <c r="BF496" s="304" t="str">
        <f t="shared" si="360"/>
        <v/>
      </c>
      <c r="BG496" s="304" t="str">
        <f t="shared" si="360"/>
        <v/>
      </c>
      <c r="BH496" s="28"/>
      <c r="BI496" s="304" t="str">
        <f t="shared" si="361"/>
        <v/>
      </c>
      <c r="BJ496" s="304" t="str">
        <f t="shared" si="361"/>
        <v/>
      </c>
      <c r="BK496" s="28"/>
      <c r="BL496" s="304" t="str">
        <f t="shared" si="362"/>
        <v/>
      </c>
      <c r="BM496" s="304" t="str">
        <f t="shared" si="362"/>
        <v/>
      </c>
      <c r="BN496" s="28"/>
      <c r="BO496" s="304" t="str">
        <f t="shared" si="363"/>
        <v/>
      </c>
      <c r="BP496" s="304" t="str">
        <f t="shared" si="363"/>
        <v/>
      </c>
      <c r="BQ496" s="28"/>
      <c r="BR496" s="304" t="str">
        <f t="shared" si="364"/>
        <v/>
      </c>
      <c r="BS496" s="304" t="str">
        <f t="shared" si="364"/>
        <v/>
      </c>
      <c r="BT496" s="28"/>
      <c r="BU496" s="304" t="str">
        <f t="shared" si="365"/>
        <v/>
      </c>
      <c r="BV496" s="304" t="str">
        <f t="shared" si="365"/>
        <v/>
      </c>
      <c r="BW496" s="28"/>
      <c r="BX496" s="91"/>
    </row>
    <row r="497" spans="1:76" s="55" customFormat="1" x14ac:dyDescent="0.25">
      <c r="A497" s="195">
        <v>13</v>
      </c>
      <c r="B497" s="216" t="str">
        <f t="shared" si="353"/>
        <v>OECD90: Veltman et al. 2018, A quantitative assessment of Beneficial Management Practices to reduce carbon and reactive nitrogen footprints and phosphorus losses on dairy farms in the US Great Lakes region</v>
      </c>
      <c r="C497" s="219" t="s">
        <v>345</v>
      </c>
      <c r="D497" s="352" t="s">
        <v>346</v>
      </c>
      <c r="E497" s="219" t="s">
        <v>96</v>
      </c>
      <c r="F497" s="352" t="s">
        <v>354</v>
      </c>
      <c r="G497" s="220" t="s">
        <v>24</v>
      </c>
      <c r="H497" s="221">
        <v>2018</v>
      </c>
      <c r="I497" s="240"/>
      <c r="J497" s="348">
        <f t="shared" si="366"/>
        <v>0</v>
      </c>
      <c r="K497" s="217" t="s">
        <v>325</v>
      </c>
      <c r="L497" s="334" t="e">
        <f t="shared" si="367"/>
        <v>#DIV/0!</v>
      </c>
      <c r="M497" s="225" t="str">
        <f t="shared" si="354"/>
        <v>US2014$/kg of protein</v>
      </c>
      <c r="N497" s="227">
        <v>0.77</v>
      </c>
      <c r="O497" s="350" t="s">
        <v>355</v>
      </c>
      <c r="P497" s="122"/>
      <c r="Q497" s="228" t="s">
        <v>327</v>
      </c>
      <c r="R497" s="231" t="str">
        <f t="shared" si="368"/>
        <v/>
      </c>
      <c r="S497" s="230" t="str">
        <f t="shared" si="355"/>
        <v/>
      </c>
      <c r="T497" s="231" t="str">
        <f>IF(OR(Q497="Y",IFERROR(R497&gt;R505+R509*$AA$35,0),IFERROR(R497&lt;R505-R509*$AA$35,0)),"",IFERROR(R497*N497,""))</f>
        <v/>
      </c>
      <c r="U497" s="232" t="str">
        <f t="shared" si="356"/>
        <v>US2014$/kg of protein</v>
      </c>
      <c r="V497" s="28"/>
      <c r="W497" s="28"/>
      <c r="Y497" s="91"/>
      <c r="AO497" s="91"/>
      <c r="AP497" s="28"/>
      <c r="AQ497" s="28"/>
      <c r="AR497" s="237"/>
      <c r="AS497" s="28"/>
      <c r="AT497" s="304" t="str">
        <f t="shared" si="369"/>
        <v/>
      </c>
      <c r="AU497" s="304" t="str">
        <f t="shared" si="369"/>
        <v/>
      </c>
      <c r="AV497" s="28"/>
      <c r="AW497" s="304" t="str">
        <f t="shared" si="357"/>
        <v/>
      </c>
      <c r="AX497" s="304" t="str">
        <f t="shared" si="357"/>
        <v/>
      </c>
      <c r="AY497" s="28"/>
      <c r="AZ497" s="304" t="str">
        <f t="shared" si="358"/>
        <v/>
      </c>
      <c r="BA497" s="304" t="str">
        <f t="shared" si="358"/>
        <v/>
      </c>
      <c r="BB497" s="28"/>
      <c r="BC497" s="304" t="str">
        <f t="shared" si="359"/>
        <v/>
      </c>
      <c r="BD497" s="304" t="str">
        <f t="shared" si="359"/>
        <v/>
      </c>
      <c r="BE497" s="28"/>
      <c r="BF497" s="304" t="str">
        <f t="shared" si="360"/>
        <v/>
      </c>
      <c r="BG497" s="304" t="str">
        <f t="shared" si="360"/>
        <v/>
      </c>
      <c r="BH497" s="28"/>
      <c r="BI497" s="304" t="str">
        <f t="shared" si="361"/>
        <v/>
      </c>
      <c r="BJ497" s="304" t="str">
        <f t="shared" si="361"/>
        <v/>
      </c>
      <c r="BK497" s="28"/>
      <c r="BL497" s="304" t="str">
        <f t="shared" si="362"/>
        <v/>
      </c>
      <c r="BM497" s="304" t="str">
        <f t="shared" si="362"/>
        <v/>
      </c>
      <c r="BN497" s="28"/>
      <c r="BO497" s="304" t="str">
        <f t="shared" si="363"/>
        <v/>
      </c>
      <c r="BP497" s="304" t="str">
        <f t="shared" si="363"/>
        <v/>
      </c>
      <c r="BQ497" s="28"/>
      <c r="BR497" s="304" t="str">
        <f t="shared" si="364"/>
        <v/>
      </c>
      <c r="BS497" s="304" t="str">
        <f t="shared" si="364"/>
        <v/>
      </c>
      <c r="BT497" s="28"/>
      <c r="BU497" s="304" t="str">
        <f t="shared" si="365"/>
        <v/>
      </c>
      <c r="BV497" s="304" t="str">
        <f t="shared" si="365"/>
        <v/>
      </c>
      <c r="BW497" s="28"/>
      <c r="BX497" s="91"/>
    </row>
    <row r="498" spans="1:76" s="55" customFormat="1" x14ac:dyDescent="0.25">
      <c r="A498" s="195">
        <v>14</v>
      </c>
      <c r="B498" s="216" t="str">
        <f t="shared" si="353"/>
        <v>OECD90: Veltman et al. 2018, A quantitative assessment of Beneficial Management Practices to reduce carbon and reactive nitrogen footprints and phosphorus losses on dairy farms in the US Great Lakes region</v>
      </c>
      <c r="C498" s="219" t="s">
        <v>345</v>
      </c>
      <c r="D498" s="352" t="s">
        <v>346</v>
      </c>
      <c r="E498" s="219" t="s">
        <v>96</v>
      </c>
      <c r="F498" s="352" t="s">
        <v>354</v>
      </c>
      <c r="G498" s="220" t="s">
        <v>24</v>
      </c>
      <c r="H498" s="221">
        <v>2018</v>
      </c>
      <c r="I498" s="240"/>
      <c r="J498" s="348">
        <f t="shared" si="366"/>
        <v>760.04999999999927</v>
      </c>
      <c r="K498" s="217" t="s">
        <v>325</v>
      </c>
      <c r="L498" s="334">
        <f t="shared" si="367"/>
        <v>4.1938030392737353</v>
      </c>
      <c r="M498" s="225" t="str">
        <f t="shared" si="354"/>
        <v>US2014$/kg of protein</v>
      </c>
      <c r="N498" s="227">
        <v>0.77</v>
      </c>
      <c r="O498" s="350" t="s">
        <v>356</v>
      </c>
      <c r="P498" s="122"/>
      <c r="Q498" s="228"/>
      <c r="R498" s="231">
        <f t="shared" si="368"/>
        <v>4.1938030392737353</v>
      </c>
      <c r="S498" s="230">
        <f t="shared" si="355"/>
        <v>3.2292283402407764</v>
      </c>
      <c r="T498" s="231">
        <f>IF(OR(Q498="Y",IFERROR(R498&gt;R505+R509*$AA$35,0),IFERROR(R498&lt;R505-R509*$AA$35,0)),"",IFERROR(R498*N498,""))</f>
        <v>3.2292283402407764</v>
      </c>
      <c r="U498" s="232" t="str">
        <f t="shared" si="356"/>
        <v>US2014$/kg of protein</v>
      </c>
      <c r="V498" s="28"/>
      <c r="W498" s="28"/>
      <c r="Y498" s="91"/>
      <c r="AO498" s="91"/>
      <c r="AP498" s="28"/>
      <c r="AQ498" s="28"/>
      <c r="AR498" s="237"/>
      <c r="AS498" s="28"/>
      <c r="AT498" s="304" t="str">
        <f t="shared" si="369"/>
        <v/>
      </c>
      <c r="AU498" s="304" t="str">
        <f t="shared" si="369"/>
        <v/>
      </c>
      <c r="AV498" s="28"/>
      <c r="AW498" s="304">
        <f t="shared" si="357"/>
        <v>4.1938030392737353</v>
      </c>
      <c r="AX498" s="304">
        <f t="shared" si="357"/>
        <v>3.2292283402407764</v>
      </c>
      <c r="AY498" s="28"/>
      <c r="AZ498" s="304" t="str">
        <f t="shared" si="358"/>
        <v/>
      </c>
      <c r="BA498" s="304" t="str">
        <f t="shared" si="358"/>
        <v/>
      </c>
      <c r="BB498" s="28"/>
      <c r="BC498" s="304" t="str">
        <f t="shared" si="359"/>
        <v/>
      </c>
      <c r="BD498" s="304" t="str">
        <f t="shared" si="359"/>
        <v/>
      </c>
      <c r="BE498" s="28"/>
      <c r="BF498" s="304" t="str">
        <f t="shared" si="360"/>
        <v/>
      </c>
      <c r="BG498" s="304" t="str">
        <f t="shared" si="360"/>
        <v/>
      </c>
      <c r="BH498" s="28"/>
      <c r="BI498" s="304" t="str">
        <f t="shared" si="361"/>
        <v/>
      </c>
      <c r="BJ498" s="304" t="str">
        <f t="shared" si="361"/>
        <v/>
      </c>
      <c r="BK498" s="28"/>
      <c r="BL498" s="304" t="str">
        <f t="shared" si="362"/>
        <v/>
      </c>
      <c r="BM498" s="304" t="str">
        <f t="shared" si="362"/>
        <v/>
      </c>
      <c r="BN498" s="28"/>
      <c r="BO498" s="304" t="str">
        <f t="shared" si="363"/>
        <v/>
      </c>
      <c r="BP498" s="304" t="str">
        <f t="shared" si="363"/>
        <v/>
      </c>
      <c r="BQ498" s="28"/>
      <c r="BR498" s="304" t="str">
        <f t="shared" si="364"/>
        <v/>
      </c>
      <c r="BS498" s="304" t="str">
        <f t="shared" si="364"/>
        <v/>
      </c>
      <c r="BT498" s="28"/>
      <c r="BU498" s="304" t="str">
        <f t="shared" si="365"/>
        <v/>
      </c>
      <c r="BV498" s="304" t="str">
        <f t="shared" si="365"/>
        <v/>
      </c>
      <c r="BW498" s="28"/>
      <c r="BX498" s="91"/>
    </row>
    <row r="499" spans="1:76" s="55" customFormat="1" x14ac:dyDescent="0.25">
      <c r="A499" s="195">
        <v>15</v>
      </c>
      <c r="B499" s="216" t="str">
        <f t="shared" si="353"/>
        <v>OECD90: Veltman et al. 2018, A quantitative assessment of Beneficial Management Practices to reduce carbon and reactive nitrogen footprints and phosphorus losses on dairy farms in the US Great Lakes region</v>
      </c>
      <c r="C499" s="219" t="s">
        <v>345</v>
      </c>
      <c r="D499" s="352" t="s">
        <v>346</v>
      </c>
      <c r="E499" s="219" t="s">
        <v>96</v>
      </c>
      <c r="F499" s="352" t="s">
        <v>354</v>
      </c>
      <c r="G499" s="220" t="s">
        <v>24</v>
      </c>
      <c r="H499" s="221">
        <v>2018</v>
      </c>
      <c r="I499" s="240"/>
      <c r="J499" s="348">
        <f t="shared" si="366"/>
        <v>0</v>
      </c>
      <c r="K499" s="217" t="s">
        <v>325</v>
      </c>
      <c r="L499" s="334" t="e">
        <f t="shared" si="367"/>
        <v>#DIV/0!</v>
      </c>
      <c r="M499" s="225" t="str">
        <f t="shared" si="354"/>
        <v>US2014$/kg of protein</v>
      </c>
      <c r="N499" s="227">
        <v>0.77</v>
      </c>
      <c r="O499" s="350" t="s">
        <v>357</v>
      </c>
      <c r="P499" s="122"/>
      <c r="Q499" s="228" t="s">
        <v>327</v>
      </c>
      <c r="R499" s="231" t="str">
        <f t="shared" si="368"/>
        <v/>
      </c>
      <c r="S499" s="230" t="str">
        <f t="shared" si="355"/>
        <v/>
      </c>
      <c r="T499" s="231" t="str">
        <f>IF(OR(Q499="Y",IFERROR(R499&gt;R505+R509*$AA$35,0),IFERROR(R499&lt;R505-R509*$AA$35,0)),"",IFERROR(R499*N499,""))</f>
        <v/>
      </c>
      <c r="U499" s="232" t="str">
        <f t="shared" si="356"/>
        <v>US2014$/kg of protein</v>
      </c>
      <c r="V499" s="28"/>
      <c r="W499" s="28"/>
      <c r="Y499" s="91"/>
      <c r="AO499" s="91"/>
      <c r="AP499" s="28"/>
      <c r="AQ499" s="28"/>
      <c r="AR499" s="237"/>
      <c r="AS499" s="28"/>
      <c r="AT499" s="304" t="str">
        <f t="shared" si="369"/>
        <v/>
      </c>
      <c r="AU499" s="304" t="str">
        <f t="shared" si="369"/>
        <v/>
      </c>
      <c r="AV499" s="28"/>
      <c r="AW499" s="304" t="str">
        <f t="shared" si="357"/>
        <v/>
      </c>
      <c r="AX499" s="304" t="str">
        <f t="shared" si="357"/>
        <v/>
      </c>
      <c r="AY499" s="28"/>
      <c r="AZ499" s="304" t="str">
        <f t="shared" si="358"/>
        <v/>
      </c>
      <c r="BA499" s="304" t="str">
        <f t="shared" si="358"/>
        <v/>
      </c>
      <c r="BB499" s="28"/>
      <c r="BC499" s="304" t="str">
        <f t="shared" si="359"/>
        <v/>
      </c>
      <c r="BD499" s="304" t="str">
        <f t="shared" si="359"/>
        <v/>
      </c>
      <c r="BE499" s="28"/>
      <c r="BF499" s="304" t="str">
        <f t="shared" si="360"/>
        <v/>
      </c>
      <c r="BG499" s="304" t="str">
        <f t="shared" si="360"/>
        <v/>
      </c>
      <c r="BH499" s="28"/>
      <c r="BI499" s="304" t="str">
        <f t="shared" si="361"/>
        <v/>
      </c>
      <c r="BJ499" s="304" t="str">
        <f t="shared" si="361"/>
        <v/>
      </c>
      <c r="BK499" s="28"/>
      <c r="BL499" s="304" t="str">
        <f t="shared" si="362"/>
        <v/>
      </c>
      <c r="BM499" s="304" t="str">
        <f t="shared" si="362"/>
        <v/>
      </c>
      <c r="BN499" s="28"/>
      <c r="BO499" s="304" t="str">
        <f t="shared" si="363"/>
        <v/>
      </c>
      <c r="BP499" s="304" t="str">
        <f t="shared" si="363"/>
        <v/>
      </c>
      <c r="BQ499" s="28"/>
      <c r="BR499" s="304" t="str">
        <f t="shared" si="364"/>
        <v/>
      </c>
      <c r="BS499" s="304" t="str">
        <f t="shared" si="364"/>
        <v/>
      </c>
      <c r="BT499" s="28"/>
      <c r="BU499" s="304" t="str">
        <f t="shared" si="365"/>
        <v/>
      </c>
      <c r="BV499" s="304" t="str">
        <f t="shared" si="365"/>
        <v/>
      </c>
      <c r="BW499" s="28"/>
      <c r="BX499" s="91"/>
    </row>
    <row r="500" spans="1:76" s="55" customFormat="1" x14ac:dyDescent="0.25">
      <c r="A500" s="195">
        <v>16</v>
      </c>
      <c r="B500" s="216" t="str">
        <f t="shared" si="353"/>
        <v>OECD90: Veltman et al. 2018, A quantitative assessment of Beneficial Management Practices to reduce carbon and reactive nitrogen footprints and phosphorus losses on dairy farms in the US Great Lakes region</v>
      </c>
      <c r="C500" s="219" t="s">
        <v>345</v>
      </c>
      <c r="D500" s="352" t="s">
        <v>346</v>
      </c>
      <c r="E500" s="219" t="s">
        <v>96</v>
      </c>
      <c r="F500" s="352" t="s">
        <v>354</v>
      </c>
      <c r="G500" s="220" t="s">
        <v>24</v>
      </c>
      <c r="H500" s="221">
        <v>2018</v>
      </c>
      <c r="I500" s="240"/>
      <c r="J500" s="348">
        <f t="shared" si="366"/>
        <v>496.56599999999889</v>
      </c>
      <c r="K500" s="217" t="s">
        <v>325</v>
      </c>
      <c r="L500" s="334">
        <f t="shared" si="367"/>
        <v>6.4190862846026651</v>
      </c>
      <c r="M500" s="225" t="str">
        <f t="shared" si="354"/>
        <v>US2014$/kg of protein</v>
      </c>
      <c r="N500" s="227">
        <v>0.77</v>
      </c>
      <c r="O500" s="350" t="s">
        <v>358</v>
      </c>
      <c r="P500" s="122"/>
      <c r="Q500" s="228"/>
      <c r="R500" s="231">
        <f t="shared" si="368"/>
        <v>6.4190862846026651</v>
      </c>
      <c r="S500" s="230">
        <f t="shared" si="355"/>
        <v>4.9426964391440524</v>
      </c>
      <c r="T500" s="231">
        <f>IF(OR(Q500="Y",IFERROR(R500&gt;R505+R509*$AA$35,0),IFERROR(R500&lt;R505-R509*$AA$35,0)),"",IFERROR(R500*N500,""))</f>
        <v>4.9426964391440524</v>
      </c>
      <c r="U500" s="232" t="str">
        <f t="shared" si="356"/>
        <v>US2014$/kg of protein</v>
      </c>
      <c r="V500" s="28"/>
      <c r="W500" s="28"/>
      <c r="Y500" s="91"/>
      <c r="AO500" s="91"/>
      <c r="AP500" s="28"/>
      <c r="AQ500" s="28"/>
      <c r="AR500" s="237"/>
      <c r="AS500" s="28"/>
      <c r="AT500" s="304" t="str">
        <f t="shared" si="369"/>
        <v/>
      </c>
      <c r="AU500" s="304" t="str">
        <f t="shared" si="369"/>
        <v/>
      </c>
      <c r="AV500" s="28"/>
      <c r="AW500" s="304">
        <f t="shared" si="357"/>
        <v>6.4190862846026651</v>
      </c>
      <c r="AX500" s="304">
        <f t="shared" si="357"/>
        <v>4.9426964391440524</v>
      </c>
      <c r="AY500" s="28"/>
      <c r="AZ500" s="304" t="str">
        <f t="shared" si="358"/>
        <v/>
      </c>
      <c r="BA500" s="304" t="str">
        <f t="shared" si="358"/>
        <v/>
      </c>
      <c r="BB500" s="28"/>
      <c r="BC500" s="304" t="str">
        <f t="shared" si="359"/>
        <v/>
      </c>
      <c r="BD500" s="304" t="str">
        <f t="shared" si="359"/>
        <v/>
      </c>
      <c r="BE500" s="28"/>
      <c r="BF500" s="304" t="str">
        <f t="shared" si="360"/>
        <v/>
      </c>
      <c r="BG500" s="304" t="str">
        <f t="shared" si="360"/>
        <v/>
      </c>
      <c r="BH500" s="28"/>
      <c r="BI500" s="304" t="str">
        <f t="shared" si="361"/>
        <v/>
      </c>
      <c r="BJ500" s="304" t="str">
        <f t="shared" si="361"/>
        <v/>
      </c>
      <c r="BK500" s="28"/>
      <c r="BL500" s="304" t="str">
        <f t="shared" si="362"/>
        <v/>
      </c>
      <c r="BM500" s="304" t="str">
        <f t="shared" si="362"/>
        <v/>
      </c>
      <c r="BN500" s="28"/>
      <c r="BO500" s="304" t="str">
        <f t="shared" si="363"/>
        <v/>
      </c>
      <c r="BP500" s="304" t="str">
        <f t="shared" si="363"/>
        <v/>
      </c>
      <c r="BQ500" s="28"/>
      <c r="BR500" s="304" t="str">
        <f t="shared" si="364"/>
        <v/>
      </c>
      <c r="BS500" s="304" t="str">
        <f t="shared" si="364"/>
        <v/>
      </c>
      <c r="BT500" s="28"/>
      <c r="BU500" s="304" t="str">
        <f t="shared" si="365"/>
        <v/>
      </c>
      <c r="BV500" s="304" t="str">
        <f t="shared" si="365"/>
        <v/>
      </c>
      <c r="BW500" s="28"/>
      <c r="BX500" s="91"/>
    </row>
    <row r="501" spans="1:76" s="55" customFormat="1" x14ac:dyDescent="0.25">
      <c r="A501" s="195">
        <v>17</v>
      </c>
      <c r="B501" s="216" t="str">
        <f t="shared" si="353"/>
        <v>OECD90: Veltman et al. 2018, A quantitative assessment of Beneficial Management Practices to reduce carbon and reactive nitrogen footprints and phosphorus losses on dairy farms in the US Great Lakes region</v>
      </c>
      <c r="C501" s="219" t="s">
        <v>345</v>
      </c>
      <c r="D501" s="352" t="s">
        <v>346</v>
      </c>
      <c r="E501" s="219" t="s">
        <v>96</v>
      </c>
      <c r="F501" s="352" t="s">
        <v>354</v>
      </c>
      <c r="G501" s="220" t="s">
        <v>24</v>
      </c>
      <c r="H501" s="221">
        <v>2018</v>
      </c>
      <c r="I501" s="240"/>
      <c r="J501" s="348">
        <f t="shared" si="366"/>
        <v>253.34999999999854</v>
      </c>
      <c r="K501" s="217" t="s">
        <v>325</v>
      </c>
      <c r="L501" s="334">
        <f t="shared" si="367"/>
        <v>12.581409117821266</v>
      </c>
      <c r="M501" s="225" t="str">
        <f t="shared" si="354"/>
        <v>US2014$/kg of protein</v>
      </c>
      <c r="N501" s="227">
        <v>0.77</v>
      </c>
      <c r="O501" s="350" t="s">
        <v>359</v>
      </c>
      <c r="P501" s="122"/>
      <c r="Q501" s="228"/>
      <c r="R501" s="231">
        <f t="shared" si="368"/>
        <v>12.581409117821266</v>
      </c>
      <c r="S501" s="230">
        <f t="shared" si="355"/>
        <v>9.687685020722375</v>
      </c>
      <c r="T501" s="231">
        <f>IF(OR(Q501="Y",IFERROR(R501&gt;R505+R509*$AA$35,0),IFERROR(R501&lt;R505-R509*$AA$35,0)),"",IFERROR(R501*N501,""))</f>
        <v>9.687685020722375</v>
      </c>
      <c r="U501" s="232" t="str">
        <f t="shared" si="356"/>
        <v>US2014$/kg of protein</v>
      </c>
      <c r="V501" s="28"/>
      <c r="W501" s="28"/>
      <c r="Y501" s="91"/>
      <c r="AO501" s="91"/>
      <c r="AP501" s="28"/>
      <c r="AQ501" s="28"/>
      <c r="AR501" s="237"/>
      <c r="AS501" s="28"/>
      <c r="AT501" s="304" t="str">
        <f t="shared" si="369"/>
        <v/>
      </c>
      <c r="AU501" s="304" t="str">
        <f t="shared" si="369"/>
        <v/>
      </c>
      <c r="AV501" s="28"/>
      <c r="AW501" s="304">
        <f t="shared" si="357"/>
        <v>12.581409117821266</v>
      </c>
      <c r="AX501" s="304">
        <f t="shared" si="357"/>
        <v>9.687685020722375</v>
      </c>
      <c r="AY501" s="28"/>
      <c r="AZ501" s="304" t="str">
        <f t="shared" si="358"/>
        <v/>
      </c>
      <c r="BA501" s="304" t="str">
        <f t="shared" si="358"/>
        <v/>
      </c>
      <c r="BB501" s="28"/>
      <c r="BC501" s="304" t="str">
        <f t="shared" si="359"/>
        <v/>
      </c>
      <c r="BD501" s="304" t="str">
        <f t="shared" si="359"/>
        <v/>
      </c>
      <c r="BE501" s="28"/>
      <c r="BF501" s="304" t="str">
        <f t="shared" si="360"/>
        <v/>
      </c>
      <c r="BG501" s="304" t="str">
        <f t="shared" si="360"/>
        <v/>
      </c>
      <c r="BH501" s="28"/>
      <c r="BI501" s="304" t="str">
        <f t="shared" si="361"/>
        <v/>
      </c>
      <c r="BJ501" s="304" t="str">
        <f t="shared" si="361"/>
        <v/>
      </c>
      <c r="BK501" s="28"/>
      <c r="BL501" s="304" t="str">
        <f t="shared" si="362"/>
        <v/>
      </c>
      <c r="BM501" s="304" t="str">
        <f t="shared" si="362"/>
        <v/>
      </c>
      <c r="BN501" s="28"/>
      <c r="BO501" s="304" t="str">
        <f t="shared" si="363"/>
        <v/>
      </c>
      <c r="BP501" s="304" t="str">
        <f t="shared" si="363"/>
        <v/>
      </c>
      <c r="BQ501" s="28"/>
      <c r="BR501" s="304" t="str">
        <f t="shared" si="364"/>
        <v/>
      </c>
      <c r="BS501" s="304" t="str">
        <f t="shared" si="364"/>
        <v/>
      </c>
      <c r="BT501" s="28"/>
      <c r="BU501" s="304" t="str">
        <f t="shared" si="365"/>
        <v/>
      </c>
      <c r="BV501" s="304" t="str">
        <f t="shared" si="365"/>
        <v/>
      </c>
      <c r="BW501" s="28"/>
      <c r="BX501" s="91"/>
    </row>
    <row r="502" spans="1:76" s="55" customFormat="1" x14ac:dyDescent="0.25">
      <c r="A502" s="195">
        <v>18</v>
      </c>
      <c r="B502" s="216" t="str">
        <f t="shared" si="353"/>
        <v>OECD90: Veltman et al. 2018, A quantitative assessment of Beneficial Management Practices to reduce carbon and reactive nitrogen footprints and phosphorus losses on dairy farms in the US Great Lakes region</v>
      </c>
      <c r="C502" s="219" t="s">
        <v>345</v>
      </c>
      <c r="D502" s="352" t="s">
        <v>346</v>
      </c>
      <c r="E502" s="219" t="s">
        <v>96</v>
      </c>
      <c r="F502" s="352" t="s">
        <v>354</v>
      </c>
      <c r="G502" s="220" t="s">
        <v>24</v>
      </c>
      <c r="H502" s="221">
        <v>2018</v>
      </c>
      <c r="I502" s="240"/>
      <c r="J502" s="348">
        <f>L1606</f>
        <v>1236.3480000000018</v>
      </c>
      <c r="K502" s="217" t="s">
        <v>325</v>
      </c>
      <c r="L502" s="334">
        <f t="shared" si="367"/>
        <v>2.5781576061108971</v>
      </c>
      <c r="M502" s="225" t="str">
        <f t="shared" si="354"/>
        <v>US2014$/kg of protein</v>
      </c>
      <c r="N502" s="227">
        <v>0.77</v>
      </c>
      <c r="O502" s="350" t="s">
        <v>360</v>
      </c>
      <c r="P502" s="122"/>
      <c r="Q502" s="228"/>
      <c r="R502" s="231">
        <f t="shared" si="368"/>
        <v>2.5781576061108971</v>
      </c>
      <c r="S502" s="230">
        <f t="shared" si="355"/>
        <v>1.9851813567053909</v>
      </c>
      <c r="T502" s="231">
        <f>IF(OR(Q502="Y",IFERROR(R502&gt;R505+R509*$AA$35,0),IFERROR(R502&lt;R505-R509*$AA$35,0)),"",IFERROR(R502*N502,""))</f>
        <v>1.9851813567053909</v>
      </c>
      <c r="U502" s="232" t="str">
        <f t="shared" si="356"/>
        <v>US2014$/kg of protein</v>
      </c>
      <c r="V502" s="28"/>
      <c r="W502" s="28"/>
      <c r="Y502" s="91"/>
      <c r="AO502" s="91"/>
      <c r="AP502" s="28"/>
      <c r="AQ502" s="28"/>
      <c r="AR502" s="237"/>
      <c r="AS502" s="28"/>
      <c r="AT502" s="304" t="str">
        <f t="shared" si="369"/>
        <v/>
      </c>
      <c r="AU502" s="304" t="str">
        <f t="shared" si="369"/>
        <v/>
      </c>
      <c r="AV502" s="28"/>
      <c r="AW502" s="304">
        <f t="shared" si="357"/>
        <v>2.5781576061108971</v>
      </c>
      <c r="AX502" s="304">
        <f t="shared" si="357"/>
        <v>1.9851813567053909</v>
      </c>
      <c r="AY502" s="28"/>
      <c r="AZ502" s="304" t="str">
        <f t="shared" si="358"/>
        <v/>
      </c>
      <c r="BA502" s="304" t="str">
        <f t="shared" si="358"/>
        <v/>
      </c>
      <c r="BB502" s="28"/>
      <c r="BC502" s="304" t="str">
        <f t="shared" si="359"/>
        <v/>
      </c>
      <c r="BD502" s="304" t="str">
        <f t="shared" si="359"/>
        <v/>
      </c>
      <c r="BE502" s="28"/>
      <c r="BF502" s="304" t="str">
        <f t="shared" si="360"/>
        <v/>
      </c>
      <c r="BG502" s="304" t="str">
        <f t="shared" si="360"/>
        <v/>
      </c>
      <c r="BH502" s="28"/>
      <c r="BI502" s="304" t="str">
        <f t="shared" si="361"/>
        <v/>
      </c>
      <c r="BJ502" s="304" t="str">
        <f t="shared" si="361"/>
        <v/>
      </c>
      <c r="BK502" s="28"/>
      <c r="BL502" s="304" t="str">
        <f t="shared" si="362"/>
        <v/>
      </c>
      <c r="BM502" s="304" t="str">
        <f t="shared" si="362"/>
        <v/>
      </c>
      <c r="BN502" s="28"/>
      <c r="BO502" s="304" t="str">
        <f t="shared" si="363"/>
        <v/>
      </c>
      <c r="BP502" s="304" t="str">
        <f t="shared" si="363"/>
        <v/>
      </c>
      <c r="BQ502" s="28"/>
      <c r="BR502" s="304" t="str">
        <f t="shared" si="364"/>
        <v/>
      </c>
      <c r="BS502" s="304" t="str">
        <f t="shared" si="364"/>
        <v/>
      </c>
      <c r="BT502" s="28"/>
      <c r="BU502" s="304" t="str">
        <f t="shared" si="365"/>
        <v/>
      </c>
      <c r="BV502" s="304" t="str">
        <f t="shared" si="365"/>
        <v/>
      </c>
      <c r="BW502" s="28"/>
      <c r="BX502" s="91"/>
    </row>
    <row r="503" spans="1:76" s="55" customFormat="1" x14ac:dyDescent="0.25">
      <c r="A503" s="195">
        <v>19</v>
      </c>
      <c r="B503" s="216" t="str">
        <f t="shared" si="353"/>
        <v xml:space="preserve">: </v>
      </c>
      <c r="C503" s="221"/>
      <c r="D503" s="221"/>
      <c r="E503" s="221"/>
      <c r="F503" s="221"/>
      <c r="G503" s="240"/>
      <c r="H503" s="221"/>
      <c r="I503" s="240"/>
      <c r="J503" s="348">
        <f t="shared" si="366"/>
        <v>0</v>
      </c>
      <c r="K503" s="241"/>
      <c r="L503" s="334" t="e">
        <f t="shared" si="367"/>
        <v>#DIV/0!</v>
      </c>
      <c r="M503" s="225" t="str">
        <f t="shared" si="354"/>
        <v>US2014$/kg of protein</v>
      </c>
      <c r="N503" s="227">
        <v>0.77</v>
      </c>
      <c r="O503" s="241"/>
      <c r="P503" s="122"/>
      <c r="Q503" s="228" t="s">
        <v>327</v>
      </c>
      <c r="R503" s="231" t="str">
        <f t="shared" si="368"/>
        <v/>
      </c>
      <c r="S503" s="230" t="str">
        <f t="shared" si="355"/>
        <v/>
      </c>
      <c r="T503" s="231" t="str">
        <f>IF(OR(Q503="Y",IFERROR(R503&gt;R505+R509*$AA$35,0),IFERROR(R503&lt;R505-R509*$AA$35,0)),"",IFERROR(R503*N503,""))</f>
        <v/>
      </c>
      <c r="U503" s="232" t="str">
        <f t="shared" si="356"/>
        <v>US2014$/kg of protein</v>
      </c>
      <c r="V503" s="28"/>
      <c r="W503" s="28"/>
      <c r="Y503" s="91"/>
      <c r="AO503" s="91"/>
      <c r="AP503" s="28"/>
      <c r="AQ503" s="28"/>
      <c r="AR503" s="237"/>
      <c r="AS503" s="28"/>
      <c r="AT503" s="304" t="str">
        <f t="shared" si="369"/>
        <v/>
      </c>
      <c r="AU503" s="304" t="str">
        <f t="shared" si="369"/>
        <v/>
      </c>
      <c r="AV503" s="28"/>
      <c r="AW503" s="304" t="str">
        <f t="shared" si="357"/>
        <v/>
      </c>
      <c r="AX503" s="304" t="str">
        <f t="shared" si="357"/>
        <v/>
      </c>
      <c r="AY503" s="28"/>
      <c r="AZ503" s="304" t="str">
        <f t="shared" si="358"/>
        <v/>
      </c>
      <c r="BA503" s="304" t="str">
        <f t="shared" si="358"/>
        <v/>
      </c>
      <c r="BB503" s="28"/>
      <c r="BC503" s="304" t="str">
        <f t="shared" si="359"/>
        <v/>
      </c>
      <c r="BD503" s="304" t="str">
        <f t="shared" si="359"/>
        <v/>
      </c>
      <c r="BE503" s="28"/>
      <c r="BF503" s="304" t="str">
        <f t="shared" si="360"/>
        <v/>
      </c>
      <c r="BG503" s="304" t="str">
        <f t="shared" si="360"/>
        <v/>
      </c>
      <c r="BH503" s="28"/>
      <c r="BI503" s="304" t="str">
        <f t="shared" si="361"/>
        <v/>
      </c>
      <c r="BJ503" s="304" t="str">
        <f t="shared" si="361"/>
        <v/>
      </c>
      <c r="BK503" s="28"/>
      <c r="BL503" s="304" t="str">
        <f t="shared" si="362"/>
        <v/>
      </c>
      <c r="BM503" s="304" t="str">
        <f t="shared" si="362"/>
        <v/>
      </c>
      <c r="BN503" s="28"/>
      <c r="BO503" s="304" t="str">
        <f t="shared" si="363"/>
        <v/>
      </c>
      <c r="BP503" s="304" t="str">
        <f t="shared" si="363"/>
        <v/>
      </c>
      <c r="BQ503" s="28"/>
      <c r="BR503" s="304" t="str">
        <f t="shared" si="364"/>
        <v/>
      </c>
      <c r="BS503" s="304" t="str">
        <f t="shared" si="364"/>
        <v/>
      </c>
      <c r="BT503" s="28"/>
      <c r="BU503" s="304" t="str">
        <f t="shared" si="365"/>
        <v/>
      </c>
      <c r="BV503" s="304" t="str">
        <f t="shared" si="365"/>
        <v/>
      </c>
      <c r="BW503" s="28"/>
      <c r="BX503" s="91"/>
    </row>
    <row r="504" spans="1:76" s="55" customFormat="1" x14ac:dyDescent="0.25">
      <c r="A504" s="195">
        <v>20</v>
      </c>
      <c r="B504" s="216" t="str">
        <f t="shared" si="353"/>
        <v xml:space="preserve">: </v>
      </c>
      <c r="C504" s="221"/>
      <c r="D504" s="221"/>
      <c r="E504" s="221"/>
      <c r="F504" s="221"/>
      <c r="G504" s="240"/>
      <c r="H504" s="221"/>
      <c r="I504" s="240"/>
      <c r="J504" s="241"/>
      <c r="K504" s="241"/>
      <c r="L504" s="334"/>
      <c r="M504" s="225" t="str">
        <f t="shared" si="354"/>
        <v>US2014$/kg of protein</v>
      </c>
      <c r="N504" s="227">
        <v>0.77</v>
      </c>
      <c r="O504" s="241"/>
      <c r="P504" s="122"/>
      <c r="Q504" s="228"/>
      <c r="R504" s="231" t="str">
        <f t="shared" si="368"/>
        <v/>
      </c>
      <c r="S504" s="230" t="str">
        <f t="shared" si="355"/>
        <v/>
      </c>
      <c r="T504" s="231" t="str">
        <f>IF(OR(Q504="Y",IFERROR(R504&gt;R505+R509*$AA$35,0),IFERROR(R504&lt;R505-R509*$AA$35,0)),"",IFERROR(R504*N504,""))</f>
        <v/>
      </c>
      <c r="U504" s="232" t="str">
        <f t="shared" si="356"/>
        <v>US2014$/kg of protein</v>
      </c>
      <c r="V504" s="28"/>
      <c r="W504" s="28"/>
      <c r="Y504" s="91"/>
      <c r="AO504" s="91"/>
      <c r="AP504" s="28"/>
      <c r="AQ504" s="28"/>
      <c r="AR504" s="237"/>
      <c r="AS504" s="28"/>
      <c r="AT504" s="304" t="str">
        <f t="shared" si="369"/>
        <v/>
      </c>
      <c r="AU504" s="304" t="str">
        <f t="shared" si="369"/>
        <v/>
      </c>
      <c r="AV504" s="28"/>
      <c r="AW504" s="304" t="str">
        <f t="shared" si="357"/>
        <v/>
      </c>
      <c r="AX504" s="304" t="str">
        <f t="shared" si="357"/>
        <v/>
      </c>
      <c r="AY504" s="28"/>
      <c r="AZ504" s="304" t="str">
        <f t="shared" si="358"/>
        <v/>
      </c>
      <c r="BA504" s="304" t="str">
        <f t="shared" si="358"/>
        <v/>
      </c>
      <c r="BB504" s="28"/>
      <c r="BC504" s="304" t="str">
        <f t="shared" si="359"/>
        <v/>
      </c>
      <c r="BD504" s="304" t="str">
        <f t="shared" si="359"/>
        <v/>
      </c>
      <c r="BE504" s="28"/>
      <c r="BF504" s="304" t="str">
        <f t="shared" si="360"/>
        <v/>
      </c>
      <c r="BG504" s="304" t="str">
        <f t="shared" si="360"/>
        <v/>
      </c>
      <c r="BH504" s="28"/>
      <c r="BI504" s="304" t="str">
        <f t="shared" si="361"/>
        <v/>
      </c>
      <c r="BJ504" s="304" t="str">
        <f t="shared" si="361"/>
        <v/>
      </c>
      <c r="BK504" s="28"/>
      <c r="BL504" s="304" t="str">
        <f t="shared" si="362"/>
        <v/>
      </c>
      <c r="BM504" s="304" t="str">
        <f t="shared" si="362"/>
        <v/>
      </c>
      <c r="BN504" s="28"/>
      <c r="BO504" s="304" t="str">
        <f t="shared" si="363"/>
        <v/>
      </c>
      <c r="BP504" s="304" t="str">
        <f t="shared" si="363"/>
        <v/>
      </c>
      <c r="BQ504" s="28"/>
      <c r="BR504" s="304" t="str">
        <f t="shared" si="364"/>
        <v/>
      </c>
      <c r="BS504" s="304" t="str">
        <f t="shared" si="364"/>
        <v/>
      </c>
      <c r="BT504" s="28"/>
      <c r="BU504" s="304" t="str">
        <f t="shared" si="365"/>
        <v/>
      </c>
      <c r="BV504" s="304" t="str">
        <f t="shared" si="365"/>
        <v/>
      </c>
      <c r="BW504" s="28"/>
      <c r="BX504" s="91"/>
    </row>
    <row r="505" spans="1:76" s="55" customFormat="1" x14ac:dyDescent="0.25">
      <c r="A505" s="195"/>
      <c r="B505" s="244" t="s">
        <v>163</v>
      </c>
      <c r="C505" s="199"/>
      <c r="D505" s="199"/>
      <c r="E505" s="199"/>
      <c r="F505" s="199"/>
      <c r="G505" s="122"/>
      <c r="H505" s="28"/>
      <c r="I505" s="245"/>
      <c r="J505" s="122"/>
      <c r="K505" s="122"/>
      <c r="L505" s="122" t="s">
        <v>134</v>
      </c>
      <c r="M505" s="122"/>
      <c r="N505" s="122"/>
      <c r="O505" s="122"/>
      <c r="P505" s="122"/>
      <c r="Q505" s="305" t="s">
        <v>136</v>
      </c>
      <c r="R505" s="246">
        <f>AVERAGE(R485:R504)</f>
        <v>8.5387747577451467</v>
      </c>
      <c r="S505" s="247">
        <f>IF(R513="Y",SUM(S485:S504)/SUMPRODUCT(N485:N504,--ISNUMBER(S485:S504)),AVERAGE(S485:S504))</f>
        <v>8.5387747577451503</v>
      </c>
      <c r="T505" s="248">
        <f>SUM(T485:T504)/SUMPRODUCT(N485:N504,--ISNUMBER(T485:T504))</f>
        <v>8.5387747577451503</v>
      </c>
      <c r="U505" s="28"/>
      <c r="V505" s="28"/>
      <c r="W505" s="28"/>
      <c r="Y505" s="249"/>
      <c r="AO505" s="91"/>
      <c r="AP505" s="28"/>
      <c r="AQ505" s="28"/>
      <c r="AR505" s="28"/>
      <c r="AS505" s="245" t="s">
        <v>136</v>
      </c>
      <c r="AT505" s="307" t="e">
        <f>AVERAGE(AT485:AT504)</f>
        <v>#DIV/0!</v>
      </c>
      <c r="AU505" s="307" t="e">
        <f>SUM(AU485:AU504)/COUNTIF(AU485:AU504,"&gt;0")</f>
        <v>#DIV/0!</v>
      </c>
      <c r="AV505" s="245"/>
      <c r="AW505" s="307">
        <f>AVERAGE(AW485:AW504)</f>
        <v>8.5387747577451467</v>
      </c>
      <c r="AX505" s="307">
        <f>SUM(AX485:AX504)/COUNTIF(AX485:AX504,"&gt;0")</f>
        <v>6.5748565634637641</v>
      </c>
      <c r="AY505" s="28"/>
      <c r="AZ505" s="307" t="e">
        <f>AVERAGE(AZ485:AZ504)</f>
        <v>#DIV/0!</v>
      </c>
      <c r="BA505" s="307" t="e">
        <f>SUM(BA485:BA504)/COUNTIF(BA485:BA504,"&gt;0")</f>
        <v>#DIV/0!</v>
      </c>
      <c r="BB505" s="28"/>
      <c r="BC505" s="307" t="e">
        <f>AVERAGE(BC485:BC504)</f>
        <v>#DIV/0!</v>
      </c>
      <c r="BD505" s="307" t="e">
        <f>SUM(BD485:BD504)/COUNTIF(BD485:BD504,"&gt;0")</f>
        <v>#DIV/0!</v>
      </c>
      <c r="BE505" s="28"/>
      <c r="BF505" s="307" t="e">
        <f>AVERAGE(BF485:BF504)</f>
        <v>#DIV/0!</v>
      </c>
      <c r="BG505" s="307" t="e">
        <f>SUM(BG485:BG504)/COUNTIF(BG485:BG504,"&gt;0")</f>
        <v>#DIV/0!</v>
      </c>
      <c r="BH505" s="28"/>
      <c r="BI505" s="307" t="e">
        <f>AVERAGE(BI485:BI504)</f>
        <v>#DIV/0!</v>
      </c>
      <c r="BJ505" s="307" t="e">
        <f>SUM(BJ485:BJ504)/COUNTIF(BJ485:BJ504,"&gt;0")</f>
        <v>#DIV/0!</v>
      </c>
      <c r="BK505" s="245"/>
      <c r="BL505" s="307" t="e">
        <f>AVERAGE(BL485:BL504)</f>
        <v>#DIV/0!</v>
      </c>
      <c r="BM505" s="307" t="e">
        <f>SUM(BM485:BM504)/COUNTIF(BM485:BM504,"&gt;0")</f>
        <v>#DIV/0!</v>
      </c>
      <c r="BN505" s="28"/>
      <c r="BO505" s="307" t="e">
        <f>AVERAGE(BO485:BO504)</f>
        <v>#DIV/0!</v>
      </c>
      <c r="BP505" s="307" t="e">
        <f>SUM(BP485:BP504)/COUNTIF(BP485:BP504,"&gt;0")</f>
        <v>#DIV/0!</v>
      </c>
      <c r="BQ505" s="28"/>
      <c r="BR505" s="307" t="e">
        <f>AVERAGE(BR485:BR504)</f>
        <v>#DIV/0!</v>
      </c>
      <c r="BS505" s="307" t="e">
        <f>SUM(BS485:BS504)/COUNTIF(BS485:BS504,"&gt;0")</f>
        <v>#DIV/0!</v>
      </c>
      <c r="BT505" s="28"/>
      <c r="BU505" s="307" t="e">
        <f>AVERAGE(BU485:BU504)</f>
        <v>#DIV/0!</v>
      </c>
      <c r="BV505" s="307" t="e">
        <f>SUM(BV485:BV504)/COUNTIF(BV485:BV504,"&gt;0")</f>
        <v>#DIV/0!</v>
      </c>
      <c r="BW505" s="28"/>
      <c r="BX505" s="91"/>
    </row>
    <row r="506" spans="1:76" s="55" customFormat="1" x14ac:dyDescent="0.25">
      <c r="A506" s="195"/>
      <c r="B506" s="244" t="s">
        <v>164</v>
      </c>
      <c r="C506" s="199" t="s">
        <v>139</v>
      </c>
      <c r="D506" s="252" t="s">
        <v>361</v>
      </c>
      <c r="E506" s="253"/>
      <c r="F506" s="253"/>
      <c r="G506" s="253"/>
      <c r="H506" s="253"/>
      <c r="I506" s="253"/>
      <c r="J506" s="254"/>
      <c r="K506" s="122"/>
      <c r="L506" s="122"/>
      <c r="M506" s="122"/>
      <c r="N506" s="122"/>
      <c r="O506" s="122"/>
      <c r="P506" s="122"/>
      <c r="Q506" s="306" t="s">
        <v>144</v>
      </c>
      <c r="R506" s="257">
        <f>R505+U506*R509</f>
        <v>15.669983003602377</v>
      </c>
      <c r="S506" s="257">
        <f>S505+U506*S509</f>
        <v>15.669983003602381</v>
      </c>
      <c r="T506" s="257">
        <f>T505+U506*T509</f>
        <v>15.669983003602381</v>
      </c>
      <c r="U506" s="258">
        <v>1</v>
      </c>
      <c r="V506" s="122" t="s">
        <v>142</v>
      </c>
      <c r="W506" s="28"/>
      <c r="X506" s="259" t="s">
        <v>143</v>
      </c>
      <c r="Y506" s="260"/>
      <c r="AO506" s="91"/>
      <c r="AP506" s="28"/>
      <c r="AQ506" s="28"/>
      <c r="AR506" s="28"/>
      <c r="AS506" s="256" t="s">
        <v>144</v>
      </c>
      <c r="AT506" s="261" t="e">
        <f>AT505+(AT511*AT508)</f>
        <v>#DIV/0!</v>
      </c>
      <c r="AU506" s="261" t="e">
        <f>AU505+(AU511*AT508)</f>
        <v>#DIV/0!</v>
      </c>
      <c r="AV506" s="256"/>
      <c r="AW506" s="261">
        <f>AW505+(AW511*AW508)</f>
        <v>15.669983003602377</v>
      </c>
      <c r="AX506" s="261">
        <f>AX505+(AX511*AW508)</f>
        <v>12.065886912773831</v>
      </c>
      <c r="AY506" s="28"/>
      <c r="AZ506" s="261" t="e">
        <f>AZ505+(AZ511*AZ508)</f>
        <v>#DIV/0!</v>
      </c>
      <c r="BA506" s="261" t="e">
        <f>BA505+(BA511*AZ508)</f>
        <v>#DIV/0!</v>
      </c>
      <c r="BB506" s="28"/>
      <c r="BC506" s="261" t="e">
        <f>BC505+(BC511*BC508)</f>
        <v>#DIV/0!</v>
      </c>
      <c r="BD506" s="261" t="e">
        <f>BD505+(BD511*BC508)</f>
        <v>#DIV/0!</v>
      </c>
      <c r="BE506" s="28"/>
      <c r="BF506" s="261" t="e">
        <f>BF505+(BF511*BF508)</f>
        <v>#DIV/0!</v>
      </c>
      <c r="BG506" s="261" t="e">
        <f>BG505+(BG511*BF508)</f>
        <v>#DIV/0!</v>
      </c>
      <c r="BH506" s="28"/>
      <c r="BI506" s="261" t="e">
        <f>BI505+(BI511*BI508)</f>
        <v>#DIV/0!</v>
      </c>
      <c r="BJ506" s="261" t="e">
        <f>BJ505+(BJ511*BI508)</f>
        <v>#DIV/0!</v>
      </c>
      <c r="BK506" s="256"/>
      <c r="BL506" s="261" t="e">
        <f>BL505+(BL511*BL508)</f>
        <v>#DIV/0!</v>
      </c>
      <c r="BM506" s="261" t="e">
        <f>BM505+(BM511*BL508)</f>
        <v>#DIV/0!</v>
      </c>
      <c r="BN506" s="28"/>
      <c r="BO506" s="261" t="e">
        <f>BO505+(BO511*BO508)</f>
        <v>#DIV/0!</v>
      </c>
      <c r="BP506" s="261" t="e">
        <f>BP505+(BP511*BO508)</f>
        <v>#DIV/0!</v>
      </c>
      <c r="BQ506" s="28"/>
      <c r="BR506" s="261" t="e">
        <f>BR505+(BR511*BR508)</f>
        <v>#DIV/0!</v>
      </c>
      <c r="BS506" s="261" t="e">
        <f>BS505+(BS511*BR508)</f>
        <v>#DIV/0!</v>
      </c>
      <c r="BT506" s="28"/>
      <c r="BU506" s="261" t="e">
        <f>BU505+(BU511*BU508)</f>
        <v>#DIV/0!</v>
      </c>
      <c r="BV506" s="261" t="e">
        <f>BV505+(BV511*BU508)</f>
        <v>#DIV/0!</v>
      </c>
      <c r="BW506" s="28"/>
      <c r="BX506" s="91"/>
    </row>
    <row r="507" spans="1:76" s="55" customFormat="1" x14ac:dyDescent="0.25">
      <c r="A507" s="195"/>
      <c r="B507" s="244" t="s">
        <v>165</v>
      </c>
      <c r="C507" s="195"/>
      <c r="D507" s="263"/>
      <c r="E507" s="264"/>
      <c r="F507" s="264"/>
      <c r="G507" s="264"/>
      <c r="H507" s="264"/>
      <c r="I507" s="264"/>
      <c r="J507" s="265"/>
      <c r="K507" s="28"/>
      <c r="L507" s="28"/>
      <c r="M507" s="122"/>
      <c r="N507" s="122"/>
      <c r="O507" s="122"/>
      <c r="P507" s="122"/>
      <c r="Q507" s="306" t="s">
        <v>150</v>
      </c>
      <c r="R507" s="257">
        <f>IF($X507="Y",MIN(R485:R504),R505-$U507*R509)</f>
        <v>1.4075665118879161</v>
      </c>
      <c r="S507" s="257">
        <f t="shared" ref="S507:T507" si="370">IF($X507="Y",MIN(S485:S504),S505-$U507*S509)</f>
        <v>1.4075665118879197</v>
      </c>
      <c r="T507" s="257">
        <f t="shared" si="370"/>
        <v>1.4075665118879197</v>
      </c>
      <c r="U507" s="258">
        <v>1</v>
      </c>
      <c r="V507" s="122" t="s">
        <v>148</v>
      </c>
      <c r="W507" s="28"/>
      <c r="X507" s="266" t="s">
        <v>149</v>
      </c>
      <c r="Y507" s="260"/>
      <c r="AO507" s="91"/>
      <c r="AP507" s="28"/>
      <c r="AQ507" s="28"/>
      <c r="AR507" s="28"/>
      <c r="AS507" s="256" t="s">
        <v>150</v>
      </c>
      <c r="AT507" s="261" t="e">
        <f>AT505-(AT511*AT509)</f>
        <v>#DIV/0!</v>
      </c>
      <c r="AU507" s="261" t="e">
        <f>AU505-(AU511*AT509)</f>
        <v>#DIV/0!</v>
      </c>
      <c r="AV507" s="256"/>
      <c r="AW507" s="261">
        <f>AW505-(AW511*AW509)</f>
        <v>1.4075665118879161</v>
      </c>
      <c r="AX507" s="261">
        <f>AX505-(AX511*AW509)</f>
        <v>1.0838262141536967</v>
      </c>
      <c r="AY507" s="28"/>
      <c r="AZ507" s="261" t="e">
        <f>AZ505-(AZ511*AZ509)</f>
        <v>#DIV/0!</v>
      </c>
      <c r="BA507" s="261" t="e">
        <f>BA505-(BA511*AZ509)</f>
        <v>#DIV/0!</v>
      </c>
      <c r="BB507" s="28"/>
      <c r="BC507" s="261" t="e">
        <f>BC505-(BC511*BC509)</f>
        <v>#DIV/0!</v>
      </c>
      <c r="BD507" s="261" t="e">
        <f>BD505-(BD511*BC509)</f>
        <v>#DIV/0!</v>
      </c>
      <c r="BE507" s="28"/>
      <c r="BF507" s="261" t="e">
        <f>BF505-(BF511*BF509)</f>
        <v>#DIV/0!</v>
      </c>
      <c r="BG507" s="261" t="e">
        <f>BG505-(BG511*BF509)</f>
        <v>#DIV/0!</v>
      </c>
      <c r="BH507" s="28"/>
      <c r="BI507" s="261" t="e">
        <f>BI505-(BI511*BI509)</f>
        <v>#DIV/0!</v>
      </c>
      <c r="BJ507" s="261" t="e">
        <f>BJ505-(BJ511*BI509)</f>
        <v>#DIV/0!</v>
      </c>
      <c r="BK507" s="256"/>
      <c r="BL507" s="261" t="e">
        <f>BL505-(BL511*BL509)</f>
        <v>#DIV/0!</v>
      </c>
      <c r="BM507" s="261" t="e">
        <f>BM505-(BM511*BL509)</f>
        <v>#DIV/0!</v>
      </c>
      <c r="BN507" s="28"/>
      <c r="BO507" s="261" t="e">
        <f>BO505-(BO511*BO509)</f>
        <v>#DIV/0!</v>
      </c>
      <c r="BP507" s="261" t="e">
        <f>BP505-(BP511*BO509)</f>
        <v>#DIV/0!</v>
      </c>
      <c r="BQ507" s="28"/>
      <c r="BR507" s="261" t="e">
        <f>BR505-(BR511*BR509)</f>
        <v>#DIV/0!</v>
      </c>
      <c r="BS507" s="261" t="e">
        <f>BS505-(BS511*BR509)</f>
        <v>#DIV/0!</v>
      </c>
      <c r="BT507" s="28"/>
      <c r="BU507" s="261" t="e">
        <f>BU505-(BU511*BU509)</f>
        <v>#DIV/0!</v>
      </c>
      <c r="BV507" s="261" t="e">
        <f>BV505-(BV511*BU509)</f>
        <v>#DIV/0!</v>
      </c>
      <c r="BW507" s="28"/>
      <c r="BX507" s="91"/>
    </row>
    <row r="508" spans="1:76" s="55" customFormat="1" ht="14.25" x14ac:dyDescent="0.2">
      <c r="A508" s="195"/>
      <c r="B508" s="196"/>
      <c r="C508" s="195"/>
      <c r="D508" s="263"/>
      <c r="E508" s="264"/>
      <c r="F508" s="264"/>
      <c r="G508" s="264"/>
      <c r="H508" s="264"/>
      <c r="I508" s="264"/>
      <c r="J508" s="265"/>
      <c r="K508" s="122"/>
      <c r="L508" s="122">
        <f>24.48/3.2</f>
        <v>7.6499999999999995</v>
      </c>
      <c r="M508" s="122"/>
      <c r="N508" s="122"/>
      <c r="O508" s="122"/>
      <c r="P508" s="122"/>
      <c r="Q508" s="306" t="s">
        <v>151</v>
      </c>
      <c r="R508" s="257" t="str">
        <f>IF((0.67*R509)&gt;R505,"no","yes")</f>
        <v>yes</v>
      </c>
      <c r="S508" s="257" t="str">
        <f>IF((0.67*S509)&gt;S505,"no","yes")</f>
        <v>yes</v>
      </c>
      <c r="T508" s="257" t="str">
        <f>IF((0.67*T509)&gt;T505,"no","yes")</f>
        <v>yes</v>
      </c>
      <c r="U508" s="122"/>
      <c r="V508" s="122"/>
      <c r="W508" s="122"/>
      <c r="Y508" s="260"/>
      <c r="AO508" s="91"/>
      <c r="AP508" s="122"/>
      <c r="AQ508" s="122"/>
      <c r="AR508" s="267" t="s">
        <v>152</v>
      </c>
      <c r="AS508" s="268"/>
      <c r="AT508" s="258">
        <v>1</v>
      </c>
      <c r="AU508" s="122"/>
      <c r="AV508" s="308"/>
      <c r="AW508" s="258">
        <v>1</v>
      </c>
      <c r="AX508" s="122"/>
      <c r="AY508" s="122"/>
      <c r="AZ508" s="258">
        <v>1</v>
      </c>
      <c r="BA508" s="122"/>
      <c r="BB508" s="122"/>
      <c r="BC508" s="258">
        <v>1</v>
      </c>
      <c r="BD508" s="122"/>
      <c r="BE508" s="122"/>
      <c r="BF508" s="258">
        <v>1</v>
      </c>
      <c r="BG508" s="122"/>
      <c r="BH508" s="122"/>
      <c r="BI508" s="258">
        <v>1</v>
      </c>
      <c r="BJ508" s="122"/>
      <c r="BK508" s="256"/>
      <c r="BL508" s="258">
        <v>1</v>
      </c>
      <c r="BM508" s="122"/>
      <c r="BN508" s="122"/>
      <c r="BO508" s="258">
        <v>1</v>
      </c>
      <c r="BP508" s="122"/>
      <c r="BQ508" s="122"/>
      <c r="BR508" s="258">
        <v>1</v>
      </c>
      <c r="BS508" s="122"/>
      <c r="BT508" s="122"/>
      <c r="BU508" s="258">
        <v>1</v>
      </c>
      <c r="BV508" s="122"/>
      <c r="BW508" s="122"/>
      <c r="BX508" s="91"/>
    </row>
    <row r="509" spans="1:76" s="55" customFormat="1" ht="28.5" x14ac:dyDescent="0.2">
      <c r="A509" s="270" t="e">
        <f ca="1">HYPERLINK("#"&amp;"'"&amp;A$1&amp;"'!a1","Back to top")</f>
        <v>#VALUE!</v>
      </c>
      <c r="B509" s="271"/>
      <c r="C509" s="195"/>
      <c r="D509" s="263"/>
      <c r="E509" s="264"/>
      <c r="F509" s="264"/>
      <c r="G509" s="264"/>
      <c r="H509" s="264"/>
      <c r="I509" s="264"/>
      <c r="J509" s="265"/>
      <c r="K509" s="122"/>
      <c r="L509" s="122"/>
      <c r="M509" s="122"/>
      <c r="N509" s="122"/>
      <c r="O509" s="122"/>
      <c r="P509" s="122"/>
      <c r="Q509" s="306" t="s">
        <v>157</v>
      </c>
      <c r="R509" s="257">
        <f>IF(COUNT(R485:R504)&gt;1,_xlfn.STDEV.S(R485:R504),0)</f>
        <v>7.1312082458572306</v>
      </c>
      <c r="S509" s="257">
        <f t="array" ref="S509">IF(R513="Y",SQRT(SUM(IFERROR(N485:N504*(R485:R504-(S505))^2,0))/((COUNT(S485:S504)-1)/COUNT(S485:S504)*SUMPRODUCT(N485:N504,--ISNUMBER(S485:S504)))),_xlfn.STDEV.S(S485:S504))</f>
        <v>7.1312082458572306</v>
      </c>
      <c r="T509" s="257">
        <f t="array" ref="T509">SQRT(SUM(IFERROR(N485:N504*(R485:R504-(T505))^2,0))/((COUNT(T485:T504)-1)/COUNT(T485:T504)*SUMPRODUCT(N485:N504,--ISNUMBER(T485:T504))))</f>
        <v>7.1312082458572306</v>
      </c>
      <c r="U509" s="122"/>
      <c r="V509" s="122"/>
      <c r="W509" s="122"/>
      <c r="Y509" s="260"/>
      <c r="AO509" s="91"/>
      <c r="AP509" s="122"/>
      <c r="AQ509" s="122"/>
      <c r="AR509" s="267"/>
      <c r="AS509" s="268"/>
      <c r="AT509" s="258">
        <v>1</v>
      </c>
      <c r="AU509" s="122"/>
      <c r="AV509" s="308"/>
      <c r="AW509" s="258">
        <v>1</v>
      </c>
      <c r="AX509" s="122"/>
      <c r="AY509" s="122"/>
      <c r="AZ509" s="258">
        <v>1</v>
      </c>
      <c r="BA509" s="122"/>
      <c r="BB509" s="122"/>
      <c r="BC509" s="258">
        <v>1</v>
      </c>
      <c r="BD509" s="122"/>
      <c r="BE509" s="122"/>
      <c r="BF509" s="258">
        <v>1</v>
      </c>
      <c r="BG509" s="122"/>
      <c r="BH509" s="122"/>
      <c r="BI509" s="258">
        <v>1</v>
      </c>
      <c r="BJ509" s="122"/>
      <c r="BK509" s="256"/>
      <c r="BL509" s="258">
        <v>1</v>
      </c>
      <c r="BM509" s="122"/>
      <c r="BN509" s="122"/>
      <c r="BO509" s="258">
        <v>1</v>
      </c>
      <c r="BP509" s="122"/>
      <c r="BQ509" s="122"/>
      <c r="BR509" s="258">
        <v>1</v>
      </c>
      <c r="BS509" s="122"/>
      <c r="BT509" s="122"/>
      <c r="BU509" s="258">
        <v>1</v>
      </c>
      <c r="BV509" s="122"/>
      <c r="BW509" s="122"/>
      <c r="BX509" s="91"/>
    </row>
    <row r="510" spans="1:76" s="55" customFormat="1" ht="15" customHeight="1" x14ac:dyDescent="0.25">
      <c r="A510" s="195"/>
      <c r="B510" s="196"/>
      <c r="C510" s="195"/>
      <c r="D510" s="263"/>
      <c r="E510" s="264"/>
      <c r="F510" s="264"/>
      <c r="G510" s="264"/>
      <c r="H510" s="264"/>
      <c r="I510" s="264"/>
      <c r="J510" s="265"/>
      <c r="K510" s="122"/>
      <c r="L510" s="122"/>
      <c r="M510" s="122"/>
      <c r="N510" s="122"/>
      <c r="O510" s="122"/>
      <c r="P510" s="122"/>
      <c r="Q510" s="309" t="s">
        <v>159</v>
      </c>
      <c r="R510" s="310">
        <f>COUNT(R485:R504)</f>
        <v>13</v>
      </c>
      <c r="S510" s="310">
        <f>COUNT(S485:S504)</f>
        <v>13</v>
      </c>
      <c r="T510" s="118"/>
      <c r="U510" s="273" t="s">
        <v>155</v>
      </c>
      <c r="V510" s="122"/>
      <c r="W510" s="122"/>
      <c r="Y510" s="91"/>
      <c r="AO510" s="91"/>
      <c r="AP510" s="122"/>
      <c r="AQ510" s="122"/>
      <c r="AR510" s="122"/>
      <c r="AS510" s="256" t="s">
        <v>151</v>
      </c>
      <c r="AT510" s="261" t="e">
        <f>IF((0.67*AT511)&gt;AT505,"no","yes")</f>
        <v>#DIV/0!</v>
      </c>
      <c r="AU510" s="261" t="e">
        <f>IF((0.67*AU511)&gt;AU505,"no","yes")</f>
        <v>#DIV/0!</v>
      </c>
      <c r="AV510" s="256"/>
      <c r="AW510" s="261" t="str">
        <f>IF((0.67*AW511)&gt;AW505,"no","yes")</f>
        <v>yes</v>
      </c>
      <c r="AX510" s="261" t="str">
        <f>IF((0.67*AX511)&gt;AX505,"no","yes")</f>
        <v>yes</v>
      </c>
      <c r="AY510" s="122"/>
      <c r="AZ510" s="261" t="e">
        <f>IF((0.67*AZ511)&gt;AZ505,"no","yes")</f>
        <v>#DIV/0!</v>
      </c>
      <c r="BA510" s="261" t="e">
        <f>IF((0.67*BA511)&gt;BA505,"no","yes")</f>
        <v>#DIV/0!</v>
      </c>
      <c r="BB510" s="122"/>
      <c r="BC510" s="261" t="e">
        <f>IF((0.67*BC511)&gt;BC505,"no","yes")</f>
        <v>#DIV/0!</v>
      </c>
      <c r="BD510" s="261" t="e">
        <f>IF((0.67*BD511)&gt;BD505,"no","yes")</f>
        <v>#DIV/0!</v>
      </c>
      <c r="BE510" s="122"/>
      <c r="BF510" s="261" t="e">
        <f>IF((0.67*BF511)&gt;BF505,"no","yes")</f>
        <v>#DIV/0!</v>
      </c>
      <c r="BG510" s="261" t="e">
        <f>IF((0.67*BG511)&gt;BG505,"no","yes")</f>
        <v>#DIV/0!</v>
      </c>
      <c r="BH510" s="122"/>
      <c r="BI510" s="261" t="e">
        <f>IF((0.67*BI511)&gt;BI505,"no","yes")</f>
        <v>#DIV/0!</v>
      </c>
      <c r="BJ510" s="261" t="e">
        <f>IF((0.67*BJ511)&gt;BJ505,"no","yes")</f>
        <v>#DIV/0!</v>
      </c>
      <c r="BK510" s="133"/>
      <c r="BL510" s="261" t="e">
        <f>IF((0.67*BL511)&gt;BL505,"no","yes")</f>
        <v>#DIV/0!</v>
      </c>
      <c r="BM510" s="261" t="e">
        <f>IF((0.67*BM511)&gt;BM505,"no","yes")</f>
        <v>#DIV/0!</v>
      </c>
      <c r="BN510" s="122"/>
      <c r="BO510" s="261" t="e">
        <f>IF((0.67*BO511)&gt;BO505,"no","yes")</f>
        <v>#DIV/0!</v>
      </c>
      <c r="BP510" s="261" t="e">
        <f>IF((0.67*BP511)&gt;BP505,"no","yes")</f>
        <v>#DIV/0!</v>
      </c>
      <c r="BQ510" s="122"/>
      <c r="BR510" s="261" t="e">
        <f>IF((0.67*BR511)&gt;BR505,"no","yes")</f>
        <v>#DIV/0!</v>
      </c>
      <c r="BS510" s="261" t="e">
        <f>IF((0.67*BS511)&gt;BS505,"no","yes")</f>
        <v>#DIV/0!</v>
      </c>
      <c r="BT510" s="122"/>
      <c r="BU510" s="261" t="e">
        <f>IF((0.67*BU511)&gt;BU505,"no","yes")</f>
        <v>#DIV/0!</v>
      </c>
      <c r="BV510" s="261" t="e">
        <f>IF((0.67*BV511)&gt;BV505,"no","yes")</f>
        <v>#DIV/0!</v>
      </c>
      <c r="BW510" s="122"/>
      <c r="BX510" s="91"/>
    </row>
    <row r="511" spans="1:76" s="55" customFormat="1" ht="14.25" x14ac:dyDescent="0.2">
      <c r="B511" s="23"/>
      <c r="C511" s="195"/>
      <c r="D511" s="263"/>
      <c r="E511" s="264"/>
      <c r="F511" s="264"/>
      <c r="G511" s="264"/>
      <c r="H511" s="264"/>
      <c r="I511" s="264"/>
      <c r="J511" s="265"/>
      <c r="K511" s="122"/>
      <c r="L511" s="122"/>
      <c r="M511" s="122"/>
      <c r="N511" s="122"/>
      <c r="O511" s="122"/>
      <c r="P511" s="122"/>
      <c r="Q511" s="311"/>
      <c r="R511" s="118"/>
      <c r="S511" s="118"/>
      <c r="T511" s="118"/>
      <c r="U511" s="274"/>
      <c r="V511" s="275"/>
      <c r="W511" s="276"/>
      <c r="Y511" s="91"/>
      <c r="AO511" s="91"/>
      <c r="AP511" s="122"/>
      <c r="AQ511" s="122"/>
      <c r="AR511" s="122"/>
      <c r="AS511" s="256" t="s">
        <v>157</v>
      </c>
      <c r="AT511" s="261">
        <f>IF(AT512&gt;1,_xlfn.STDEV.S(AT485:AT504),0)</f>
        <v>0</v>
      </c>
      <c r="AU511" s="261">
        <f>IF(AU512&gt;1,_xlfn.STDEV.S(AU485:AU504),0)</f>
        <v>0</v>
      </c>
      <c r="AV511" s="122"/>
      <c r="AW511" s="261">
        <f t="shared" ref="AW511:AX511" si="371">IF(AW512&gt;1,_xlfn.STDEV.S(AW485:AW504),0)</f>
        <v>7.1312082458572306</v>
      </c>
      <c r="AX511" s="261">
        <f t="shared" si="371"/>
        <v>5.4910303493100674</v>
      </c>
      <c r="AY511" s="122"/>
      <c r="AZ511" s="261">
        <f t="shared" ref="AZ511:BA511" si="372">IF(AZ512&gt;1,_xlfn.STDEV.S(AZ485:AZ504),0)</f>
        <v>0</v>
      </c>
      <c r="BA511" s="261">
        <f t="shared" si="372"/>
        <v>0</v>
      </c>
      <c r="BB511" s="122"/>
      <c r="BC511" s="261">
        <f t="shared" ref="BC511:BD511" si="373">IF(BC512&gt;1,_xlfn.STDEV.S(BC485:BC504),0)</f>
        <v>0</v>
      </c>
      <c r="BD511" s="261">
        <f t="shared" si="373"/>
        <v>0</v>
      </c>
      <c r="BE511" s="122"/>
      <c r="BF511" s="261">
        <f t="shared" ref="BF511:BG511" si="374">IF(BF512&gt;1,_xlfn.STDEV.S(BF485:BF504),0)</f>
        <v>0</v>
      </c>
      <c r="BG511" s="261">
        <f t="shared" si="374"/>
        <v>0</v>
      </c>
      <c r="BH511" s="122"/>
      <c r="BI511" s="261">
        <f t="shared" ref="BI511:BJ511" si="375">IF(BI512&gt;1,_xlfn.STDEV.S(BI485:BI504),0)</f>
        <v>0</v>
      </c>
      <c r="BJ511" s="261">
        <f t="shared" si="375"/>
        <v>0</v>
      </c>
      <c r="BK511" s="122"/>
      <c r="BL511" s="261">
        <f t="shared" ref="BL511:BM511" si="376">IF(BL512&gt;1,_xlfn.STDEV.S(BL485:BL504),0)</f>
        <v>0</v>
      </c>
      <c r="BM511" s="261">
        <f t="shared" si="376"/>
        <v>0</v>
      </c>
      <c r="BN511" s="122"/>
      <c r="BO511" s="261">
        <f t="shared" ref="BO511:BP511" si="377">IF(BO512&gt;1,_xlfn.STDEV.S(BO485:BO504),0)</f>
        <v>0</v>
      </c>
      <c r="BP511" s="261">
        <f t="shared" si="377"/>
        <v>0</v>
      </c>
      <c r="BQ511" s="122"/>
      <c r="BR511" s="261">
        <f t="shared" ref="BR511:BS511" si="378">IF(BR512&gt;1,_xlfn.STDEV.S(BR485:BR504),0)</f>
        <v>0</v>
      </c>
      <c r="BS511" s="261">
        <f t="shared" si="378"/>
        <v>0</v>
      </c>
      <c r="BT511" s="122"/>
      <c r="BU511" s="261">
        <f t="shared" ref="BU511:BV511" si="379">IF(BU512&gt;1,_xlfn.STDEV.S(BU485:BU504),0)</f>
        <v>0</v>
      </c>
      <c r="BV511" s="261">
        <f t="shared" si="379"/>
        <v>0</v>
      </c>
      <c r="BW511" s="122"/>
      <c r="BX511" s="91"/>
    </row>
    <row r="512" spans="1:76" s="55" customFormat="1" x14ac:dyDescent="0.2">
      <c r="B512" s="23"/>
      <c r="C512" s="122"/>
      <c r="D512" s="277"/>
      <c r="E512" s="278"/>
      <c r="F512" s="278"/>
      <c r="G512" s="278"/>
      <c r="H512" s="278"/>
      <c r="I512" s="278"/>
      <c r="J512" s="279"/>
      <c r="Q512" s="81"/>
      <c r="R512" s="280" t="s">
        <v>158</v>
      </c>
      <c r="T512" s="122"/>
      <c r="U512" s="281"/>
      <c r="V512" s="282"/>
      <c r="W512" s="283"/>
      <c r="Y512" s="91"/>
      <c r="AO512" s="91"/>
      <c r="AP512" s="122"/>
      <c r="AQ512" s="122"/>
      <c r="AR512" s="122"/>
      <c r="AS512" s="133" t="s">
        <v>159</v>
      </c>
      <c r="AT512" s="284">
        <f>COUNT(AT485:AT504)</f>
        <v>0</v>
      </c>
      <c r="AU512" s="284">
        <f>COUNT(AU485:AU504)</f>
        <v>0</v>
      </c>
      <c r="AV512" s="122"/>
      <c r="AW512" s="284">
        <f t="shared" ref="AW512:AX512" si="380">COUNT(AW485:AW504)</f>
        <v>13</v>
      </c>
      <c r="AX512" s="284">
        <f t="shared" si="380"/>
        <v>13</v>
      </c>
      <c r="AY512" s="122"/>
      <c r="AZ512" s="284">
        <f t="shared" ref="AZ512:BA512" si="381">COUNT(AZ485:AZ504)</f>
        <v>0</v>
      </c>
      <c r="BA512" s="284">
        <f t="shared" si="381"/>
        <v>0</v>
      </c>
      <c r="BB512" s="122"/>
      <c r="BC512" s="284">
        <f t="shared" ref="BC512:BD512" si="382">COUNT(BC485:BC504)</f>
        <v>0</v>
      </c>
      <c r="BD512" s="284">
        <f t="shared" si="382"/>
        <v>0</v>
      </c>
      <c r="BE512" s="122"/>
      <c r="BF512" s="284">
        <f t="shared" ref="BF512:BG512" si="383">COUNT(BF485:BF504)</f>
        <v>0</v>
      </c>
      <c r="BG512" s="284">
        <f t="shared" si="383"/>
        <v>0</v>
      </c>
      <c r="BH512" s="122"/>
      <c r="BI512" s="284">
        <f t="shared" ref="BI512:BJ512" si="384">COUNT(BI485:BI504)</f>
        <v>0</v>
      </c>
      <c r="BJ512" s="284">
        <f t="shared" si="384"/>
        <v>0</v>
      </c>
      <c r="BK512" s="122"/>
      <c r="BL512" s="284">
        <f t="shared" ref="BL512:BM512" si="385">COUNT(BL485:BL504)</f>
        <v>0</v>
      </c>
      <c r="BM512" s="284">
        <f t="shared" si="385"/>
        <v>0</v>
      </c>
      <c r="BN512" s="122"/>
      <c r="BO512" s="284">
        <f t="shared" ref="BO512:BP512" si="386">COUNT(BO485:BO504)</f>
        <v>0</v>
      </c>
      <c r="BP512" s="284">
        <f t="shared" si="386"/>
        <v>0</v>
      </c>
      <c r="BQ512" s="122"/>
      <c r="BR512" s="284">
        <f t="shared" ref="BR512:BS512" si="387">COUNT(BR485:BR504)</f>
        <v>0</v>
      </c>
      <c r="BS512" s="284">
        <f t="shared" si="387"/>
        <v>0</v>
      </c>
      <c r="BT512" s="122"/>
      <c r="BU512" s="284">
        <f t="shared" ref="BU512:BV512" si="388">COUNT(BU485:BU504)</f>
        <v>0</v>
      </c>
      <c r="BV512" s="284">
        <f t="shared" si="388"/>
        <v>0</v>
      </c>
      <c r="BW512" s="122"/>
      <c r="BX512" s="91"/>
    </row>
    <row r="513" spans="1:76" s="55" customFormat="1" ht="14.25" x14ac:dyDescent="0.2">
      <c r="B513" s="23"/>
      <c r="C513" s="122"/>
      <c r="D513" s="314"/>
      <c r="E513" s="314"/>
      <c r="F513" s="314"/>
      <c r="G513" s="314"/>
      <c r="H513" s="314"/>
      <c r="I513" s="314"/>
      <c r="J513" s="314"/>
      <c r="Q513" s="81"/>
      <c r="R513" s="287" t="s">
        <v>327</v>
      </c>
      <c r="T513" s="122"/>
      <c r="U513" s="281"/>
      <c r="V513" s="282"/>
      <c r="W513" s="283"/>
      <c r="Y513" s="91"/>
      <c r="AO513" s="91"/>
      <c r="BX513" s="91"/>
    </row>
    <row r="514" spans="1:76" s="55" customFormat="1" ht="14.25" x14ac:dyDescent="0.2">
      <c r="B514" s="23"/>
      <c r="C514" s="122"/>
      <c r="D514" s="314"/>
      <c r="E514" s="314"/>
      <c r="F514" s="314"/>
      <c r="G514" s="314"/>
      <c r="H514" s="314"/>
      <c r="I514" s="314"/>
      <c r="J514" s="314"/>
      <c r="Q514" s="81"/>
      <c r="T514" s="122"/>
      <c r="U514" s="288"/>
      <c r="V514" s="289"/>
      <c r="W514" s="290"/>
      <c r="Y514" s="91"/>
      <c r="AO514" s="91"/>
      <c r="BX514" s="91"/>
    </row>
    <row r="515" spans="1:76" x14ac:dyDescent="0.2">
      <c r="B515" s="353"/>
      <c r="T515" s="122"/>
      <c r="U515" s="122"/>
      <c r="V515" s="122"/>
      <c r="W515" s="122"/>
      <c r="Y515" s="91"/>
    </row>
    <row r="516" spans="1:76" s="55" customFormat="1" ht="14.25" x14ac:dyDescent="0.2">
      <c r="B516" s="23"/>
      <c r="Q516" s="81"/>
      <c r="Y516" s="91"/>
      <c r="AO516" s="91"/>
      <c r="BX516" s="91"/>
    </row>
    <row r="517" spans="1:76" s="55" customFormat="1" ht="14.25" x14ac:dyDescent="0.2">
      <c r="B517" s="23"/>
      <c r="Q517" s="81"/>
      <c r="Y517" s="91"/>
      <c r="AO517" s="91"/>
      <c r="BX517" s="91"/>
    </row>
    <row r="518" spans="1:76" s="55" customFormat="1" ht="18" x14ac:dyDescent="0.25">
      <c r="B518" s="23"/>
      <c r="Q518" s="81"/>
      <c r="Y518" s="91"/>
      <c r="AO518" s="296"/>
      <c r="AP518" s="345"/>
      <c r="AQ518" s="345"/>
      <c r="AR518" s="346"/>
      <c r="AS518" s="346"/>
      <c r="AT518" s="346"/>
      <c r="AU518" s="346"/>
      <c r="AV518" s="346"/>
      <c r="AW518" s="346"/>
      <c r="AX518" s="346"/>
      <c r="AY518" s="346"/>
      <c r="AZ518" s="346"/>
      <c r="BA518" s="346"/>
      <c r="BB518" s="346"/>
      <c r="BC518" s="346"/>
      <c r="BD518" s="346"/>
      <c r="BE518" s="346"/>
      <c r="BF518" s="346"/>
      <c r="BG518" s="346"/>
      <c r="BH518" s="346"/>
      <c r="BI518" s="346"/>
      <c r="BJ518" s="346"/>
      <c r="BK518" s="346"/>
      <c r="BL518" s="346"/>
      <c r="BM518" s="346"/>
      <c r="BN518" s="346"/>
      <c r="BO518" s="346"/>
      <c r="BP518" s="346"/>
      <c r="BQ518" s="346"/>
      <c r="BR518" s="346"/>
      <c r="BS518" s="346"/>
      <c r="BT518" s="346"/>
      <c r="BU518" s="346"/>
      <c r="BV518" s="346"/>
      <c r="BW518" s="346"/>
      <c r="BX518" s="296"/>
    </row>
    <row r="519" spans="1:76" s="357" customFormat="1" ht="27.75" x14ac:dyDescent="0.4">
      <c r="A519" s="355" t="s">
        <v>362</v>
      </c>
      <c r="B519" s="356"/>
      <c r="Q519" s="358"/>
    </row>
    <row r="520" spans="1:76" s="55" customFormat="1" x14ac:dyDescent="0.25">
      <c r="B520" s="23"/>
      <c r="Q520" s="81"/>
      <c r="Y520" s="91"/>
      <c r="AO520" s="91"/>
      <c r="AS520" s="28"/>
      <c r="AT520" s="28"/>
      <c r="AU520" s="28"/>
      <c r="AV520" s="28"/>
      <c r="AW520" s="198"/>
      <c r="AX520" s="198"/>
      <c r="AY520" s="198"/>
      <c r="AZ520" s="28"/>
      <c r="BA520" s="28"/>
      <c r="BB520" s="198"/>
      <c r="BC520" s="198"/>
      <c r="BD520" s="198"/>
      <c r="BE520" s="28"/>
      <c r="BF520" s="28"/>
      <c r="BG520" s="198"/>
      <c r="BH520" s="198"/>
      <c r="BI520" s="198"/>
      <c r="BJ520" s="28"/>
      <c r="BK520" s="28"/>
      <c r="BL520" s="198"/>
      <c r="BM520" s="198"/>
      <c r="BN520" s="198"/>
      <c r="BO520" s="28"/>
      <c r="BP520" s="28"/>
      <c r="BQ520" s="198"/>
      <c r="BR520" s="198"/>
      <c r="BS520" s="198"/>
      <c r="BT520" s="28"/>
      <c r="BU520" s="28"/>
      <c r="BV520" s="198"/>
      <c r="BW520" s="28"/>
      <c r="BX520" s="91"/>
    </row>
    <row r="521" spans="1:76" s="55" customFormat="1" x14ac:dyDescent="0.25">
      <c r="B521" s="23"/>
      <c r="Q521" s="81"/>
      <c r="Y521" s="91"/>
      <c r="AO521" s="91"/>
      <c r="AS521" s="28"/>
      <c r="AT521" s="28"/>
      <c r="AU521" s="28"/>
      <c r="AV521" s="28"/>
      <c r="AW521" s="198"/>
      <c r="AX521" s="198"/>
      <c r="AY521" s="198"/>
      <c r="AZ521" s="28"/>
      <c r="BA521" s="28"/>
      <c r="BB521" s="198"/>
      <c r="BC521" s="198"/>
      <c r="BD521" s="198"/>
      <c r="BE521" s="28"/>
      <c r="BF521" s="28"/>
      <c r="BG521" s="198"/>
      <c r="BH521" s="198"/>
      <c r="BI521" s="198"/>
      <c r="BJ521" s="28"/>
      <c r="BK521" s="28"/>
      <c r="BL521" s="198"/>
      <c r="BM521" s="198"/>
      <c r="BN521" s="198"/>
      <c r="BO521" s="28"/>
      <c r="BP521" s="28"/>
      <c r="BQ521" s="198"/>
      <c r="BR521" s="198"/>
      <c r="BS521" s="198"/>
      <c r="BT521" s="28"/>
      <c r="BU521" s="28"/>
      <c r="BV521" s="198"/>
      <c r="BW521" s="28"/>
      <c r="BX521" s="91"/>
    </row>
    <row r="522" spans="1:76" s="9" customFormat="1" ht="18" x14ac:dyDescent="0.25">
      <c r="A522" s="188">
        <f>A482+1</f>
        <v>12</v>
      </c>
      <c r="B522" s="189"/>
      <c r="C522" s="293" t="s">
        <v>363</v>
      </c>
      <c r="D522" s="191"/>
      <c r="E522" s="191"/>
      <c r="F522" s="191"/>
      <c r="G522" s="191"/>
      <c r="J522" s="191"/>
      <c r="K522" s="191"/>
      <c r="L522" s="192"/>
      <c r="M522" s="192"/>
      <c r="N522" s="192"/>
      <c r="Q522" s="193"/>
      <c r="R522" s="194" t="s">
        <v>93</v>
      </c>
      <c r="S522" s="194"/>
      <c r="T522" s="194"/>
      <c r="U522" s="194"/>
      <c r="AP522" s="175">
        <f>A522</f>
        <v>12</v>
      </c>
      <c r="AQ522" s="175" t="str">
        <f>C522</f>
        <v>Electricty Consumed per Functional Unit - CONVENTIONAL</v>
      </c>
    </row>
    <row r="523" spans="1:76" s="55" customFormat="1" x14ac:dyDescent="0.25">
      <c r="A523" s="195"/>
      <c r="B523" s="196"/>
      <c r="C523" s="195"/>
      <c r="D523" s="120"/>
      <c r="E523" s="120"/>
      <c r="F523" s="120"/>
      <c r="G523" s="120"/>
      <c r="J523" s="120"/>
      <c r="K523" s="120"/>
      <c r="L523" s="122"/>
      <c r="M523" s="122"/>
      <c r="N523" s="122"/>
      <c r="Q523" s="81"/>
      <c r="Y523" s="91"/>
      <c r="AO523" s="91"/>
      <c r="AP523" s="28"/>
      <c r="AQ523" s="28"/>
      <c r="AR523" s="28"/>
      <c r="AS523" s="28"/>
      <c r="AT523" s="198" t="s">
        <v>171</v>
      </c>
      <c r="AU523" s="198"/>
      <c r="AV523" s="28"/>
      <c r="AW523" s="198" t="s">
        <v>96</v>
      </c>
      <c r="AX523" s="198"/>
      <c r="AY523" s="28"/>
      <c r="AZ523" s="198" t="s">
        <v>97</v>
      </c>
      <c r="BA523" s="198"/>
      <c r="BB523" s="28"/>
      <c r="BC523" s="198" t="s">
        <v>98</v>
      </c>
      <c r="BD523" s="198"/>
      <c r="BE523" s="28"/>
      <c r="BF523" s="198" t="s">
        <v>99</v>
      </c>
      <c r="BG523" s="198"/>
      <c r="BH523" s="28"/>
      <c r="BI523" s="198" t="s">
        <v>100</v>
      </c>
      <c r="BJ523" s="198"/>
      <c r="BK523" s="28"/>
      <c r="BL523" s="198" t="s">
        <v>101</v>
      </c>
      <c r="BM523" s="198"/>
      <c r="BN523" s="28"/>
      <c r="BO523" s="198" t="s">
        <v>102</v>
      </c>
      <c r="BP523" s="198"/>
      <c r="BQ523" s="28"/>
      <c r="BR523" s="198" t="s">
        <v>103</v>
      </c>
      <c r="BS523" s="198"/>
      <c r="BT523" s="28"/>
      <c r="BU523" s="198" t="s">
        <v>104</v>
      </c>
      <c r="BV523" s="198"/>
      <c r="BW523" s="28"/>
      <c r="BX523" s="91"/>
    </row>
    <row r="524" spans="1:76" s="55" customFormat="1" ht="30.75" thickBot="1" x14ac:dyDescent="0.3">
      <c r="A524" s="199" t="s">
        <v>105</v>
      </c>
      <c r="B524" s="200" t="s">
        <v>106</v>
      </c>
      <c r="C524" s="201" t="s">
        <v>107</v>
      </c>
      <c r="D524" s="202" t="s">
        <v>108</v>
      </c>
      <c r="E524" s="202" t="s">
        <v>109</v>
      </c>
      <c r="F524" s="201" t="s">
        <v>110</v>
      </c>
      <c r="G524" s="201" t="s">
        <v>111</v>
      </c>
      <c r="H524" s="202" t="s">
        <v>112</v>
      </c>
      <c r="I524" s="203" t="s">
        <v>113</v>
      </c>
      <c r="J524" s="204" t="s">
        <v>114</v>
      </c>
      <c r="K524" s="205" t="s">
        <v>115</v>
      </c>
      <c r="L524" s="206" t="s">
        <v>116</v>
      </c>
      <c r="M524" s="207" t="s">
        <v>117</v>
      </c>
      <c r="N524" s="208" t="s">
        <v>118</v>
      </c>
      <c r="O524" s="207" t="s">
        <v>119</v>
      </c>
      <c r="P524" s="210"/>
      <c r="Q524" s="211" t="s">
        <v>120</v>
      </c>
      <c r="R524" s="212" t="s">
        <v>121</v>
      </c>
      <c r="S524" s="212" t="s">
        <v>122</v>
      </c>
      <c r="T524" s="212" t="s">
        <v>123</v>
      </c>
      <c r="U524" s="213" t="s">
        <v>124</v>
      </c>
      <c r="V524" s="210"/>
      <c r="W524" s="210"/>
      <c r="Y524" s="91"/>
      <c r="AO524" s="91"/>
      <c r="AP524" s="210"/>
      <c r="AQ524" s="210"/>
      <c r="AR524" s="213" t="s">
        <v>125</v>
      </c>
      <c r="AS524" s="210"/>
      <c r="AT524" s="215" t="s">
        <v>121</v>
      </c>
      <c r="AU524" s="215" t="s">
        <v>122</v>
      </c>
      <c r="AV524" s="210"/>
      <c r="AW524" s="215" t="s">
        <v>121</v>
      </c>
      <c r="AX524" s="215" t="s">
        <v>122</v>
      </c>
      <c r="AY524" s="210"/>
      <c r="AZ524" s="215" t="s">
        <v>121</v>
      </c>
      <c r="BA524" s="215" t="s">
        <v>122</v>
      </c>
      <c r="BB524" s="210"/>
      <c r="BC524" s="215" t="s">
        <v>121</v>
      </c>
      <c r="BD524" s="215" t="s">
        <v>122</v>
      </c>
      <c r="BE524" s="210"/>
      <c r="BF524" s="215" t="s">
        <v>121</v>
      </c>
      <c r="BG524" s="215" t="s">
        <v>122</v>
      </c>
      <c r="BH524" s="210"/>
      <c r="BI524" s="215" t="s">
        <v>121</v>
      </c>
      <c r="BJ524" s="215" t="s">
        <v>122</v>
      </c>
      <c r="BK524" s="210"/>
      <c r="BL524" s="215" t="s">
        <v>121</v>
      </c>
      <c r="BM524" s="215" t="s">
        <v>122</v>
      </c>
      <c r="BN524" s="210"/>
      <c r="BO524" s="215" t="s">
        <v>121</v>
      </c>
      <c r="BP524" s="215" t="s">
        <v>122</v>
      </c>
      <c r="BQ524" s="210"/>
      <c r="BR524" s="215" t="s">
        <v>121</v>
      </c>
      <c r="BS524" s="215" t="s">
        <v>122</v>
      </c>
      <c r="BT524" s="210"/>
      <c r="BU524" s="215" t="s">
        <v>121</v>
      </c>
      <c r="BV524" s="215" t="s">
        <v>122</v>
      </c>
      <c r="BW524" s="210"/>
      <c r="BX524" s="91"/>
    </row>
    <row r="525" spans="1:76" s="55" customFormat="1" x14ac:dyDescent="0.25">
      <c r="A525" s="195">
        <v>1</v>
      </c>
      <c r="B525" s="216" t="str">
        <f t="shared" ref="B525:B544" si="389">CONCATENATE(E525,": ",C525)</f>
        <v xml:space="preserve">: </v>
      </c>
      <c r="C525" s="219"/>
      <c r="D525" s="219"/>
      <c r="E525" s="219"/>
      <c r="F525" s="219"/>
      <c r="G525" s="220"/>
      <c r="H525" s="221"/>
      <c r="I525" s="220"/>
      <c r="J525" s="227"/>
      <c r="K525" s="226"/>
      <c r="L525" s="241"/>
      <c r="M525" s="225" t="str">
        <f t="shared" ref="M525:M544" si="390">CONCATENATE("TWh/",FunctionalUnitOfMeasure)</f>
        <v>TWh/kg of protein</v>
      </c>
      <c r="N525" s="227"/>
      <c r="O525" s="241"/>
      <c r="P525" s="122"/>
      <c r="Q525" s="228"/>
      <c r="R525" s="231" t="str">
        <f>IF(Q525="Y","",IF(AND(L525="",J525=""),"",IF(L525="",J525,L525)))</f>
        <v/>
      </c>
      <c r="S525" s="230" t="str">
        <f t="shared" ref="S525:S544" si="391">IF(R525="","",IF($R$553="Y",T525,IF(R525&gt;=$R$545-$AA$35*$R$549,IF(R525&lt;=$R$545+$AA$35*$R$549,R525,""),"")))</f>
        <v/>
      </c>
      <c r="T525" s="231" t="str">
        <f>IF(OR(Q525="Y",IFERROR(R525&gt;R545+R549*$AA$35,0),IFERROR(R525&lt;R545-R549*$AA$35,0)),"",IFERROR(R525*N525,""))</f>
        <v/>
      </c>
      <c r="U525" s="232" t="str">
        <f t="shared" ref="U525:U544" si="392">IF(AND(M525="",K525=""),"",IF(M525="",K525,M525))</f>
        <v>TWh/kg of protein</v>
      </c>
      <c r="V525" s="28"/>
      <c r="W525" s="28"/>
      <c r="Y525" s="91"/>
      <c r="AO525" s="91"/>
      <c r="AP525" s="28"/>
      <c r="AQ525" s="28"/>
      <c r="AR525" s="233" t="str">
        <f>$U525</f>
        <v>TWh/kg of protein</v>
      </c>
      <c r="AS525" s="28"/>
      <c r="AT525" s="304" t="str">
        <f>IF($E525=$AT$47,R525,"")</f>
        <v/>
      </c>
      <c r="AU525" s="304" t="str">
        <f>IF($E525=$AT$47,S525,"")</f>
        <v/>
      </c>
      <c r="AV525" s="28"/>
      <c r="AW525" s="304" t="str">
        <f t="shared" ref="AW525:AX544" si="393">IF($E525=$AW$83,R525,"")</f>
        <v/>
      </c>
      <c r="AX525" s="304" t="str">
        <f t="shared" si="393"/>
        <v/>
      </c>
      <c r="AY525" s="28"/>
      <c r="AZ525" s="304" t="str">
        <f t="shared" ref="AZ525:BA544" si="394">IF($E525=$AZ$83,R525,"")</f>
        <v/>
      </c>
      <c r="BA525" s="304" t="str">
        <f t="shared" si="394"/>
        <v/>
      </c>
      <c r="BB525" s="28"/>
      <c r="BC525" s="304" t="str">
        <f t="shared" ref="BC525:BD544" si="395">IF($E525=$BC$83,R525,"")</f>
        <v/>
      </c>
      <c r="BD525" s="304" t="str">
        <f t="shared" si="395"/>
        <v/>
      </c>
      <c r="BE525" s="28"/>
      <c r="BF525" s="304" t="str">
        <f t="shared" ref="BF525:BG544" si="396">IF($E525=$BF$83,R525,"")</f>
        <v/>
      </c>
      <c r="BG525" s="304" t="str">
        <f t="shared" si="396"/>
        <v/>
      </c>
      <c r="BH525" s="28"/>
      <c r="BI525" s="304" t="str">
        <f t="shared" ref="BI525:BJ544" si="397">IF($E525=$BI$83,R525,"")</f>
        <v/>
      </c>
      <c r="BJ525" s="304" t="str">
        <f t="shared" si="397"/>
        <v/>
      </c>
      <c r="BK525" s="28"/>
      <c r="BL525" s="304" t="str">
        <f t="shared" ref="BL525:BM544" si="398">IF($E525=$BL$83,R525,"")</f>
        <v/>
      </c>
      <c r="BM525" s="304" t="str">
        <f t="shared" si="398"/>
        <v/>
      </c>
      <c r="BN525" s="28"/>
      <c r="BO525" s="304" t="str">
        <f t="shared" ref="BO525:BP544" si="399">IF($E525=$BO$83,R525,"")</f>
        <v/>
      </c>
      <c r="BP525" s="304" t="str">
        <f t="shared" si="399"/>
        <v/>
      </c>
      <c r="BQ525" s="28"/>
      <c r="BR525" s="304" t="str">
        <f t="shared" ref="BR525:BS544" si="400">IF($E525=$BR$83,R525,"")</f>
        <v/>
      </c>
      <c r="BS525" s="304" t="str">
        <f t="shared" si="400"/>
        <v/>
      </c>
      <c r="BT525" s="28"/>
      <c r="BU525" s="304" t="str">
        <f t="shared" ref="BU525:BV544" si="401">IF($E525=$BU$83,R525,"")</f>
        <v/>
      </c>
      <c r="BV525" s="304" t="str">
        <f t="shared" si="401"/>
        <v/>
      </c>
      <c r="BW525" s="28"/>
      <c r="BX525" s="91"/>
    </row>
    <row r="526" spans="1:76" s="55" customFormat="1" x14ac:dyDescent="0.25">
      <c r="A526" s="195">
        <v>2</v>
      </c>
      <c r="B526" s="216" t="str">
        <f t="shared" si="389"/>
        <v xml:space="preserve">: </v>
      </c>
      <c r="C526" s="219"/>
      <c r="D526" s="219"/>
      <c r="E526" s="219"/>
      <c r="F526" s="219"/>
      <c r="G526" s="220"/>
      <c r="H526" s="221"/>
      <c r="I526" s="220"/>
      <c r="J526" s="227"/>
      <c r="K526" s="227"/>
      <c r="L526" s="241"/>
      <c r="M526" s="225" t="str">
        <f t="shared" si="390"/>
        <v>TWh/kg of protein</v>
      </c>
      <c r="N526" s="227"/>
      <c r="O526" s="241"/>
      <c r="P526" s="122"/>
      <c r="Q526" s="228"/>
      <c r="R526" s="231" t="str">
        <f t="shared" ref="R526:R544" si="402">IF(Q526="Y","",IF(AND(L526="",J526=""),"",IF(L526="",J526,L526)))</f>
        <v/>
      </c>
      <c r="S526" s="230" t="str">
        <f t="shared" si="391"/>
        <v/>
      </c>
      <c r="T526" s="231" t="str">
        <f>IF(OR(Q526="Y",IFERROR(R526&gt;R545+R549*$AA$35,0),IFERROR(R526&lt;R545-R549*$AA$35,0)),"",IFERROR(R526*N526,""))</f>
        <v/>
      </c>
      <c r="U526" s="232" t="str">
        <f t="shared" si="392"/>
        <v>TWh/kg of protein</v>
      </c>
      <c r="V526" s="28"/>
      <c r="W526" s="28"/>
      <c r="Y526" s="91"/>
      <c r="AO526" s="91"/>
      <c r="AP526" s="28"/>
      <c r="AQ526" s="28"/>
      <c r="AR526" s="237"/>
      <c r="AS526" s="28"/>
      <c r="AT526" s="304" t="str">
        <f t="shared" ref="AT526:AU544" si="403">IF($E526=$AT$47,R526,"")</f>
        <v/>
      </c>
      <c r="AU526" s="304" t="str">
        <f t="shared" si="403"/>
        <v/>
      </c>
      <c r="AV526" s="28"/>
      <c r="AW526" s="304" t="str">
        <f t="shared" si="393"/>
        <v/>
      </c>
      <c r="AX526" s="304" t="str">
        <f t="shared" si="393"/>
        <v/>
      </c>
      <c r="AY526" s="28"/>
      <c r="AZ526" s="304" t="str">
        <f t="shared" si="394"/>
        <v/>
      </c>
      <c r="BA526" s="304" t="str">
        <f t="shared" si="394"/>
        <v/>
      </c>
      <c r="BB526" s="28"/>
      <c r="BC526" s="304" t="str">
        <f t="shared" si="395"/>
        <v/>
      </c>
      <c r="BD526" s="304" t="str">
        <f t="shared" si="395"/>
        <v/>
      </c>
      <c r="BE526" s="28"/>
      <c r="BF526" s="304" t="str">
        <f t="shared" si="396"/>
        <v/>
      </c>
      <c r="BG526" s="304" t="str">
        <f t="shared" si="396"/>
        <v/>
      </c>
      <c r="BH526" s="28"/>
      <c r="BI526" s="304" t="str">
        <f t="shared" si="397"/>
        <v/>
      </c>
      <c r="BJ526" s="304" t="str">
        <f t="shared" si="397"/>
        <v/>
      </c>
      <c r="BK526" s="28"/>
      <c r="BL526" s="304" t="str">
        <f t="shared" si="398"/>
        <v/>
      </c>
      <c r="BM526" s="304" t="str">
        <f t="shared" si="398"/>
        <v/>
      </c>
      <c r="BN526" s="28"/>
      <c r="BO526" s="304" t="str">
        <f t="shared" si="399"/>
        <v/>
      </c>
      <c r="BP526" s="304" t="str">
        <f t="shared" si="399"/>
        <v/>
      </c>
      <c r="BQ526" s="28"/>
      <c r="BR526" s="304" t="str">
        <f t="shared" si="400"/>
        <v/>
      </c>
      <c r="BS526" s="304" t="str">
        <f t="shared" si="400"/>
        <v/>
      </c>
      <c r="BT526" s="28"/>
      <c r="BU526" s="304" t="str">
        <f t="shared" si="401"/>
        <v/>
      </c>
      <c r="BV526" s="304" t="str">
        <f t="shared" si="401"/>
        <v/>
      </c>
      <c r="BW526" s="28"/>
      <c r="BX526" s="91"/>
    </row>
    <row r="527" spans="1:76" s="55" customFormat="1" x14ac:dyDescent="0.25">
      <c r="A527" s="195">
        <v>3</v>
      </c>
      <c r="B527" s="216" t="str">
        <f>CONCATENATE(E527,": ",C527)</f>
        <v xml:space="preserve">: </v>
      </c>
      <c r="C527" s="221"/>
      <c r="D527" s="221"/>
      <c r="E527" s="221"/>
      <c r="F527" s="221"/>
      <c r="G527" s="240"/>
      <c r="H527" s="221"/>
      <c r="I527" s="240"/>
      <c r="J527" s="241"/>
      <c r="K527" s="241"/>
      <c r="L527" s="241"/>
      <c r="M527" s="225" t="str">
        <f t="shared" si="390"/>
        <v>TWh/kg of protein</v>
      </c>
      <c r="N527" s="227"/>
      <c r="O527" s="241"/>
      <c r="P527" s="122"/>
      <c r="Q527" s="228"/>
      <c r="R527" s="231" t="str">
        <f t="shared" si="402"/>
        <v/>
      </c>
      <c r="S527" s="230" t="str">
        <f t="shared" si="391"/>
        <v/>
      </c>
      <c r="T527" s="231" t="str">
        <f>IF(OR(Q527="Y",IFERROR(R527&gt;R545+R549*$AA$35,0),IFERROR(R527&lt;R545-R549*$AA$35,0)),"",IFERROR(R527*N527,""))</f>
        <v/>
      </c>
      <c r="U527" s="232" t="str">
        <f t="shared" si="392"/>
        <v>TWh/kg of protein</v>
      </c>
      <c r="V527" s="28"/>
      <c r="W527" s="28"/>
      <c r="Y527" s="91"/>
      <c r="AO527" s="91"/>
      <c r="AP527" s="28"/>
      <c r="AQ527" s="28"/>
      <c r="AR527" s="237"/>
      <c r="AS527" s="28"/>
      <c r="AT527" s="304" t="str">
        <f t="shared" si="403"/>
        <v/>
      </c>
      <c r="AU527" s="304" t="str">
        <f t="shared" si="403"/>
        <v/>
      </c>
      <c r="AV527" s="28"/>
      <c r="AW527" s="304" t="str">
        <f t="shared" si="393"/>
        <v/>
      </c>
      <c r="AX527" s="304" t="str">
        <f t="shared" si="393"/>
        <v/>
      </c>
      <c r="AY527" s="28"/>
      <c r="AZ527" s="304" t="str">
        <f t="shared" si="394"/>
        <v/>
      </c>
      <c r="BA527" s="304" t="str">
        <f t="shared" si="394"/>
        <v/>
      </c>
      <c r="BB527" s="28"/>
      <c r="BC527" s="304" t="str">
        <f t="shared" si="395"/>
        <v/>
      </c>
      <c r="BD527" s="304" t="str">
        <f t="shared" si="395"/>
        <v/>
      </c>
      <c r="BE527" s="28"/>
      <c r="BF527" s="304" t="str">
        <f t="shared" si="396"/>
        <v/>
      </c>
      <c r="BG527" s="304" t="str">
        <f t="shared" si="396"/>
        <v/>
      </c>
      <c r="BH527" s="28"/>
      <c r="BI527" s="304" t="str">
        <f t="shared" si="397"/>
        <v/>
      </c>
      <c r="BJ527" s="304" t="str">
        <f t="shared" si="397"/>
        <v/>
      </c>
      <c r="BK527" s="28"/>
      <c r="BL527" s="304" t="str">
        <f t="shared" si="398"/>
        <v/>
      </c>
      <c r="BM527" s="304" t="str">
        <f t="shared" si="398"/>
        <v/>
      </c>
      <c r="BN527" s="28"/>
      <c r="BO527" s="304" t="str">
        <f t="shared" si="399"/>
        <v/>
      </c>
      <c r="BP527" s="304" t="str">
        <f t="shared" si="399"/>
        <v/>
      </c>
      <c r="BQ527" s="28"/>
      <c r="BR527" s="304" t="str">
        <f t="shared" si="400"/>
        <v/>
      </c>
      <c r="BS527" s="304" t="str">
        <f t="shared" si="400"/>
        <v/>
      </c>
      <c r="BT527" s="28"/>
      <c r="BU527" s="304" t="str">
        <f t="shared" si="401"/>
        <v/>
      </c>
      <c r="BV527" s="304" t="str">
        <f t="shared" si="401"/>
        <v/>
      </c>
      <c r="BW527" s="28"/>
      <c r="BX527" s="91"/>
    </row>
    <row r="528" spans="1:76" s="55" customFormat="1" x14ac:dyDescent="0.25">
      <c r="A528" s="195">
        <v>4</v>
      </c>
      <c r="B528" s="216" t="str">
        <f t="shared" si="389"/>
        <v xml:space="preserve">: </v>
      </c>
      <c r="C528" s="221"/>
      <c r="D528" s="221"/>
      <c r="E528" s="221"/>
      <c r="F528" s="221"/>
      <c r="G528" s="240"/>
      <c r="H528" s="221"/>
      <c r="I528" s="240"/>
      <c r="J528" s="241"/>
      <c r="K528" s="241"/>
      <c r="L528" s="241"/>
      <c r="M528" s="225" t="str">
        <f t="shared" si="390"/>
        <v>TWh/kg of protein</v>
      </c>
      <c r="N528" s="227"/>
      <c r="O528" s="241"/>
      <c r="P528" s="122"/>
      <c r="Q528" s="228"/>
      <c r="R528" s="231" t="str">
        <f t="shared" si="402"/>
        <v/>
      </c>
      <c r="S528" s="230" t="str">
        <f t="shared" si="391"/>
        <v/>
      </c>
      <c r="T528" s="231" t="str">
        <f>IF(OR(Q528="Y",IFERROR(R528&gt;R545+R549*$AA$35,0),IFERROR(R528&lt;R545-R549*$AA$35,0)),"",IFERROR(R528*N528,""))</f>
        <v/>
      </c>
      <c r="U528" s="232" t="str">
        <f t="shared" si="392"/>
        <v>TWh/kg of protein</v>
      </c>
      <c r="V528" s="28"/>
      <c r="W528" s="28"/>
      <c r="Y528" s="91"/>
      <c r="AO528" s="91"/>
      <c r="AP528" s="28"/>
      <c r="AQ528" s="28"/>
      <c r="AR528" s="237"/>
      <c r="AS528" s="28"/>
      <c r="AT528" s="304" t="str">
        <f t="shared" si="403"/>
        <v/>
      </c>
      <c r="AU528" s="304" t="str">
        <f t="shared" si="403"/>
        <v/>
      </c>
      <c r="AV528" s="28"/>
      <c r="AW528" s="304" t="str">
        <f t="shared" si="393"/>
        <v/>
      </c>
      <c r="AX528" s="304" t="str">
        <f t="shared" si="393"/>
        <v/>
      </c>
      <c r="AY528" s="28"/>
      <c r="AZ528" s="304" t="str">
        <f t="shared" si="394"/>
        <v/>
      </c>
      <c r="BA528" s="304" t="str">
        <f t="shared" si="394"/>
        <v/>
      </c>
      <c r="BB528" s="28"/>
      <c r="BC528" s="304" t="str">
        <f t="shared" si="395"/>
        <v/>
      </c>
      <c r="BD528" s="304" t="str">
        <f t="shared" si="395"/>
        <v/>
      </c>
      <c r="BE528" s="28"/>
      <c r="BF528" s="304" t="str">
        <f t="shared" si="396"/>
        <v/>
      </c>
      <c r="BG528" s="304" t="str">
        <f t="shared" si="396"/>
        <v/>
      </c>
      <c r="BH528" s="28"/>
      <c r="BI528" s="304" t="str">
        <f t="shared" si="397"/>
        <v/>
      </c>
      <c r="BJ528" s="304" t="str">
        <f t="shared" si="397"/>
        <v/>
      </c>
      <c r="BK528" s="28"/>
      <c r="BL528" s="304" t="str">
        <f t="shared" si="398"/>
        <v/>
      </c>
      <c r="BM528" s="304" t="str">
        <f t="shared" si="398"/>
        <v/>
      </c>
      <c r="BN528" s="28"/>
      <c r="BO528" s="304" t="str">
        <f t="shared" si="399"/>
        <v/>
      </c>
      <c r="BP528" s="304" t="str">
        <f t="shared" si="399"/>
        <v/>
      </c>
      <c r="BQ528" s="28"/>
      <c r="BR528" s="304" t="str">
        <f t="shared" si="400"/>
        <v/>
      </c>
      <c r="BS528" s="304" t="str">
        <f t="shared" si="400"/>
        <v/>
      </c>
      <c r="BT528" s="28"/>
      <c r="BU528" s="304" t="str">
        <f t="shared" si="401"/>
        <v/>
      </c>
      <c r="BV528" s="304" t="str">
        <f t="shared" si="401"/>
        <v/>
      </c>
      <c r="BW528" s="28"/>
      <c r="BX528" s="91"/>
    </row>
    <row r="529" spans="1:76" s="55" customFormat="1" x14ac:dyDescent="0.25">
      <c r="A529" s="195">
        <v>5</v>
      </c>
      <c r="B529" s="216" t="str">
        <f t="shared" si="389"/>
        <v xml:space="preserve">: </v>
      </c>
      <c r="C529" s="221"/>
      <c r="D529" s="221"/>
      <c r="E529" s="221"/>
      <c r="F529" s="221"/>
      <c r="G529" s="240"/>
      <c r="H529" s="221"/>
      <c r="I529" s="240"/>
      <c r="J529" s="241"/>
      <c r="K529" s="241"/>
      <c r="L529" s="241"/>
      <c r="M529" s="225" t="str">
        <f t="shared" si="390"/>
        <v>TWh/kg of protein</v>
      </c>
      <c r="N529" s="227"/>
      <c r="O529" s="241"/>
      <c r="P529" s="122"/>
      <c r="Q529" s="228"/>
      <c r="R529" s="231" t="str">
        <f t="shared" si="402"/>
        <v/>
      </c>
      <c r="S529" s="230" t="str">
        <f t="shared" si="391"/>
        <v/>
      </c>
      <c r="T529" s="231" t="str">
        <f>IF(OR(Q529="Y",IFERROR(R529&gt;R545+R549*$AA$35,0),IFERROR(R529&lt;R545-R549*$AA$35,0)),"",IFERROR(R529*N529,""))</f>
        <v/>
      </c>
      <c r="U529" s="232" t="str">
        <f t="shared" si="392"/>
        <v>TWh/kg of protein</v>
      </c>
      <c r="V529" s="28"/>
      <c r="W529" s="28"/>
      <c r="Y529" s="91"/>
      <c r="AO529" s="91"/>
      <c r="AP529" s="28"/>
      <c r="AQ529" s="28"/>
      <c r="AR529" s="237"/>
      <c r="AS529" s="28"/>
      <c r="AT529" s="304" t="str">
        <f t="shared" si="403"/>
        <v/>
      </c>
      <c r="AU529" s="304" t="str">
        <f t="shared" si="403"/>
        <v/>
      </c>
      <c r="AV529" s="28"/>
      <c r="AW529" s="304" t="str">
        <f t="shared" si="393"/>
        <v/>
      </c>
      <c r="AX529" s="304" t="str">
        <f t="shared" si="393"/>
        <v/>
      </c>
      <c r="AY529" s="28"/>
      <c r="AZ529" s="304" t="str">
        <f t="shared" si="394"/>
        <v/>
      </c>
      <c r="BA529" s="304" t="str">
        <f t="shared" si="394"/>
        <v/>
      </c>
      <c r="BB529" s="28"/>
      <c r="BC529" s="304" t="str">
        <f t="shared" si="395"/>
        <v/>
      </c>
      <c r="BD529" s="304" t="str">
        <f t="shared" si="395"/>
        <v/>
      </c>
      <c r="BE529" s="28"/>
      <c r="BF529" s="304" t="str">
        <f t="shared" si="396"/>
        <v/>
      </c>
      <c r="BG529" s="304" t="str">
        <f t="shared" si="396"/>
        <v/>
      </c>
      <c r="BH529" s="28"/>
      <c r="BI529" s="304" t="str">
        <f t="shared" si="397"/>
        <v/>
      </c>
      <c r="BJ529" s="304" t="str">
        <f t="shared" si="397"/>
        <v/>
      </c>
      <c r="BK529" s="28"/>
      <c r="BL529" s="304" t="str">
        <f t="shared" si="398"/>
        <v/>
      </c>
      <c r="BM529" s="304" t="str">
        <f t="shared" si="398"/>
        <v/>
      </c>
      <c r="BN529" s="28"/>
      <c r="BO529" s="304" t="str">
        <f t="shared" si="399"/>
        <v/>
      </c>
      <c r="BP529" s="304" t="str">
        <f t="shared" si="399"/>
        <v/>
      </c>
      <c r="BQ529" s="28"/>
      <c r="BR529" s="304" t="str">
        <f t="shared" si="400"/>
        <v/>
      </c>
      <c r="BS529" s="304" t="str">
        <f t="shared" si="400"/>
        <v/>
      </c>
      <c r="BT529" s="28"/>
      <c r="BU529" s="304" t="str">
        <f t="shared" si="401"/>
        <v/>
      </c>
      <c r="BV529" s="304" t="str">
        <f t="shared" si="401"/>
        <v/>
      </c>
      <c r="BW529" s="28"/>
      <c r="BX529" s="91"/>
    </row>
    <row r="530" spans="1:76" s="55" customFormat="1" x14ac:dyDescent="0.25">
      <c r="A530" s="195">
        <v>6</v>
      </c>
      <c r="B530" s="216" t="str">
        <f t="shared" si="389"/>
        <v xml:space="preserve">: </v>
      </c>
      <c r="C530" s="221"/>
      <c r="D530" s="221"/>
      <c r="E530" s="221"/>
      <c r="F530" s="221"/>
      <c r="G530" s="240"/>
      <c r="H530" s="221"/>
      <c r="I530" s="240"/>
      <c r="J530" s="241"/>
      <c r="K530" s="241"/>
      <c r="L530" s="241"/>
      <c r="M530" s="225" t="str">
        <f t="shared" si="390"/>
        <v>TWh/kg of protein</v>
      </c>
      <c r="N530" s="227"/>
      <c r="O530" s="241"/>
      <c r="P530" s="122"/>
      <c r="Q530" s="228"/>
      <c r="R530" s="231" t="str">
        <f t="shared" si="402"/>
        <v/>
      </c>
      <c r="S530" s="230" t="str">
        <f t="shared" si="391"/>
        <v/>
      </c>
      <c r="T530" s="231" t="str">
        <f>IF(OR(Q530="Y",IFERROR(R530&gt;R545+R549*$AA$35,0),IFERROR(R530&lt;R545-R549*$AA$35,0)),"",IFERROR(R530*N530,""))</f>
        <v/>
      </c>
      <c r="U530" s="232" t="str">
        <f t="shared" si="392"/>
        <v>TWh/kg of protein</v>
      </c>
      <c r="V530" s="28"/>
      <c r="W530" s="28"/>
      <c r="Y530" s="91"/>
      <c r="AO530" s="91"/>
      <c r="AP530" s="28"/>
      <c r="AQ530" s="28"/>
      <c r="AR530" s="237"/>
      <c r="AS530" s="28"/>
      <c r="AT530" s="304" t="str">
        <f t="shared" si="403"/>
        <v/>
      </c>
      <c r="AU530" s="304" t="str">
        <f t="shared" si="403"/>
        <v/>
      </c>
      <c r="AV530" s="28"/>
      <c r="AW530" s="304" t="str">
        <f t="shared" si="393"/>
        <v/>
      </c>
      <c r="AX530" s="304" t="str">
        <f t="shared" si="393"/>
        <v/>
      </c>
      <c r="AY530" s="28"/>
      <c r="AZ530" s="304" t="str">
        <f t="shared" si="394"/>
        <v/>
      </c>
      <c r="BA530" s="304" t="str">
        <f t="shared" si="394"/>
        <v/>
      </c>
      <c r="BB530" s="28"/>
      <c r="BC530" s="304" t="str">
        <f t="shared" si="395"/>
        <v/>
      </c>
      <c r="BD530" s="304" t="str">
        <f t="shared" si="395"/>
        <v/>
      </c>
      <c r="BE530" s="28"/>
      <c r="BF530" s="304" t="str">
        <f t="shared" si="396"/>
        <v/>
      </c>
      <c r="BG530" s="304" t="str">
        <f t="shared" si="396"/>
        <v/>
      </c>
      <c r="BH530" s="28"/>
      <c r="BI530" s="304" t="str">
        <f t="shared" si="397"/>
        <v/>
      </c>
      <c r="BJ530" s="304" t="str">
        <f t="shared" si="397"/>
        <v/>
      </c>
      <c r="BK530" s="28"/>
      <c r="BL530" s="304" t="str">
        <f t="shared" si="398"/>
        <v/>
      </c>
      <c r="BM530" s="304" t="str">
        <f t="shared" si="398"/>
        <v/>
      </c>
      <c r="BN530" s="28"/>
      <c r="BO530" s="304" t="str">
        <f t="shared" si="399"/>
        <v/>
      </c>
      <c r="BP530" s="304" t="str">
        <f t="shared" si="399"/>
        <v/>
      </c>
      <c r="BQ530" s="28"/>
      <c r="BR530" s="304" t="str">
        <f t="shared" si="400"/>
        <v/>
      </c>
      <c r="BS530" s="304" t="str">
        <f t="shared" si="400"/>
        <v/>
      </c>
      <c r="BT530" s="28"/>
      <c r="BU530" s="304" t="str">
        <f t="shared" si="401"/>
        <v/>
      </c>
      <c r="BV530" s="304" t="str">
        <f t="shared" si="401"/>
        <v/>
      </c>
      <c r="BW530" s="28"/>
      <c r="BX530" s="91"/>
    </row>
    <row r="531" spans="1:76" s="55" customFormat="1" x14ac:dyDescent="0.25">
      <c r="A531" s="195">
        <v>7</v>
      </c>
      <c r="B531" s="216" t="str">
        <f t="shared" si="389"/>
        <v xml:space="preserve">: </v>
      </c>
      <c r="C531" s="221"/>
      <c r="D531" s="221"/>
      <c r="E531" s="221"/>
      <c r="F531" s="221"/>
      <c r="G531" s="240"/>
      <c r="H531" s="221"/>
      <c r="I531" s="240"/>
      <c r="J531" s="241"/>
      <c r="K531" s="241"/>
      <c r="L531" s="241"/>
      <c r="M531" s="225" t="str">
        <f t="shared" si="390"/>
        <v>TWh/kg of protein</v>
      </c>
      <c r="N531" s="227"/>
      <c r="O531" s="241"/>
      <c r="P531" s="122"/>
      <c r="Q531" s="228"/>
      <c r="R531" s="231" t="str">
        <f t="shared" si="402"/>
        <v/>
      </c>
      <c r="S531" s="230" t="str">
        <f t="shared" si="391"/>
        <v/>
      </c>
      <c r="T531" s="231" t="str">
        <f>IF(OR(Q531="Y",IFERROR(R531&gt;R545+R549*$AA$35,0),IFERROR(R531&lt;R545-R549*$AA$35,0)),"",IFERROR(R531*N531,""))</f>
        <v/>
      </c>
      <c r="U531" s="232" t="str">
        <f t="shared" si="392"/>
        <v>TWh/kg of protein</v>
      </c>
      <c r="V531" s="28"/>
      <c r="W531" s="28"/>
      <c r="Y531" s="91"/>
      <c r="AO531" s="91"/>
      <c r="AP531" s="28"/>
      <c r="AQ531" s="28"/>
      <c r="AR531" s="237"/>
      <c r="AS531" s="28"/>
      <c r="AT531" s="304" t="str">
        <f t="shared" si="403"/>
        <v/>
      </c>
      <c r="AU531" s="304" t="str">
        <f t="shared" si="403"/>
        <v/>
      </c>
      <c r="AV531" s="28"/>
      <c r="AW531" s="304" t="str">
        <f t="shared" si="393"/>
        <v/>
      </c>
      <c r="AX531" s="304" t="str">
        <f t="shared" si="393"/>
        <v/>
      </c>
      <c r="AY531" s="28"/>
      <c r="AZ531" s="304" t="str">
        <f t="shared" si="394"/>
        <v/>
      </c>
      <c r="BA531" s="304" t="str">
        <f t="shared" si="394"/>
        <v/>
      </c>
      <c r="BB531" s="28"/>
      <c r="BC531" s="304" t="str">
        <f t="shared" si="395"/>
        <v/>
      </c>
      <c r="BD531" s="304" t="str">
        <f t="shared" si="395"/>
        <v/>
      </c>
      <c r="BE531" s="28"/>
      <c r="BF531" s="304" t="str">
        <f t="shared" si="396"/>
        <v/>
      </c>
      <c r="BG531" s="304" t="str">
        <f t="shared" si="396"/>
        <v/>
      </c>
      <c r="BH531" s="28"/>
      <c r="BI531" s="304" t="str">
        <f t="shared" si="397"/>
        <v/>
      </c>
      <c r="BJ531" s="304" t="str">
        <f t="shared" si="397"/>
        <v/>
      </c>
      <c r="BK531" s="28"/>
      <c r="BL531" s="304" t="str">
        <f t="shared" si="398"/>
        <v/>
      </c>
      <c r="BM531" s="304" t="str">
        <f t="shared" si="398"/>
        <v/>
      </c>
      <c r="BN531" s="28"/>
      <c r="BO531" s="304" t="str">
        <f t="shared" si="399"/>
        <v/>
      </c>
      <c r="BP531" s="304" t="str">
        <f t="shared" si="399"/>
        <v/>
      </c>
      <c r="BQ531" s="28"/>
      <c r="BR531" s="304" t="str">
        <f t="shared" si="400"/>
        <v/>
      </c>
      <c r="BS531" s="304" t="str">
        <f t="shared" si="400"/>
        <v/>
      </c>
      <c r="BT531" s="28"/>
      <c r="BU531" s="304" t="str">
        <f t="shared" si="401"/>
        <v/>
      </c>
      <c r="BV531" s="304" t="str">
        <f t="shared" si="401"/>
        <v/>
      </c>
      <c r="BW531" s="28"/>
      <c r="BX531" s="91"/>
    </row>
    <row r="532" spans="1:76" s="55" customFormat="1" x14ac:dyDescent="0.25">
      <c r="A532" s="195">
        <v>8</v>
      </c>
      <c r="B532" s="216" t="str">
        <f t="shared" si="389"/>
        <v xml:space="preserve">: </v>
      </c>
      <c r="C532" s="221"/>
      <c r="D532" s="221"/>
      <c r="E532" s="221"/>
      <c r="F532" s="221"/>
      <c r="G532" s="240"/>
      <c r="H532" s="221"/>
      <c r="I532" s="240"/>
      <c r="J532" s="241"/>
      <c r="K532" s="241"/>
      <c r="L532" s="241"/>
      <c r="M532" s="225" t="str">
        <f t="shared" si="390"/>
        <v>TWh/kg of protein</v>
      </c>
      <c r="N532" s="227"/>
      <c r="O532" s="241"/>
      <c r="P532" s="122"/>
      <c r="Q532" s="228"/>
      <c r="R532" s="231" t="str">
        <f t="shared" si="402"/>
        <v/>
      </c>
      <c r="S532" s="230" t="str">
        <f t="shared" si="391"/>
        <v/>
      </c>
      <c r="T532" s="231" t="str">
        <f>IF(OR(Q532="Y",IFERROR(R532&gt;R545+R549*$AA$35,0),IFERROR(R532&lt;R545-R549*$AA$35,0)),"",IFERROR(R532*N532,""))</f>
        <v/>
      </c>
      <c r="U532" s="232" t="str">
        <f t="shared" si="392"/>
        <v>TWh/kg of protein</v>
      </c>
      <c r="V532" s="28"/>
      <c r="W532" s="28"/>
      <c r="Y532" s="91"/>
      <c r="AO532" s="91"/>
      <c r="AP532" s="28"/>
      <c r="AQ532" s="28"/>
      <c r="AR532" s="237"/>
      <c r="AS532" s="28"/>
      <c r="AT532" s="304" t="str">
        <f t="shared" si="403"/>
        <v/>
      </c>
      <c r="AU532" s="304" t="str">
        <f t="shared" si="403"/>
        <v/>
      </c>
      <c r="AV532" s="28"/>
      <c r="AW532" s="304" t="str">
        <f t="shared" si="393"/>
        <v/>
      </c>
      <c r="AX532" s="304" t="str">
        <f t="shared" si="393"/>
        <v/>
      </c>
      <c r="AY532" s="28"/>
      <c r="AZ532" s="304" t="str">
        <f t="shared" si="394"/>
        <v/>
      </c>
      <c r="BA532" s="304" t="str">
        <f t="shared" si="394"/>
        <v/>
      </c>
      <c r="BB532" s="28"/>
      <c r="BC532" s="304" t="str">
        <f t="shared" si="395"/>
        <v/>
      </c>
      <c r="BD532" s="304" t="str">
        <f t="shared" si="395"/>
        <v/>
      </c>
      <c r="BE532" s="28"/>
      <c r="BF532" s="304" t="str">
        <f t="shared" si="396"/>
        <v/>
      </c>
      <c r="BG532" s="304" t="str">
        <f t="shared" si="396"/>
        <v/>
      </c>
      <c r="BH532" s="28"/>
      <c r="BI532" s="304" t="str">
        <f t="shared" si="397"/>
        <v/>
      </c>
      <c r="BJ532" s="304" t="str">
        <f t="shared" si="397"/>
        <v/>
      </c>
      <c r="BK532" s="28"/>
      <c r="BL532" s="304" t="str">
        <f t="shared" si="398"/>
        <v/>
      </c>
      <c r="BM532" s="304" t="str">
        <f t="shared" si="398"/>
        <v/>
      </c>
      <c r="BN532" s="28"/>
      <c r="BO532" s="304" t="str">
        <f t="shared" si="399"/>
        <v/>
      </c>
      <c r="BP532" s="304" t="str">
        <f t="shared" si="399"/>
        <v/>
      </c>
      <c r="BQ532" s="28"/>
      <c r="BR532" s="304" t="str">
        <f t="shared" si="400"/>
        <v/>
      </c>
      <c r="BS532" s="304" t="str">
        <f t="shared" si="400"/>
        <v/>
      </c>
      <c r="BT532" s="28"/>
      <c r="BU532" s="304" t="str">
        <f t="shared" si="401"/>
        <v/>
      </c>
      <c r="BV532" s="304" t="str">
        <f t="shared" si="401"/>
        <v/>
      </c>
      <c r="BW532" s="28"/>
      <c r="BX532" s="91"/>
    </row>
    <row r="533" spans="1:76" s="55" customFormat="1" x14ac:dyDescent="0.25">
      <c r="A533" s="195">
        <v>9</v>
      </c>
      <c r="B533" s="216" t="str">
        <f t="shared" si="389"/>
        <v xml:space="preserve">: </v>
      </c>
      <c r="C533" s="221"/>
      <c r="D533" s="221"/>
      <c r="E533" s="221"/>
      <c r="F533" s="221"/>
      <c r="G533" s="240"/>
      <c r="H533" s="221"/>
      <c r="I533" s="240"/>
      <c r="J533" s="241"/>
      <c r="K533" s="241"/>
      <c r="L533" s="241"/>
      <c r="M533" s="225" t="str">
        <f t="shared" si="390"/>
        <v>TWh/kg of protein</v>
      </c>
      <c r="N533" s="227"/>
      <c r="O533" s="241"/>
      <c r="P533" s="122"/>
      <c r="Q533" s="228"/>
      <c r="R533" s="231" t="str">
        <f t="shared" si="402"/>
        <v/>
      </c>
      <c r="S533" s="230" t="str">
        <f t="shared" si="391"/>
        <v/>
      </c>
      <c r="T533" s="231" t="str">
        <f>IF(OR(Q533="Y",IFERROR(R533&gt;R545+R549*$AA$35,0),IFERROR(R533&lt;R545-R549*$AA$35,0)),"",IFERROR(R533*N533,""))</f>
        <v/>
      </c>
      <c r="U533" s="232" t="str">
        <f t="shared" si="392"/>
        <v>TWh/kg of protein</v>
      </c>
      <c r="V533" s="28"/>
      <c r="W533" s="28"/>
      <c r="Y533" s="91"/>
      <c r="AO533" s="91"/>
      <c r="AP533" s="28"/>
      <c r="AQ533" s="28"/>
      <c r="AR533" s="237"/>
      <c r="AS533" s="28"/>
      <c r="AT533" s="304" t="str">
        <f t="shared" si="403"/>
        <v/>
      </c>
      <c r="AU533" s="304" t="str">
        <f t="shared" si="403"/>
        <v/>
      </c>
      <c r="AV533" s="28"/>
      <c r="AW533" s="304" t="str">
        <f t="shared" si="393"/>
        <v/>
      </c>
      <c r="AX533" s="304" t="str">
        <f t="shared" si="393"/>
        <v/>
      </c>
      <c r="AY533" s="28"/>
      <c r="AZ533" s="304" t="str">
        <f t="shared" si="394"/>
        <v/>
      </c>
      <c r="BA533" s="304" t="str">
        <f t="shared" si="394"/>
        <v/>
      </c>
      <c r="BB533" s="28"/>
      <c r="BC533" s="304" t="str">
        <f t="shared" si="395"/>
        <v/>
      </c>
      <c r="BD533" s="304" t="str">
        <f t="shared" si="395"/>
        <v/>
      </c>
      <c r="BE533" s="28"/>
      <c r="BF533" s="304" t="str">
        <f t="shared" si="396"/>
        <v/>
      </c>
      <c r="BG533" s="304" t="str">
        <f t="shared" si="396"/>
        <v/>
      </c>
      <c r="BH533" s="28"/>
      <c r="BI533" s="304" t="str">
        <f t="shared" si="397"/>
        <v/>
      </c>
      <c r="BJ533" s="304" t="str">
        <f t="shared" si="397"/>
        <v/>
      </c>
      <c r="BK533" s="28"/>
      <c r="BL533" s="304" t="str">
        <f t="shared" si="398"/>
        <v/>
      </c>
      <c r="BM533" s="304" t="str">
        <f t="shared" si="398"/>
        <v/>
      </c>
      <c r="BN533" s="28"/>
      <c r="BO533" s="304" t="str">
        <f t="shared" si="399"/>
        <v/>
      </c>
      <c r="BP533" s="304" t="str">
        <f t="shared" si="399"/>
        <v/>
      </c>
      <c r="BQ533" s="28"/>
      <c r="BR533" s="304" t="str">
        <f t="shared" si="400"/>
        <v/>
      </c>
      <c r="BS533" s="304" t="str">
        <f t="shared" si="400"/>
        <v/>
      </c>
      <c r="BT533" s="28"/>
      <c r="BU533" s="304" t="str">
        <f t="shared" si="401"/>
        <v/>
      </c>
      <c r="BV533" s="304" t="str">
        <f t="shared" si="401"/>
        <v/>
      </c>
      <c r="BW533" s="28"/>
      <c r="BX533" s="91"/>
    </row>
    <row r="534" spans="1:76" s="55" customFormat="1" x14ac:dyDescent="0.25">
      <c r="A534" s="195">
        <v>10</v>
      </c>
      <c r="B534" s="216" t="str">
        <f t="shared" si="389"/>
        <v xml:space="preserve">: </v>
      </c>
      <c r="C534" s="221"/>
      <c r="D534" s="221"/>
      <c r="E534" s="221"/>
      <c r="F534" s="221"/>
      <c r="G534" s="240"/>
      <c r="H534" s="221"/>
      <c r="I534" s="240"/>
      <c r="J534" s="241"/>
      <c r="K534" s="241"/>
      <c r="L534" s="241"/>
      <c r="M534" s="225" t="str">
        <f t="shared" si="390"/>
        <v>TWh/kg of protein</v>
      </c>
      <c r="N534" s="227"/>
      <c r="O534" s="241"/>
      <c r="P534" s="122"/>
      <c r="Q534" s="228"/>
      <c r="R534" s="231" t="str">
        <f t="shared" si="402"/>
        <v/>
      </c>
      <c r="S534" s="230" t="str">
        <f t="shared" si="391"/>
        <v/>
      </c>
      <c r="T534" s="231" t="str">
        <f>IF(OR(Q534="Y",IFERROR(R534&gt;R545+R549*$AA$35,0),IFERROR(R534&lt;R545-R549*$AA$35,0)),"",IFERROR(R534*N534,""))</f>
        <v/>
      </c>
      <c r="U534" s="232" t="str">
        <f t="shared" si="392"/>
        <v>TWh/kg of protein</v>
      </c>
      <c r="V534" s="28"/>
      <c r="W534" s="28"/>
      <c r="Y534" s="91"/>
      <c r="AO534" s="91"/>
      <c r="AP534" s="28"/>
      <c r="AQ534" s="28"/>
      <c r="AR534" s="237"/>
      <c r="AS534" s="28"/>
      <c r="AT534" s="304" t="str">
        <f t="shared" si="403"/>
        <v/>
      </c>
      <c r="AU534" s="304" t="str">
        <f t="shared" si="403"/>
        <v/>
      </c>
      <c r="AV534" s="28"/>
      <c r="AW534" s="304" t="str">
        <f t="shared" si="393"/>
        <v/>
      </c>
      <c r="AX534" s="304" t="str">
        <f t="shared" si="393"/>
        <v/>
      </c>
      <c r="AY534" s="28"/>
      <c r="AZ534" s="304" t="str">
        <f t="shared" si="394"/>
        <v/>
      </c>
      <c r="BA534" s="304" t="str">
        <f t="shared" si="394"/>
        <v/>
      </c>
      <c r="BB534" s="28"/>
      <c r="BC534" s="304" t="str">
        <f t="shared" si="395"/>
        <v/>
      </c>
      <c r="BD534" s="304" t="str">
        <f t="shared" si="395"/>
        <v/>
      </c>
      <c r="BE534" s="28"/>
      <c r="BF534" s="304" t="str">
        <f t="shared" si="396"/>
        <v/>
      </c>
      <c r="BG534" s="304" t="str">
        <f t="shared" si="396"/>
        <v/>
      </c>
      <c r="BH534" s="28"/>
      <c r="BI534" s="304" t="str">
        <f t="shared" si="397"/>
        <v/>
      </c>
      <c r="BJ534" s="304" t="str">
        <f t="shared" si="397"/>
        <v/>
      </c>
      <c r="BK534" s="28"/>
      <c r="BL534" s="304" t="str">
        <f t="shared" si="398"/>
        <v/>
      </c>
      <c r="BM534" s="304" t="str">
        <f t="shared" si="398"/>
        <v/>
      </c>
      <c r="BN534" s="28"/>
      <c r="BO534" s="304" t="str">
        <f t="shared" si="399"/>
        <v/>
      </c>
      <c r="BP534" s="304" t="str">
        <f t="shared" si="399"/>
        <v/>
      </c>
      <c r="BQ534" s="28"/>
      <c r="BR534" s="304" t="str">
        <f t="shared" si="400"/>
        <v/>
      </c>
      <c r="BS534" s="304" t="str">
        <f t="shared" si="400"/>
        <v/>
      </c>
      <c r="BT534" s="28"/>
      <c r="BU534" s="304" t="str">
        <f t="shared" si="401"/>
        <v/>
      </c>
      <c r="BV534" s="304" t="str">
        <f t="shared" si="401"/>
        <v/>
      </c>
      <c r="BW534" s="28"/>
      <c r="BX534" s="91"/>
    </row>
    <row r="535" spans="1:76" s="55" customFormat="1" x14ac:dyDescent="0.25">
      <c r="A535" s="195">
        <v>11</v>
      </c>
      <c r="B535" s="216" t="str">
        <f t="shared" si="389"/>
        <v xml:space="preserve">: </v>
      </c>
      <c r="C535" s="221"/>
      <c r="D535" s="221"/>
      <c r="E535" s="221"/>
      <c r="F535" s="221"/>
      <c r="G535" s="240"/>
      <c r="H535" s="221"/>
      <c r="I535" s="240"/>
      <c r="J535" s="241"/>
      <c r="K535" s="241"/>
      <c r="L535" s="241"/>
      <c r="M535" s="225" t="str">
        <f t="shared" si="390"/>
        <v>TWh/kg of protein</v>
      </c>
      <c r="N535" s="227"/>
      <c r="O535" s="241"/>
      <c r="P535" s="122"/>
      <c r="Q535" s="228"/>
      <c r="R535" s="231" t="str">
        <f t="shared" si="402"/>
        <v/>
      </c>
      <c r="S535" s="230" t="str">
        <f t="shared" si="391"/>
        <v/>
      </c>
      <c r="T535" s="231" t="str">
        <f>IF(OR(Q535="Y",IFERROR(R535&gt;R545+R549*$AA$35,0),IFERROR(R535&lt;R545-R549*$AA$35,0)),"",IFERROR(R535*N535,""))</f>
        <v/>
      </c>
      <c r="U535" s="232" t="str">
        <f t="shared" si="392"/>
        <v>TWh/kg of protein</v>
      </c>
      <c r="V535" s="28"/>
      <c r="W535" s="28"/>
      <c r="Y535" s="91"/>
      <c r="AO535" s="91"/>
      <c r="AP535" s="28"/>
      <c r="AQ535" s="28"/>
      <c r="AR535" s="237"/>
      <c r="AS535" s="28"/>
      <c r="AT535" s="304" t="str">
        <f t="shared" si="403"/>
        <v/>
      </c>
      <c r="AU535" s="304" t="str">
        <f t="shared" si="403"/>
        <v/>
      </c>
      <c r="AV535" s="28"/>
      <c r="AW535" s="304" t="str">
        <f t="shared" si="393"/>
        <v/>
      </c>
      <c r="AX535" s="304" t="str">
        <f t="shared" si="393"/>
        <v/>
      </c>
      <c r="AY535" s="28"/>
      <c r="AZ535" s="304" t="str">
        <f t="shared" si="394"/>
        <v/>
      </c>
      <c r="BA535" s="304" t="str">
        <f t="shared" si="394"/>
        <v/>
      </c>
      <c r="BB535" s="28"/>
      <c r="BC535" s="304" t="str">
        <f t="shared" si="395"/>
        <v/>
      </c>
      <c r="BD535" s="304" t="str">
        <f t="shared" si="395"/>
        <v/>
      </c>
      <c r="BE535" s="28"/>
      <c r="BF535" s="304" t="str">
        <f t="shared" si="396"/>
        <v/>
      </c>
      <c r="BG535" s="304" t="str">
        <f t="shared" si="396"/>
        <v/>
      </c>
      <c r="BH535" s="28"/>
      <c r="BI535" s="304" t="str">
        <f t="shared" si="397"/>
        <v/>
      </c>
      <c r="BJ535" s="304" t="str">
        <f t="shared" si="397"/>
        <v/>
      </c>
      <c r="BK535" s="28"/>
      <c r="BL535" s="304" t="str">
        <f t="shared" si="398"/>
        <v/>
      </c>
      <c r="BM535" s="304" t="str">
        <f t="shared" si="398"/>
        <v/>
      </c>
      <c r="BN535" s="28"/>
      <c r="BO535" s="304" t="str">
        <f t="shared" si="399"/>
        <v/>
      </c>
      <c r="BP535" s="304" t="str">
        <f t="shared" si="399"/>
        <v/>
      </c>
      <c r="BQ535" s="28"/>
      <c r="BR535" s="304" t="str">
        <f t="shared" si="400"/>
        <v/>
      </c>
      <c r="BS535" s="304" t="str">
        <f t="shared" si="400"/>
        <v/>
      </c>
      <c r="BT535" s="28"/>
      <c r="BU535" s="304" t="str">
        <f t="shared" si="401"/>
        <v/>
      </c>
      <c r="BV535" s="304" t="str">
        <f t="shared" si="401"/>
        <v/>
      </c>
      <c r="BW535" s="28"/>
      <c r="BX535" s="91"/>
    </row>
    <row r="536" spans="1:76" s="55" customFormat="1" x14ac:dyDescent="0.25">
      <c r="A536" s="195">
        <v>12</v>
      </c>
      <c r="B536" s="216" t="str">
        <f t="shared" si="389"/>
        <v xml:space="preserve">: </v>
      </c>
      <c r="C536" s="221"/>
      <c r="D536" s="221"/>
      <c r="E536" s="221"/>
      <c r="F536" s="221"/>
      <c r="G536" s="240"/>
      <c r="H536" s="221"/>
      <c r="I536" s="240"/>
      <c r="J536" s="241"/>
      <c r="K536" s="241"/>
      <c r="L536" s="241"/>
      <c r="M536" s="225" t="str">
        <f t="shared" si="390"/>
        <v>TWh/kg of protein</v>
      </c>
      <c r="N536" s="227"/>
      <c r="O536" s="241"/>
      <c r="P536" s="122"/>
      <c r="Q536" s="228"/>
      <c r="R536" s="231" t="str">
        <f t="shared" si="402"/>
        <v/>
      </c>
      <c r="S536" s="230" t="str">
        <f t="shared" si="391"/>
        <v/>
      </c>
      <c r="T536" s="231" t="str">
        <f>IF(OR(Q536="Y",IFERROR(R536&gt;R545+R549*$AA$35,0),IFERROR(R536&lt;R545-R549*$AA$35,0)),"",IFERROR(R536*N536,""))</f>
        <v/>
      </c>
      <c r="U536" s="232" t="str">
        <f t="shared" si="392"/>
        <v>TWh/kg of protein</v>
      </c>
      <c r="V536" s="28"/>
      <c r="W536" s="28"/>
      <c r="Y536" s="91"/>
      <c r="AO536" s="91"/>
      <c r="AP536" s="28"/>
      <c r="AQ536" s="28"/>
      <c r="AR536" s="237"/>
      <c r="AS536" s="28"/>
      <c r="AT536" s="304" t="str">
        <f t="shared" si="403"/>
        <v/>
      </c>
      <c r="AU536" s="304" t="str">
        <f t="shared" si="403"/>
        <v/>
      </c>
      <c r="AV536" s="28"/>
      <c r="AW536" s="304" t="str">
        <f t="shared" si="393"/>
        <v/>
      </c>
      <c r="AX536" s="304" t="str">
        <f t="shared" si="393"/>
        <v/>
      </c>
      <c r="AY536" s="28"/>
      <c r="AZ536" s="304" t="str">
        <f t="shared" si="394"/>
        <v/>
      </c>
      <c r="BA536" s="304" t="str">
        <f t="shared" si="394"/>
        <v/>
      </c>
      <c r="BB536" s="28"/>
      <c r="BC536" s="304" t="str">
        <f t="shared" si="395"/>
        <v/>
      </c>
      <c r="BD536" s="304" t="str">
        <f t="shared" si="395"/>
        <v/>
      </c>
      <c r="BE536" s="28"/>
      <c r="BF536" s="304" t="str">
        <f t="shared" si="396"/>
        <v/>
      </c>
      <c r="BG536" s="304" t="str">
        <f t="shared" si="396"/>
        <v/>
      </c>
      <c r="BH536" s="28"/>
      <c r="BI536" s="304" t="str">
        <f t="shared" si="397"/>
        <v/>
      </c>
      <c r="BJ536" s="304" t="str">
        <f t="shared" si="397"/>
        <v/>
      </c>
      <c r="BK536" s="28"/>
      <c r="BL536" s="304" t="str">
        <f t="shared" si="398"/>
        <v/>
      </c>
      <c r="BM536" s="304" t="str">
        <f t="shared" si="398"/>
        <v/>
      </c>
      <c r="BN536" s="28"/>
      <c r="BO536" s="304" t="str">
        <f t="shared" si="399"/>
        <v/>
      </c>
      <c r="BP536" s="304" t="str">
        <f t="shared" si="399"/>
        <v/>
      </c>
      <c r="BQ536" s="28"/>
      <c r="BR536" s="304" t="str">
        <f t="shared" si="400"/>
        <v/>
      </c>
      <c r="BS536" s="304" t="str">
        <f t="shared" si="400"/>
        <v/>
      </c>
      <c r="BT536" s="28"/>
      <c r="BU536" s="304" t="str">
        <f t="shared" si="401"/>
        <v/>
      </c>
      <c r="BV536" s="304" t="str">
        <f t="shared" si="401"/>
        <v/>
      </c>
      <c r="BW536" s="28"/>
      <c r="BX536" s="91"/>
    </row>
    <row r="537" spans="1:76" s="55" customFormat="1" x14ac:dyDescent="0.25">
      <c r="A537" s="195">
        <v>13</v>
      </c>
      <c r="B537" s="216" t="str">
        <f t="shared" si="389"/>
        <v xml:space="preserve">: </v>
      </c>
      <c r="C537" s="221"/>
      <c r="D537" s="221"/>
      <c r="E537" s="221"/>
      <c r="F537" s="221"/>
      <c r="G537" s="240"/>
      <c r="H537" s="221"/>
      <c r="I537" s="240"/>
      <c r="J537" s="241"/>
      <c r="K537" s="241"/>
      <c r="L537" s="241"/>
      <c r="M537" s="225" t="str">
        <f t="shared" si="390"/>
        <v>TWh/kg of protein</v>
      </c>
      <c r="N537" s="227"/>
      <c r="O537" s="241"/>
      <c r="P537" s="122"/>
      <c r="Q537" s="228"/>
      <c r="R537" s="231" t="str">
        <f t="shared" si="402"/>
        <v/>
      </c>
      <c r="S537" s="230" t="str">
        <f t="shared" si="391"/>
        <v/>
      </c>
      <c r="T537" s="231" t="str">
        <f>IF(OR(Q537="Y",IFERROR(R537&gt;R545+R549*$AA$35,0),IFERROR(R537&lt;R545-R549*$AA$35,0)),"",IFERROR(R537*N537,""))</f>
        <v/>
      </c>
      <c r="U537" s="232" t="str">
        <f t="shared" si="392"/>
        <v>TWh/kg of protein</v>
      </c>
      <c r="V537" s="28"/>
      <c r="W537" s="28"/>
      <c r="Y537" s="91"/>
      <c r="AO537" s="91"/>
      <c r="AP537" s="28"/>
      <c r="AQ537" s="28"/>
      <c r="AR537" s="237"/>
      <c r="AS537" s="28"/>
      <c r="AT537" s="304" t="str">
        <f t="shared" si="403"/>
        <v/>
      </c>
      <c r="AU537" s="304" t="str">
        <f t="shared" si="403"/>
        <v/>
      </c>
      <c r="AV537" s="28"/>
      <c r="AW537" s="304" t="str">
        <f t="shared" si="393"/>
        <v/>
      </c>
      <c r="AX537" s="304" t="str">
        <f t="shared" si="393"/>
        <v/>
      </c>
      <c r="AY537" s="28"/>
      <c r="AZ537" s="304" t="str">
        <f t="shared" si="394"/>
        <v/>
      </c>
      <c r="BA537" s="304" t="str">
        <f t="shared" si="394"/>
        <v/>
      </c>
      <c r="BB537" s="28"/>
      <c r="BC537" s="304" t="str">
        <f t="shared" si="395"/>
        <v/>
      </c>
      <c r="BD537" s="304" t="str">
        <f t="shared" si="395"/>
        <v/>
      </c>
      <c r="BE537" s="28"/>
      <c r="BF537" s="304" t="str">
        <f t="shared" si="396"/>
        <v/>
      </c>
      <c r="BG537" s="304" t="str">
        <f t="shared" si="396"/>
        <v/>
      </c>
      <c r="BH537" s="28"/>
      <c r="BI537" s="304" t="str">
        <f t="shared" si="397"/>
        <v/>
      </c>
      <c r="BJ537" s="304" t="str">
        <f t="shared" si="397"/>
        <v/>
      </c>
      <c r="BK537" s="28"/>
      <c r="BL537" s="304" t="str">
        <f t="shared" si="398"/>
        <v/>
      </c>
      <c r="BM537" s="304" t="str">
        <f t="shared" si="398"/>
        <v/>
      </c>
      <c r="BN537" s="28"/>
      <c r="BO537" s="304" t="str">
        <f t="shared" si="399"/>
        <v/>
      </c>
      <c r="BP537" s="304" t="str">
        <f t="shared" si="399"/>
        <v/>
      </c>
      <c r="BQ537" s="28"/>
      <c r="BR537" s="304" t="str">
        <f t="shared" si="400"/>
        <v/>
      </c>
      <c r="BS537" s="304" t="str">
        <f t="shared" si="400"/>
        <v/>
      </c>
      <c r="BT537" s="28"/>
      <c r="BU537" s="304" t="str">
        <f t="shared" si="401"/>
        <v/>
      </c>
      <c r="BV537" s="304" t="str">
        <f t="shared" si="401"/>
        <v/>
      </c>
      <c r="BW537" s="28"/>
      <c r="BX537" s="91"/>
    </row>
    <row r="538" spans="1:76" s="55" customFormat="1" x14ac:dyDescent="0.25">
      <c r="A538" s="195">
        <v>14</v>
      </c>
      <c r="B538" s="216" t="str">
        <f t="shared" si="389"/>
        <v xml:space="preserve">: </v>
      </c>
      <c r="C538" s="221"/>
      <c r="D538" s="221"/>
      <c r="E538" s="221"/>
      <c r="F538" s="221"/>
      <c r="G538" s="240"/>
      <c r="H538" s="221"/>
      <c r="I538" s="240"/>
      <c r="J538" s="241"/>
      <c r="K538" s="241"/>
      <c r="L538" s="241"/>
      <c r="M538" s="225" t="str">
        <f t="shared" si="390"/>
        <v>TWh/kg of protein</v>
      </c>
      <c r="N538" s="227"/>
      <c r="O538" s="241"/>
      <c r="P538" s="122"/>
      <c r="Q538" s="228"/>
      <c r="R538" s="231" t="str">
        <f t="shared" si="402"/>
        <v/>
      </c>
      <c r="S538" s="230" t="str">
        <f t="shared" si="391"/>
        <v/>
      </c>
      <c r="T538" s="231" t="str">
        <f>IF(OR(Q538="Y",IFERROR(R538&gt;R545+R549*$AA$35,0),IFERROR(R538&lt;R545-R549*$AA$35,0)),"",IFERROR(R538*N538,""))</f>
        <v/>
      </c>
      <c r="U538" s="232" t="str">
        <f t="shared" si="392"/>
        <v>TWh/kg of protein</v>
      </c>
      <c r="V538" s="28"/>
      <c r="W538" s="28"/>
      <c r="Y538" s="91"/>
      <c r="AO538" s="91"/>
      <c r="AP538" s="28"/>
      <c r="AQ538" s="28"/>
      <c r="AR538" s="237"/>
      <c r="AS538" s="28"/>
      <c r="AT538" s="304" t="str">
        <f t="shared" si="403"/>
        <v/>
      </c>
      <c r="AU538" s="304" t="str">
        <f t="shared" si="403"/>
        <v/>
      </c>
      <c r="AV538" s="28"/>
      <c r="AW538" s="304" t="str">
        <f t="shared" si="393"/>
        <v/>
      </c>
      <c r="AX538" s="304" t="str">
        <f t="shared" si="393"/>
        <v/>
      </c>
      <c r="AY538" s="28"/>
      <c r="AZ538" s="304" t="str">
        <f t="shared" si="394"/>
        <v/>
      </c>
      <c r="BA538" s="304" t="str">
        <f t="shared" si="394"/>
        <v/>
      </c>
      <c r="BB538" s="28"/>
      <c r="BC538" s="304" t="str">
        <f t="shared" si="395"/>
        <v/>
      </c>
      <c r="BD538" s="304" t="str">
        <f t="shared" si="395"/>
        <v/>
      </c>
      <c r="BE538" s="28"/>
      <c r="BF538" s="304" t="str">
        <f t="shared" si="396"/>
        <v/>
      </c>
      <c r="BG538" s="304" t="str">
        <f t="shared" si="396"/>
        <v/>
      </c>
      <c r="BH538" s="28"/>
      <c r="BI538" s="304" t="str">
        <f t="shared" si="397"/>
        <v/>
      </c>
      <c r="BJ538" s="304" t="str">
        <f t="shared" si="397"/>
        <v/>
      </c>
      <c r="BK538" s="28"/>
      <c r="BL538" s="304" t="str">
        <f t="shared" si="398"/>
        <v/>
      </c>
      <c r="BM538" s="304" t="str">
        <f t="shared" si="398"/>
        <v/>
      </c>
      <c r="BN538" s="28"/>
      <c r="BO538" s="304" t="str">
        <f t="shared" si="399"/>
        <v/>
      </c>
      <c r="BP538" s="304" t="str">
        <f t="shared" si="399"/>
        <v/>
      </c>
      <c r="BQ538" s="28"/>
      <c r="BR538" s="304" t="str">
        <f t="shared" si="400"/>
        <v/>
      </c>
      <c r="BS538" s="304" t="str">
        <f t="shared" si="400"/>
        <v/>
      </c>
      <c r="BT538" s="28"/>
      <c r="BU538" s="304" t="str">
        <f t="shared" si="401"/>
        <v/>
      </c>
      <c r="BV538" s="304" t="str">
        <f t="shared" si="401"/>
        <v/>
      </c>
      <c r="BW538" s="28"/>
      <c r="BX538" s="91"/>
    </row>
    <row r="539" spans="1:76" s="55" customFormat="1" x14ac:dyDescent="0.25">
      <c r="A539" s="195">
        <v>15</v>
      </c>
      <c r="B539" s="216" t="str">
        <f t="shared" si="389"/>
        <v xml:space="preserve">: </v>
      </c>
      <c r="C539" s="221"/>
      <c r="D539" s="221"/>
      <c r="E539" s="221"/>
      <c r="F539" s="221"/>
      <c r="G539" s="240"/>
      <c r="H539" s="221"/>
      <c r="I539" s="240"/>
      <c r="J539" s="241"/>
      <c r="K539" s="241"/>
      <c r="L539" s="241"/>
      <c r="M539" s="225" t="str">
        <f t="shared" si="390"/>
        <v>TWh/kg of protein</v>
      </c>
      <c r="N539" s="227"/>
      <c r="O539" s="241"/>
      <c r="P539" s="122"/>
      <c r="Q539" s="228"/>
      <c r="R539" s="231" t="str">
        <f t="shared" si="402"/>
        <v/>
      </c>
      <c r="S539" s="230" t="str">
        <f t="shared" si="391"/>
        <v/>
      </c>
      <c r="T539" s="231" t="str">
        <f>IF(OR(Q539="Y",IFERROR(R539&gt;R545+R549*$AA$35,0),IFERROR(R539&lt;R545-R549*$AA$35,0)),"",IFERROR(R539*N539,""))</f>
        <v/>
      </c>
      <c r="U539" s="232" t="str">
        <f t="shared" si="392"/>
        <v>TWh/kg of protein</v>
      </c>
      <c r="V539" s="28"/>
      <c r="W539" s="28"/>
      <c r="Y539" s="91"/>
      <c r="AO539" s="91"/>
      <c r="AP539" s="28"/>
      <c r="AQ539" s="28"/>
      <c r="AR539" s="237"/>
      <c r="AS539" s="28"/>
      <c r="AT539" s="304" t="str">
        <f t="shared" si="403"/>
        <v/>
      </c>
      <c r="AU539" s="304" t="str">
        <f t="shared" si="403"/>
        <v/>
      </c>
      <c r="AV539" s="28"/>
      <c r="AW539" s="304" t="str">
        <f t="shared" si="393"/>
        <v/>
      </c>
      <c r="AX539" s="304" t="str">
        <f t="shared" si="393"/>
        <v/>
      </c>
      <c r="AY539" s="28"/>
      <c r="AZ539" s="304" t="str">
        <f t="shared" si="394"/>
        <v/>
      </c>
      <c r="BA539" s="304" t="str">
        <f t="shared" si="394"/>
        <v/>
      </c>
      <c r="BB539" s="28"/>
      <c r="BC539" s="304" t="str">
        <f t="shared" si="395"/>
        <v/>
      </c>
      <c r="BD539" s="304" t="str">
        <f t="shared" si="395"/>
        <v/>
      </c>
      <c r="BE539" s="28"/>
      <c r="BF539" s="304" t="str">
        <f t="shared" si="396"/>
        <v/>
      </c>
      <c r="BG539" s="304" t="str">
        <f t="shared" si="396"/>
        <v/>
      </c>
      <c r="BH539" s="28"/>
      <c r="BI539" s="304" t="str">
        <f t="shared" si="397"/>
        <v/>
      </c>
      <c r="BJ539" s="304" t="str">
        <f t="shared" si="397"/>
        <v/>
      </c>
      <c r="BK539" s="28"/>
      <c r="BL539" s="304" t="str">
        <f t="shared" si="398"/>
        <v/>
      </c>
      <c r="BM539" s="304" t="str">
        <f t="shared" si="398"/>
        <v/>
      </c>
      <c r="BN539" s="28"/>
      <c r="BO539" s="304" t="str">
        <f t="shared" si="399"/>
        <v/>
      </c>
      <c r="BP539" s="304" t="str">
        <f t="shared" si="399"/>
        <v/>
      </c>
      <c r="BQ539" s="28"/>
      <c r="BR539" s="304" t="str">
        <f t="shared" si="400"/>
        <v/>
      </c>
      <c r="BS539" s="304" t="str">
        <f t="shared" si="400"/>
        <v/>
      </c>
      <c r="BT539" s="28"/>
      <c r="BU539" s="304" t="str">
        <f t="shared" si="401"/>
        <v/>
      </c>
      <c r="BV539" s="304" t="str">
        <f t="shared" si="401"/>
        <v/>
      </c>
      <c r="BW539" s="28"/>
      <c r="BX539" s="91"/>
    </row>
    <row r="540" spans="1:76" s="55" customFormat="1" x14ac:dyDescent="0.25">
      <c r="A540" s="195">
        <v>16</v>
      </c>
      <c r="B540" s="216" t="str">
        <f t="shared" si="389"/>
        <v xml:space="preserve">: </v>
      </c>
      <c r="C540" s="221"/>
      <c r="D540" s="221"/>
      <c r="E540" s="221"/>
      <c r="F540" s="221"/>
      <c r="G540" s="240"/>
      <c r="H540" s="221"/>
      <c r="I540" s="240"/>
      <c r="J540" s="241"/>
      <c r="K540" s="241"/>
      <c r="L540" s="241"/>
      <c r="M540" s="225" t="str">
        <f t="shared" si="390"/>
        <v>TWh/kg of protein</v>
      </c>
      <c r="N540" s="227"/>
      <c r="O540" s="241"/>
      <c r="P540" s="122"/>
      <c r="Q540" s="228"/>
      <c r="R540" s="231" t="str">
        <f t="shared" si="402"/>
        <v/>
      </c>
      <c r="S540" s="230" t="str">
        <f t="shared" si="391"/>
        <v/>
      </c>
      <c r="T540" s="231" t="str">
        <f>IF(OR(Q540="Y",IFERROR(R540&gt;R545+R549*$AA$35,0),IFERROR(R540&lt;R545-R549*$AA$35,0)),"",IFERROR(R540*N540,""))</f>
        <v/>
      </c>
      <c r="U540" s="232" t="str">
        <f t="shared" si="392"/>
        <v>TWh/kg of protein</v>
      </c>
      <c r="V540" s="28"/>
      <c r="W540" s="28"/>
      <c r="Y540" s="91"/>
      <c r="AO540" s="91"/>
      <c r="AP540" s="28"/>
      <c r="AQ540" s="28"/>
      <c r="AR540" s="237"/>
      <c r="AS540" s="28"/>
      <c r="AT540" s="304" t="str">
        <f t="shared" si="403"/>
        <v/>
      </c>
      <c r="AU540" s="304" t="str">
        <f t="shared" si="403"/>
        <v/>
      </c>
      <c r="AV540" s="28"/>
      <c r="AW540" s="304" t="str">
        <f t="shared" si="393"/>
        <v/>
      </c>
      <c r="AX540" s="304" t="str">
        <f t="shared" si="393"/>
        <v/>
      </c>
      <c r="AY540" s="28"/>
      <c r="AZ540" s="304" t="str">
        <f t="shared" si="394"/>
        <v/>
      </c>
      <c r="BA540" s="304" t="str">
        <f t="shared" si="394"/>
        <v/>
      </c>
      <c r="BB540" s="28"/>
      <c r="BC540" s="304" t="str">
        <f t="shared" si="395"/>
        <v/>
      </c>
      <c r="BD540" s="304" t="str">
        <f t="shared" si="395"/>
        <v/>
      </c>
      <c r="BE540" s="28"/>
      <c r="BF540" s="304" t="str">
        <f t="shared" si="396"/>
        <v/>
      </c>
      <c r="BG540" s="304" t="str">
        <f t="shared" si="396"/>
        <v/>
      </c>
      <c r="BH540" s="28"/>
      <c r="BI540" s="304" t="str">
        <f t="shared" si="397"/>
        <v/>
      </c>
      <c r="BJ540" s="304" t="str">
        <f t="shared" si="397"/>
        <v/>
      </c>
      <c r="BK540" s="28"/>
      <c r="BL540" s="304" t="str">
        <f t="shared" si="398"/>
        <v/>
      </c>
      <c r="BM540" s="304" t="str">
        <f t="shared" si="398"/>
        <v/>
      </c>
      <c r="BN540" s="28"/>
      <c r="BO540" s="304" t="str">
        <f t="shared" si="399"/>
        <v/>
      </c>
      <c r="BP540" s="304" t="str">
        <f t="shared" si="399"/>
        <v/>
      </c>
      <c r="BQ540" s="28"/>
      <c r="BR540" s="304" t="str">
        <f t="shared" si="400"/>
        <v/>
      </c>
      <c r="BS540" s="304" t="str">
        <f t="shared" si="400"/>
        <v/>
      </c>
      <c r="BT540" s="28"/>
      <c r="BU540" s="304" t="str">
        <f t="shared" si="401"/>
        <v/>
      </c>
      <c r="BV540" s="304" t="str">
        <f t="shared" si="401"/>
        <v/>
      </c>
      <c r="BW540" s="28"/>
      <c r="BX540" s="91"/>
    </row>
    <row r="541" spans="1:76" s="55" customFormat="1" x14ac:dyDescent="0.25">
      <c r="A541" s="195">
        <v>17</v>
      </c>
      <c r="B541" s="216" t="str">
        <f t="shared" si="389"/>
        <v xml:space="preserve">: </v>
      </c>
      <c r="C541" s="221"/>
      <c r="D541" s="221"/>
      <c r="E541" s="221"/>
      <c r="F541" s="221"/>
      <c r="G541" s="240"/>
      <c r="H541" s="221"/>
      <c r="I541" s="240"/>
      <c r="J541" s="241"/>
      <c r="K541" s="241"/>
      <c r="L541" s="241"/>
      <c r="M541" s="225" t="str">
        <f t="shared" si="390"/>
        <v>TWh/kg of protein</v>
      </c>
      <c r="N541" s="227"/>
      <c r="O541" s="241"/>
      <c r="P541" s="122"/>
      <c r="Q541" s="228"/>
      <c r="R541" s="231" t="str">
        <f t="shared" si="402"/>
        <v/>
      </c>
      <c r="S541" s="230" t="str">
        <f t="shared" si="391"/>
        <v/>
      </c>
      <c r="T541" s="231" t="str">
        <f>IF(OR(Q541="Y",IFERROR(R541&gt;R545+R549*$AA$35,0),IFERROR(R541&lt;R545-R549*$AA$35,0)),"",IFERROR(R541*N541,""))</f>
        <v/>
      </c>
      <c r="U541" s="232" t="str">
        <f t="shared" si="392"/>
        <v>TWh/kg of protein</v>
      </c>
      <c r="V541" s="28"/>
      <c r="W541" s="28"/>
      <c r="Y541" s="91"/>
      <c r="AO541" s="91"/>
      <c r="AP541" s="28"/>
      <c r="AQ541" s="28"/>
      <c r="AR541" s="237"/>
      <c r="AS541" s="28"/>
      <c r="AT541" s="304" t="str">
        <f t="shared" si="403"/>
        <v/>
      </c>
      <c r="AU541" s="304" t="str">
        <f t="shared" si="403"/>
        <v/>
      </c>
      <c r="AV541" s="28"/>
      <c r="AW541" s="304" t="str">
        <f t="shared" si="393"/>
        <v/>
      </c>
      <c r="AX541" s="304" t="str">
        <f t="shared" si="393"/>
        <v/>
      </c>
      <c r="AY541" s="28"/>
      <c r="AZ541" s="304" t="str">
        <f t="shared" si="394"/>
        <v/>
      </c>
      <c r="BA541" s="304" t="str">
        <f t="shared" si="394"/>
        <v/>
      </c>
      <c r="BB541" s="28"/>
      <c r="BC541" s="304" t="str">
        <f t="shared" si="395"/>
        <v/>
      </c>
      <c r="BD541" s="304" t="str">
        <f t="shared" si="395"/>
        <v/>
      </c>
      <c r="BE541" s="28"/>
      <c r="BF541" s="304" t="str">
        <f t="shared" si="396"/>
        <v/>
      </c>
      <c r="BG541" s="304" t="str">
        <f t="shared" si="396"/>
        <v/>
      </c>
      <c r="BH541" s="28"/>
      <c r="BI541" s="304" t="str">
        <f t="shared" si="397"/>
        <v/>
      </c>
      <c r="BJ541" s="304" t="str">
        <f t="shared" si="397"/>
        <v/>
      </c>
      <c r="BK541" s="28"/>
      <c r="BL541" s="304" t="str">
        <f t="shared" si="398"/>
        <v/>
      </c>
      <c r="BM541" s="304" t="str">
        <f t="shared" si="398"/>
        <v/>
      </c>
      <c r="BN541" s="28"/>
      <c r="BO541" s="304" t="str">
        <f t="shared" si="399"/>
        <v/>
      </c>
      <c r="BP541" s="304" t="str">
        <f t="shared" si="399"/>
        <v/>
      </c>
      <c r="BQ541" s="28"/>
      <c r="BR541" s="304" t="str">
        <f t="shared" si="400"/>
        <v/>
      </c>
      <c r="BS541" s="304" t="str">
        <f t="shared" si="400"/>
        <v/>
      </c>
      <c r="BT541" s="28"/>
      <c r="BU541" s="304" t="str">
        <f t="shared" si="401"/>
        <v/>
      </c>
      <c r="BV541" s="304" t="str">
        <f t="shared" si="401"/>
        <v/>
      </c>
      <c r="BW541" s="28"/>
      <c r="BX541" s="91"/>
    </row>
    <row r="542" spans="1:76" s="55" customFormat="1" x14ac:dyDescent="0.25">
      <c r="A542" s="195">
        <v>18</v>
      </c>
      <c r="B542" s="216" t="str">
        <f t="shared" si="389"/>
        <v xml:space="preserve">: </v>
      </c>
      <c r="C542" s="221"/>
      <c r="D542" s="221"/>
      <c r="E542" s="221"/>
      <c r="F542" s="221"/>
      <c r="G542" s="240"/>
      <c r="H542" s="221"/>
      <c r="I542" s="240"/>
      <c r="J542" s="241"/>
      <c r="K542" s="241"/>
      <c r="L542" s="241"/>
      <c r="M542" s="225" t="str">
        <f t="shared" si="390"/>
        <v>TWh/kg of protein</v>
      </c>
      <c r="N542" s="227"/>
      <c r="O542" s="241"/>
      <c r="P542" s="122"/>
      <c r="Q542" s="228"/>
      <c r="R542" s="231" t="str">
        <f t="shared" si="402"/>
        <v/>
      </c>
      <c r="S542" s="230" t="str">
        <f t="shared" si="391"/>
        <v/>
      </c>
      <c r="T542" s="231" t="str">
        <f>IF(OR(Q542="Y",IFERROR(R542&gt;R545+R549*$AA$35,0),IFERROR(R542&lt;R545-R549*$AA$35,0)),"",IFERROR(R542*N542,""))</f>
        <v/>
      </c>
      <c r="U542" s="232" t="str">
        <f t="shared" si="392"/>
        <v>TWh/kg of protein</v>
      </c>
      <c r="V542" s="28"/>
      <c r="W542" s="28"/>
      <c r="Y542" s="91"/>
      <c r="AO542" s="91"/>
      <c r="AP542" s="28"/>
      <c r="AQ542" s="28"/>
      <c r="AR542" s="237"/>
      <c r="AS542" s="28"/>
      <c r="AT542" s="304" t="str">
        <f t="shared" si="403"/>
        <v/>
      </c>
      <c r="AU542" s="304" t="str">
        <f t="shared" si="403"/>
        <v/>
      </c>
      <c r="AV542" s="28"/>
      <c r="AW542" s="304" t="str">
        <f t="shared" si="393"/>
        <v/>
      </c>
      <c r="AX542" s="304" t="str">
        <f t="shared" si="393"/>
        <v/>
      </c>
      <c r="AY542" s="28"/>
      <c r="AZ542" s="304" t="str">
        <f t="shared" si="394"/>
        <v/>
      </c>
      <c r="BA542" s="304" t="str">
        <f t="shared" si="394"/>
        <v/>
      </c>
      <c r="BB542" s="28"/>
      <c r="BC542" s="304" t="str">
        <f t="shared" si="395"/>
        <v/>
      </c>
      <c r="BD542" s="304" t="str">
        <f t="shared" si="395"/>
        <v/>
      </c>
      <c r="BE542" s="28"/>
      <c r="BF542" s="304" t="str">
        <f t="shared" si="396"/>
        <v/>
      </c>
      <c r="BG542" s="304" t="str">
        <f t="shared" si="396"/>
        <v/>
      </c>
      <c r="BH542" s="28"/>
      <c r="BI542" s="304" t="str">
        <f t="shared" si="397"/>
        <v/>
      </c>
      <c r="BJ542" s="304" t="str">
        <f t="shared" si="397"/>
        <v/>
      </c>
      <c r="BK542" s="28"/>
      <c r="BL542" s="304" t="str">
        <f t="shared" si="398"/>
        <v/>
      </c>
      <c r="BM542" s="304" t="str">
        <f t="shared" si="398"/>
        <v/>
      </c>
      <c r="BN542" s="28"/>
      <c r="BO542" s="304" t="str">
        <f t="shared" si="399"/>
        <v/>
      </c>
      <c r="BP542" s="304" t="str">
        <f t="shared" si="399"/>
        <v/>
      </c>
      <c r="BQ542" s="28"/>
      <c r="BR542" s="304" t="str">
        <f t="shared" si="400"/>
        <v/>
      </c>
      <c r="BS542" s="304" t="str">
        <f t="shared" si="400"/>
        <v/>
      </c>
      <c r="BT542" s="28"/>
      <c r="BU542" s="304" t="str">
        <f t="shared" si="401"/>
        <v/>
      </c>
      <c r="BV542" s="304" t="str">
        <f t="shared" si="401"/>
        <v/>
      </c>
      <c r="BW542" s="28"/>
      <c r="BX542" s="91"/>
    </row>
    <row r="543" spans="1:76" s="55" customFormat="1" x14ac:dyDescent="0.25">
      <c r="A543" s="195">
        <v>19</v>
      </c>
      <c r="B543" s="216" t="str">
        <f t="shared" si="389"/>
        <v xml:space="preserve">: </v>
      </c>
      <c r="C543" s="221"/>
      <c r="D543" s="221"/>
      <c r="E543" s="221"/>
      <c r="F543" s="221"/>
      <c r="G543" s="240"/>
      <c r="H543" s="221"/>
      <c r="I543" s="240"/>
      <c r="J543" s="241"/>
      <c r="K543" s="241"/>
      <c r="L543" s="241"/>
      <c r="M543" s="225" t="str">
        <f t="shared" si="390"/>
        <v>TWh/kg of protein</v>
      </c>
      <c r="N543" s="227"/>
      <c r="O543" s="241"/>
      <c r="P543" s="122"/>
      <c r="Q543" s="228"/>
      <c r="R543" s="231" t="str">
        <f t="shared" si="402"/>
        <v/>
      </c>
      <c r="S543" s="230" t="str">
        <f t="shared" si="391"/>
        <v/>
      </c>
      <c r="T543" s="231" t="str">
        <f>IF(OR(Q543="Y",IFERROR(R543&gt;R545+R549*$AA$35,0),IFERROR(R543&lt;R545-R549*$AA$35,0)),"",IFERROR(R543*N543,""))</f>
        <v/>
      </c>
      <c r="U543" s="232" t="str">
        <f t="shared" si="392"/>
        <v>TWh/kg of protein</v>
      </c>
      <c r="V543" s="28"/>
      <c r="W543" s="28"/>
      <c r="Y543" s="91"/>
      <c r="AO543" s="91"/>
      <c r="AP543" s="28"/>
      <c r="AQ543" s="28"/>
      <c r="AR543" s="237"/>
      <c r="AS543" s="28"/>
      <c r="AT543" s="304" t="str">
        <f t="shared" si="403"/>
        <v/>
      </c>
      <c r="AU543" s="304" t="str">
        <f t="shared" si="403"/>
        <v/>
      </c>
      <c r="AV543" s="28"/>
      <c r="AW543" s="304" t="str">
        <f t="shared" si="393"/>
        <v/>
      </c>
      <c r="AX543" s="304" t="str">
        <f t="shared" si="393"/>
        <v/>
      </c>
      <c r="AY543" s="28"/>
      <c r="AZ543" s="304" t="str">
        <f t="shared" si="394"/>
        <v/>
      </c>
      <c r="BA543" s="304" t="str">
        <f t="shared" si="394"/>
        <v/>
      </c>
      <c r="BB543" s="28"/>
      <c r="BC543" s="304" t="str">
        <f t="shared" si="395"/>
        <v/>
      </c>
      <c r="BD543" s="304" t="str">
        <f t="shared" si="395"/>
        <v/>
      </c>
      <c r="BE543" s="28"/>
      <c r="BF543" s="304" t="str">
        <f t="shared" si="396"/>
        <v/>
      </c>
      <c r="BG543" s="304" t="str">
        <f t="shared" si="396"/>
        <v/>
      </c>
      <c r="BH543" s="28"/>
      <c r="BI543" s="304" t="str">
        <f t="shared" si="397"/>
        <v/>
      </c>
      <c r="BJ543" s="304" t="str">
        <f t="shared" si="397"/>
        <v/>
      </c>
      <c r="BK543" s="28"/>
      <c r="BL543" s="304" t="str">
        <f t="shared" si="398"/>
        <v/>
      </c>
      <c r="BM543" s="304" t="str">
        <f t="shared" si="398"/>
        <v/>
      </c>
      <c r="BN543" s="28"/>
      <c r="BO543" s="304" t="str">
        <f t="shared" si="399"/>
        <v/>
      </c>
      <c r="BP543" s="304" t="str">
        <f t="shared" si="399"/>
        <v/>
      </c>
      <c r="BQ543" s="28"/>
      <c r="BR543" s="304" t="str">
        <f t="shared" si="400"/>
        <v/>
      </c>
      <c r="BS543" s="304" t="str">
        <f t="shared" si="400"/>
        <v/>
      </c>
      <c r="BT543" s="28"/>
      <c r="BU543" s="304" t="str">
        <f t="shared" si="401"/>
        <v/>
      </c>
      <c r="BV543" s="304" t="str">
        <f t="shared" si="401"/>
        <v/>
      </c>
      <c r="BW543" s="28"/>
      <c r="BX543" s="91"/>
    </row>
    <row r="544" spans="1:76" s="55" customFormat="1" x14ac:dyDescent="0.25">
      <c r="A544" s="195">
        <v>20</v>
      </c>
      <c r="B544" s="216" t="str">
        <f t="shared" si="389"/>
        <v xml:space="preserve">: </v>
      </c>
      <c r="C544" s="221"/>
      <c r="D544" s="221"/>
      <c r="E544" s="221"/>
      <c r="F544" s="221"/>
      <c r="G544" s="240"/>
      <c r="H544" s="221"/>
      <c r="I544" s="240"/>
      <c r="J544" s="241"/>
      <c r="K544" s="241"/>
      <c r="L544" s="241"/>
      <c r="M544" s="225" t="str">
        <f t="shared" si="390"/>
        <v>TWh/kg of protein</v>
      </c>
      <c r="N544" s="227"/>
      <c r="O544" s="241"/>
      <c r="P544" s="122"/>
      <c r="Q544" s="228"/>
      <c r="R544" s="231" t="str">
        <f t="shared" si="402"/>
        <v/>
      </c>
      <c r="S544" s="230" t="str">
        <f t="shared" si="391"/>
        <v/>
      </c>
      <c r="T544" s="231" t="str">
        <f>IF(OR(Q544="Y",IFERROR(R544&gt;R545+R549*$AA$35,0),IFERROR(R544&lt;R545-R549*$AA$35,0)),"",IFERROR(R544*N544,""))</f>
        <v/>
      </c>
      <c r="U544" s="232" t="str">
        <f t="shared" si="392"/>
        <v>TWh/kg of protein</v>
      </c>
      <c r="V544" s="28"/>
      <c r="W544" s="28"/>
      <c r="Y544" s="91"/>
      <c r="AO544" s="91"/>
      <c r="AP544" s="28"/>
      <c r="AQ544" s="28"/>
      <c r="AR544" s="237"/>
      <c r="AS544" s="28"/>
      <c r="AT544" s="304" t="str">
        <f t="shared" si="403"/>
        <v/>
      </c>
      <c r="AU544" s="304" t="str">
        <f t="shared" si="403"/>
        <v/>
      </c>
      <c r="AV544" s="28"/>
      <c r="AW544" s="304" t="str">
        <f t="shared" si="393"/>
        <v/>
      </c>
      <c r="AX544" s="304" t="str">
        <f t="shared" si="393"/>
        <v/>
      </c>
      <c r="AY544" s="28"/>
      <c r="AZ544" s="304" t="str">
        <f t="shared" si="394"/>
        <v/>
      </c>
      <c r="BA544" s="304" t="str">
        <f t="shared" si="394"/>
        <v/>
      </c>
      <c r="BB544" s="28"/>
      <c r="BC544" s="304" t="str">
        <f t="shared" si="395"/>
        <v/>
      </c>
      <c r="BD544" s="304" t="str">
        <f t="shared" si="395"/>
        <v/>
      </c>
      <c r="BE544" s="28"/>
      <c r="BF544" s="304" t="str">
        <f t="shared" si="396"/>
        <v/>
      </c>
      <c r="BG544" s="304" t="str">
        <f t="shared" si="396"/>
        <v/>
      </c>
      <c r="BH544" s="28"/>
      <c r="BI544" s="304" t="str">
        <f t="shared" si="397"/>
        <v/>
      </c>
      <c r="BJ544" s="304" t="str">
        <f t="shared" si="397"/>
        <v/>
      </c>
      <c r="BK544" s="28"/>
      <c r="BL544" s="304" t="str">
        <f t="shared" si="398"/>
        <v/>
      </c>
      <c r="BM544" s="304" t="str">
        <f t="shared" si="398"/>
        <v/>
      </c>
      <c r="BN544" s="28"/>
      <c r="BO544" s="304" t="str">
        <f t="shared" si="399"/>
        <v/>
      </c>
      <c r="BP544" s="304" t="str">
        <f t="shared" si="399"/>
        <v/>
      </c>
      <c r="BQ544" s="28"/>
      <c r="BR544" s="304" t="str">
        <f t="shared" si="400"/>
        <v/>
      </c>
      <c r="BS544" s="304" t="str">
        <f t="shared" si="400"/>
        <v/>
      </c>
      <c r="BT544" s="28"/>
      <c r="BU544" s="304" t="str">
        <f t="shared" si="401"/>
        <v/>
      </c>
      <c r="BV544" s="304" t="str">
        <f t="shared" si="401"/>
        <v/>
      </c>
      <c r="BW544" s="28"/>
      <c r="BX544" s="91"/>
    </row>
    <row r="545" spans="1:76" s="55" customFormat="1" x14ac:dyDescent="0.25">
      <c r="A545" s="195"/>
      <c r="B545" s="244" t="s">
        <v>163</v>
      </c>
      <c r="C545" s="199"/>
      <c r="D545" s="199"/>
      <c r="E545" s="199"/>
      <c r="F545" s="199"/>
      <c r="H545" s="28"/>
      <c r="I545" s="245"/>
      <c r="J545" s="122"/>
      <c r="K545" s="122"/>
      <c r="L545" s="122" t="s">
        <v>134</v>
      </c>
      <c r="M545" s="122"/>
      <c r="N545" s="122"/>
      <c r="O545" s="122"/>
      <c r="P545" s="122"/>
      <c r="Q545" s="305" t="s">
        <v>136</v>
      </c>
      <c r="R545" s="246" t="e">
        <f>AVERAGE(R525:R544)</f>
        <v>#DIV/0!</v>
      </c>
      <c r="S545" s="247" t="e">
        <f>IF(R553="Y",SUM(S525:S544)/SUMPRODUCT(N525:N544,--ISNUMBER(S525:S544)),AVERAGE(S525:S544))</f>
        <v>#DIV/0!</v>
      </c>
      <c r="T545" s="248" t="e">
        <f>SUM(T525:T544)/SUMPRODUCT(N525:N544,--ISNUMBER(T525:T544))</f>
        <v>#DIV/0!</v>
      </c>
      <c r="U545" s="28"/>
      <c r="V545" s="28"/>
      <c r="W545" s="28"/>
      <c r="Y545" s="249"/>
      <c r="AO545" s="91"/>
      <c r="AP545" s="28"/>
      <c r="AQ545" s="28"/>
      <c r="AR545" s="28"/>
      <c r="AS545" s="245" t="s">
        <v>136</v>
      </c>
      <c r="AT545" s="307" t="e">
        <f>AVERAGE(AT525:AT544)</f>
        <v>#DIV/0!</v>
      </c>
      <c r="AU545" s="307" t="e">
        <f>SUM(AU525:AU544)/COUNTIF(AU525:AU544,"&gt;0")</f>
        <v>#DIV/0!</v>
      </c>
      <c r="AV545" s="245"/>
      <c r="AW545" s="307" t="e">
        <f>AVERAGE(AW525:AW544)</f>
        <v>#DIV/0!</v>
      </c>
      <c r="AX545" s="307" t="e">
        <f>SUM(AX525:AX544)/COUNTIF(AX525:AX544,"&gt;0")</f>
        <v>#DIV/0!</v>
      </c>
      <c r="AY545" s="28"/>
      <c r="AZ545" s="307" t="e">
        <f>AVERAGE(AZ525:AZ544)</f>
        <v>#DIV/0!</v>
      </c>
      <c r="BA545" s="307" t="e">
        <f>SUM(BA525:BA544)/COUNTIF(BA525:BA544,"&gt;0")</f>
        <v>#DIV/0!</v>
      </c>
      <c r="BB545" s="28"/>
      <c r="BC545" s="307" t="e">
        <f>AVERAGE(BC525:BC544)</f>
        <v>#DIV/0!</v>
      </c>
      <c r="BD545" s="307" t="e">
        <f>SUM(BD525:BD544)/COUNTIF(BD525:BD544,"&gt;0")</f>
        <v>#DIV/0!</v>
      </c>
      <c r="BE545" s="28"/>
      <c r="BF545" s="307" t="e">
        <f>AVERAGE(BF525:BF544)</f>
        <v>#DIV/0!</v>
      </c>
      <c r="BG545" s="307" t="e">
        <f>SUM(BG525:BG544)/COUNTIF(BG525:BG544,"&gt;0")</f>
        <v>#DIV/0!</v>
      </c>
      <c r="BH545" s="28"/>
      <c r="BI545" s="307" t="e">
        <f>AVERAGE(BI525:BI544)</f>
        <v>#DIV/0!</v>
      </c>
      <c r="BJ545" s="307" t="e">
        <f>SUM(BJ525:BJ544)/COUNTIF(BJ525:BJ544,"&gt;0")</f>
        <v>#DIV/0!</v>
      </c>
      <c r="BK545" s="245"/>
      <c r="BL545" s="307" t="e">
        <f>AVERAGE(BL525:BL544)</f>
        <v>#DIV/0!</v>
      </c>
      <c r="BM545" s="307" t="e">
        <f>SUM(BM525:BM544)/COUNTIF(BM525:BM544,"&gt;0")</f>
        <v>#DIV/0!</v>
      </c>
      <c r="BN545" s="28"/>
      <c r="BO545" s="307" t="e">
        <f>AVERAGE(BO525:BO544)</f>
        <v>#DIV/0!</v>
      </c>
      <c r="BP545" s="307" t="e">
        <f>SUM(BP525:BP544)/COUNTIF(BP525:BP544,"&gt;0")</f>
        <v>#DIV/0!</v>
      </c>
      <c r="BQ545" s="28"/>
      <c r="BR545" s="307" t="e">
        <f>AVERAGE(BR525:BR544)</f>
        <v>#DIV/0!</v>
      </c>
      <c r="BS545" s="307" t="e">
        <f>SUM(BS525:BS544)/COUNTIF(BS525:BS544,"&gt;0")</f>
        <v>#DIV/0!</v>
      </c>
      <c r="BT545" s="28"/>
      <c r="BU545" s="307" t="e">
        <f>AVERAGE(BU525:BU544)</f>
        <v>#DIV/0!</v>
      </c>
      <c r="BV545" s="307" t="e">
        <f>SUM(BV525:BV544)/COUNTIF(BV525:BV544,"&gt;0")</f>
        <v>#DIV/0!</v>
      </c>
      <c r="BW545" s="28"/>
      <c r="BX545" s="91"/>
    </row>
    <row r="546" spans="1:76" s="55" customFormat="1" x14ac:dyDescent="0.25">
      <c r="A546" s="195"/>
      <c r="B546" s="244" t="s">
        <v>164</v>
      </c>
      <c r="C546" s="199" t="s">
        <v>139</v>
      </c>
      <c r="D546" s="252"/>
      <c r="E546" s="253"/>
      <c r="F546" s="253"/>
      <c r="G546" s="253"/>
      <c r="H546" s="253"/>
      <c r="I546" s="253"/>
      <c r="J546" s="254"/>
      <c r="K546" s="122"/>
      <c r="L546" s="122"/>
      <c r="M546" s="122"/>
      <c r="N546" s="122"/>
      <c r="O546" s="122"/>
      <c r="P546" s="122"/>
      <c r="Q546" s="306" t="s">
        <v>144</v>
      </c>
      <c r="R546" s="257" t="e">
        <f>R545+U546*R549</f>
        <v>#DIV/0!</v>
      </c>
      <c r="S546" s="257" t="e">
        <f>S545+U546*S549</f>
        <v>#DIV/0!</v>
      </c>
      <c r="T546" s="257" t="e">
        <f>T545+U546*T549</f>
        <v>#DIV/0!</v>
      </c>
      <c r="U546" s="258">
        <v>1</v>
      </c>
      <c r="V546" s="122" t="s">
        <v>142</v>
      </c>
      <c r="W546" s="28"/>
      <c r="X546" s="259" t="s">
        <v>143</v>
      </c>
      <c r="Y546" s="260"/>
      <c r="AO546" s="91"/>
      <c r="AP546" s="28"/>
      <c r="AQ546" s="28"/>
      <c r="AR546" s="28"/>
      <c r="AS546" s="256" t="s">
        <v>144</v>
      </c>
      <c r="AT546" s="261" t="e">
        <f>AT545+(AT551*AT548)</f>
        <v>#DIV/0!</v>
      </c>
      <c r="AU546" s="261" t="e">
        <f>AU545+(AU551*AT548)</f>
        <v>#DIV/0!</v>
      </c>
      <c r="AV546" s="256"/>
      <c r="AW546" s="261" t="e">
        <f>AW545+(AW551*AW548)</f>
        <v>#DIV/0!</v>
      </c>
      <c r="AX546" s="261" t="e">
        <f>AX545+(AX551*AW548)</f>
        <v>#DIV/0!</v>
      </c>
      <c r="AY546" s="28"/>
      <c r="AZ546" s="261" t="e">
        <f>AZ545+(AZ551*AZ548)</f>
        <v>#DIV/0!</v>
      </c>
      <c r="BA546" s="261" t="e">
        <f>BA545+(BA551*AZ548)</f>
        <v>#DIV/0!</v>
      </c>
      <c r="BB546" s="28"/>
      <c r="BC546" s="261" t="e">
        <f>BC545+(BC551*BC548)</f>
        <v>#DIV/0!</v>
      </c>
      <c r="BD546" s="261" t="e">
        <f>BD545+(BD551*BC548)</f>
        <v>#DIV/0!</v>
      </c>
      <c r="BE546" s="28"/>
      <c r="BF546" s="261" t="e">
        <f>BF545+(BF551*BF548)</f>
        <v>#DIV/0!</v>
      </c>
      <c r="BG546" s="261" t="e">
        <f>BG545+(BG551*BF548)</f>
        <v>#DIV/0!</v>
      </c>
      <c r="BH546" s="28"/>
      <c r="BI546" s="261" t="e">
        <f>BI545+(BI551*BI548)</f>
        <v>#DIV/0!</v>
      </c>
      <c r="BJ546" s="261" t="e">
        <f>BJ545+(BJ551*BI548)</f>
        <v>#DIV/0!</v>
      </c>
      <c r="BK546" s="256"/>
      <c r="BL546" s="261" t="e">
        <f>BL545+(BL551*BL548)</f>
        <v>#DIV/0!</v>
      </c>
      <c r="BM546" s="261" t="e">
        <f>BM545+(BM551*BL548)</f>
        <v>#DIV/0!</v>
      </c>
      <c r="BN546" s="28"/>
      <c r="BO546" s="261" t="e">
        <f>BO545+(BO551*BO548)</f>
        <v>#DIV/0!</v>
      </c>
      <c r="BP546" s="261" t="e">
        <f>BP545+(BP551*BO548)</f>
        <v>#DIV/0!</v>
      </c>
      <c r="BQ546" s="28"/>
      <c r="BR546" s="261" t="e">
        <f>BR545+(BR551*BR548)</f>
        <v>#DIV/0!</v>
      </c>
      <c r="BS546" s="261" t="e">
        <f>BS545+(BS551*BR548)</f>
        <v>#DIV/0!</v>
      </c>
      <c r="BT546" s="28"/>
      <c r="BU546" s="261" t="e">
        <f>BU545+(BU551*BU548)</f>
        <v>#DIV/0!</v>
      </c>
      <c r="BV546" s="261" t="e">
        <f>BV545+(BV551*BU548)</f>
        <v>#DIV/0!</v>
      </c>
      <c r="BW546" s="28"/>
      <c r="BX546" s="91"/>
    </row>
    <row r="547" spans="1:76" s="55" customFormat="1" x14ac:dyDescent="0.25">
      <c r="A547" s="195"/>
      <c r="B547" s="244" t="s">
        <v>165</v>
      </c>
      <c r="C547" s="195"/>
      <c r="D547" s="263"/>
      <c r="E547" s="264"/>
      <c r="F547" s="264"/>
      <c r="G547" s="264"/>
      <c r="H547" s="264"/>
      <c r="I547" s="264"/>
      <c r="J547" s="265"/>
      <c r="K547" s="28"/>
      <c r="L547" s="28"/>
      <c r="M547" s="122"/>
      <c r="N547" s="122"/>
      <c r="O547" s="122"/>
      <c r="P547" s="122"/>
      <c r="Q547" s="306" t="s">
        <v>150</v>
      </c>
      <c r="R547" s="257" t="e">
        <f>IF($X547="Y",MIN(R525:R544),R545-$U547*R549)</f>
        <v>#DIV/0!</v>
      </c>
      <c r="S547" s="257" t="e">
        <f t="shared" ref="S547" si="404">IF($X547="Y",MIN(S525:S544),S545-$U547*S549)</f>
        <v>#DIV/0!</v>
      </c>
      <c r="T547" s="257" t="e">
        <f>IF($X547="Y",MIN(T525:T544),T545-$U547*T549)</f>
        <v>#DIV/0!</v>
      </c>
      <c r="U547" s="258">
        <v>1</v>
      </c>
      <c r="V547" s="122" t="s">
        <v>148</v>
      </c>
      <c r="W547" s="28"/>
      <c r="X547" s="266" t="s">
        <v>149</v>
      </c>
      <c r="Y547" s="260"/>
      <c r="AO547" s="91"/>
      <c r="AP547" s="28"/>
      <c r="AQ547" s="28"/>
      <c r="AR547" s="28"/>
      <c r="AS547" s="256" t="s">
        <v>150</v>
      </c>
      <c r="AT547" s="261" t="e">
        <f>AT545-(AT551*AT549)</f>
        <v>#DIV/0!</v>
      </c>
      <c r="AU547" s="261" t="e">
        <f>AU545-(AU551*AT549)</f>
        <v>#DIV/0!</v>
      </c>
      <c r="AV547" s="256"/>
      <c r="AW547" s="261" t="e">
        <f>AW545-(AW551*AW549)</f>
        <v>#DIV/0!</v>
      </c>
      <c r="AX547" s="261" t="e">
        <f>AX545-(AX551*AW549)</f>
        <v>#DIV/0!</v>
      </c>
      <c r="AY547" s="28"/>
      <c r="AZ547" s="261" t="e">
        <f>AZ545-(AZ551*AZ549)</f>
        <v>#DIV/0!</v>
      </c>
      <c r="BA547" s="261" t="e">
        <f>BA545-(BA551*AZ549)</f>
        <v>#DIV/0!</v>
      </c>
      <c r="BB547" s="28"/>
      <c r="BC547" s="261" t="e">
        <f>BC545-(BC551*BC549)</f>
        <v>#DIV/0!</v>
      </c>
      <c r="BD547" s="261" t="e">
        <f>BD545-(BD551*BC549)</f>
        <v>#DIV/0!</v>
      </c>
      <c r="BE547" s="28"/>
      <c r="BF547" s="261" t="e">
        <f>BF545-(BF551*BF549)</f>
        <v>#DIV/0!</v>
      </c>
      <c r="BG547" s="261" t="e">
        <f>BG545-(BG551*BF549)</f>
        <v>#DIV/0!</v>
      </c>
      <c r="BH547" s="28"/>
      <c r="BI547" s="261" t="e">
        <f>BI545-(BI551*BI549)</f>
        <v>#DIV/0!</v>
      </c>
      <c r="BJ547" s="261" t="e">
        <f>BJ545-(BJ551*BI549)</f>
        <v>#DIV/0!</v>
      </c>
      <c r="BK547" s="256"/>
      <c r="BL547" s="261" t="e">
        <f>BL545-(BL551*BL549)</f>
        <v>#DIV/0!</v>
      </c>
      <c r="BM547" s="261" t="e">
        <f>BM545-(BM551*BL549)</f>
        <v>#DIV/0!</v>
      </c>
      <c r="BN547" s="28"/>
      <c r="BO547" s="261" t="e">
        <f>BO545-(BO551*BO549)</f>
        <v>#DIV/0!</v>
      </c>
      <c r="BP547" s="261" t="e">
        <f>BP545-(BP551*BO549)</f>
        <v>#DIV/0!</v>
      </c>
      <c r="BQ547" s="28"/>
      <c r="BR547" s="261" t="e">
        <f>BR545-(BR551*BR549)</f>
        <v>#DIV/0!</v>
      </c>
      <c r="BS547" s="261" t="e">
        <f>BS545-(BS551*BR549)</f>
        <v>#DIV/0!</v>
      </c>
      <c r="BT547" s="28"/>
      <c r="BU547" s="261" t="e">
        <f>BU545-(BU551*BU549)</f>
        <v>#DIV/0!</v>
      </c>
      <c r="BV547" s="261" t="e">
        <f>BV545-(BV551*BU549)</f>
        <v>#DIV/0!</v>
      </c>
      <c r="BW547" s="28"/>
      <c r="BX547" s="91"/>
    </row>
    <row r="548" spans="1:76" s="55" customFormat="1" ht="14.25" x14ac:dyDescent="0.2">
      <c r="A548" s="195"/>
      <c r="B548" s="196"/>
      <c r="C548" s="195"/>
      <c r="D548" s="263"/>
      <c r="E548" s="264"/>
      <c r="F548" s="264"/>
      <c r="G548" s="264"/>
      <c r="H548" s="264"/>
      <c r="I548" s="264"/>
      <c r="J548" s="265"/>
      <c r="K548" s="122"/>
      <c r="L548" s="122"/>
      <c r="M548" s="122"/>
      <c r="N548" s="122"/>
      <c r="O548" s="122"/>
      <c r="P548" s="122"/>
      <c r="Q548" s="306" t="s">
        <v>151</v>
      </c>
      <c r="R548" s="257" t="e">
        <f>IF((0.67*R549)&gt;R545,"no","yes")</f>
        <v>#DIV/0!</v>
      </c>
      <c r="S548" s="257" t="e">
        <f>IF((0.67*S549)&gt;S545,"no","yes")</f>
        <v>#DIV/0!</v>
      </c>
      <c r="T548" s="257" t="e">
        <f>IF((0.67*T549)&gt;T545,"no","yes")</f>
        <v>#DIV/0!</v>
      </c>
      <c r="U548" s="122"/>
      <c r="V548" s="122"/>
      <c r="W548" s="122"/>
      <c r="Y548" s="260"/>
      <c r="AO548" s="91"/>
      <c r="AP548" s="122"/>
      <c r="AQ548" s="122"/>
      <c r="AR548" s="267" t="s">
        <v>152</v>
      </c>
      <c r="AS548" s="268"/>
      <c r="AT548" s="258">
        <v>1</v>
      </c>
      <c r="AU548" s="122"/>
      <c r="AV548" s="308"/>
      <c r="AW548" s="258">
        <v>1</v>
      </c>
      <c r="AX548" s="122"/>
      <c r="AY548" s="122"/>
      <c r="AZ548" s="258">
        <v>1</v>
      </c>
      <c r="BA548" s="122"/>
      <c r="BB548" s="122"/>
      <c r="BC548" s="258">
        <v>1</v>
      </c>
      <c r="BD548" s="122"/>
      <c r="BE548" s="122"/>
      <c r="BF548" s="258">
        <v>1</v>
      </c>
      <c r="BG548" s="122"/>
      <c r="BH548" s="122"/>
      <c r="BI548" s="258">
        <v>1</v>
      </c>
      <c r="BJ548" s="122"/>
      <c r="BK548" s="256"/>
      <c r="BL548" s="258">
        <v>1</v>
      </c>
      <c r="BM548" s="122"/>
      <c r="BN548" s="122"/>
      <c r="BO548" s="258">
        <v>1</v>
      </c>
      <c r="BP548" s="122"/>
      <c r="BQ548" s="122"/>
      <c r="BR548" s="258">
        <v>1</v>
      </c>
      <c r="BS548" s="122"/>
      <c r="BT548" s="122"/>
      <c r="BU548" s="258">
        <v>1</v>
      </c>
      <c r="BV548" s="122"/>
      <c r="BW548" s="122"/>
      <c r="BX548" s="91"/>
    </row>
    <row r="549" spans="1:76" s="55" customFormat="1" ht="28.5" x14ac:dyDescent="0.2">
      <c r="A549" s="195"/>
      <c r="B549" s="196"/>
      <c r="C549" s="195"/>
      <c r="D549" s="263"/>
      <c r="E549" s="264"/>
      <c r="F549" s="264"/>
      <c r="G549" s="264"/>
      <c r="H549" s="264"/>
      <c r="I549" s="264"/>
      <c r="J549" s="265"/>
      <c r="K549" s="122"/>
      <c r="L549" s="122"/>
      <c r="M549" s="122"/>
      <c r="N549" s="122"/>
      <c r="O549" s="122"/>
      <c r="P549" s="122"/>
      <c r="Q549" s="306" t="s">
        <v>157</v>
      </c>
      <c r="R549" s="257">
        <f>IF(COUNT(R525:R544)&gt;1,_xlfn.STDEV.S(R525:R544),0)</f>
        <v>0</v>
      </c>
      <c r="S549" s="257" t="e">
        <f t="array" ref="S549">IF(R553="Y",SQRT(SUM(IFERROR(N525:N544*(R525:R544-(S545))^2,0))/((COUNT(S525:S544)-1)/COUNT(S525:S544)*SUMPRODUCT(N525:N544,--ISNUMBER(S525:S544)))),_xlfn.STDEV.S(S525:S544))</f>
        <v>#DIV/0!</v>
      </c>
      <c r="T549" s="257" t="e">
        <f t="array" ref="T549">SQRT(SUM(IFERROR(N525:N544*(R525:R544-(T545))^2,0))/((COUNT(T525:T544)-1)/COUNT(T525:T544)*SUMPRODUCT(N525:N544,--ISNUMBER(T525:T544))))</f>
        <v>#DIV/0!</v>
      </c>
      <c r="U549" s="122"/>
      <c r="V549" s="122"/>
      <c r="W549" s="122"/>
      <c r="Y549" s="260"/>
      <c r="AO549" s="91"/>
      <c r="AP549" s="122"/>
      <c r="AQ549" s="122"/>
      <c r="AR549" s="267"/>
      <c r="AS549" s="268"/>
      <c r="AT549" s="258">
        <v>1</v>
      </c>
      <c r="AU549" s="122"/>
      <c r="AV549" s="308"/>
      <c r="AW549" s="258">
        <v>1</v>
      </c>
      <c r="AX549" s="122"/>
      <c r="AY549" s="122"/>
      <c r="AZ549" s="258">
        <v>1</v>
      </c>
      <c r="BA549" s="122"/>
      <c r="BB549" s="122"/>
      <c r="BC549" s="258">
        <v>1</v>
      </c>
      <c r="BD549" s="122"/>
      <c r="BE549" s="122"/>
      <c r="BF549" s="258">
        <v>1</v>
      </c>
      <c r="BG549" s="122"/>
      <c r="BH549" s="122"/>
      <c r="BI549" s="258">
        <v>1</v>
      </c>
      <c r="BJ549" s="122"/>
      <c r="BK549" s="256"/>
      <c r="BL549" s="258">
        <v>1</v>
      </c>
      <c r="BM549" s="122"/>
      <c r="BN549" s="122"/>
      <c r="BO549" s="258">
        <v>1</v>
      </c>
      <c r="BP549" s="122"/>
      <c r="BQ549" s="122"/>
      <c r="BR549" s="258">
        <v>1</v>
      </c>
      <c r="BS549" s="122"/>
      <c r="BT549" s="122"/>
      <c r="BU549" s="258">
        <v>1</v>
      </c>
      <c r="BV549" s="122"/>
      <c r="BW549" s="122"/>
      <c r="BX549" s="91"/>
    </row>
    <row r="550" spans="1:76" s="55" customFormat="1" ht="15" customHeight="1" x14ac:dyDescent="0.25">
      <c r="A550" s="122"/>
      <c r="B550" s="118"/>
      <c r="C550" s="195"/>
      <c r="D550" s="263"/>
      <c r="E550" s="264"/>
      <c r="F550" s="264"/>
      <c r="G550" s="264"/>
      <c r="H550" s="264"/>
      <c r="I550" s="264"/>
      <c r="J550" s="265"/>
      <c r="K550" s="122"/>
      <c r="L550" s="122"/>
      <c r="M550" s="122"/>
      <c r="N550" s="122"/>
      <c r="O550" s="122"/>
      <c r="P550" s="122"/>
      <c r="Q550" s="309" t="s">
        <v>159</v>
      </c>
      <c r="R550" s="310">
        <f>COUNT(R525:R544)</f>
        <v>0</v>
      </c>
      <c r="S550" s="310">
        <f>COUNT(S525:S544)</f>
        <v>0</v>
      </c>
      <c r="T550" s="118"/>
      <c r="U550" s="273" t="s">
        <v>155</v>
      </c>
      <c r="V550" s="122"/>
      <c r="W550" s="122"/>
      <c r="Y550" s="91"/>
      <c r="AO550" s="91"/>
      <c r="AP550" s="122"/>
      <c r="AQ550" s="122"/>
      <c r="AR550" s="122"/>
      <c r="AS550" s="256" t="s">
        <v>151</v>
      </c>
      <c r="AT550" s="261" t="e">
        <f>IF((0.67*AT551)&gt;AT545,"no","yes")</f>
        <v>#DIV/0!</v>
      </c>
      <c r="AU550" s="261" t="e">
        <f>IF((0.67*AU551)&gt;AU545,"no","yes")</f>
        <v>#DIV/0!</v>
      </c>
      <c r="AV550" s="256"/>
      <c r="AW550" s="261" t="e">
        <f>IF((0.67*AW551)&gt;AW545,"no","yes")</f>
        <v>#DIV/0!</v>
      </c>
      <c r="AX550" s="261" t="e">
        <f>IF((0.67*AX551)&gt;AX545,"no","yes")</f>
        <v>#DIV/0!</v>
      </c>
      <c r="AY550" s="122"/>
      <c r="AZ550" s="261" t="e">
        <f>IF((0.67*AZ551)&gt;AZ545,"no","yes")</f>
        <v>#DIV/0!</v>
      </c>
      <c r="BA550" s="261" t="e">
        <f>IF((0.67*BA551)&gt;BA545,"no","yes")</f>
        <v>#DIV/0!</v>
      </c>
      <c r="BB550" s="122"/>
      <c r="BC550" s="261" t="e">
        <f>IF((0.67*BC551)&gt;BC545,"no","yes")</f>
        <v>#DIV/0!</v>
      </c>
      <c r="BD550" s="261" t="e">
        <f>IF((0.67*BD551)&gt;BD545,"no","yes")</f>
        <v>#DIV/0!</v>
      </c>
      <c r="BE550" s="122"/>
      <c r="BF550" s="261" t="e">
        <f>IF((0.67*BF551)&gt;BF545,"no","yes")</f>
        <v>#DIV/0!</v>
      </c>
      <c r="BG550" s="261" t="e">
        <f>IF((0.67*BG551)&gt;BG545,"no","yes")</f>
        <v>#DIV/0!</v>
      </c>
      <c r="BH550" s="122"/>
      <c r="BI550" s="261" t="e">
        <f>IF((0.67*BI551)&gt;BI545,"no","yes")</f>
        <v>#DIV/0!</v>
      </c>
      <c r="BJ550" s="261" t="e">
        <f>IF((0.67*BJ551)&gt;BJ545,"no","yes")</f>
        <v>#DIV/0!</v>
      </c>
      <c r="BK550" s="133"/>
      <c r="BL550" s="261" t="e">
        <f>IF((0.67*BL551)&gt;BL545,"no","yes")</f>
        <v>#DIV/0!</v>
      </c>
      <c r="BM550" s="261" t="e">
        <f>IF((0.67*BM551)&gt;BM545,"no","yes")</f>
        <v>#DIV/0!</v>
      </c>
      <c r="BN550" s="122"/>
      <c r="BO550" s="261" t="e">
        <f>IF((0.67*BO551)&gt;BO545,"no","yes")</f>
        <v>#DIV/0!</v>
      </c>
      <c r="BP550" s="261" t="e">
        <f>IF((0.67*BP551)&gt;BP545,"no","yes")</f>
        <v>#DIV/0!</v>
      </c>
      <c r="BQ550" s="122"/>
      <c r="BR550" s="261" t="e">
        <f>IF((0.67*BR551)&gt;BR545,"no","yes")</f>
        <v>#DIV/0!</v>
      </c>
      <c r="BS550" s="261" t="e">
        <f>IF((0.67*BS551)&gt;BS545,"no","yes")</f>
        <v>#DIV/0!</v>
      </c>
      <c r="BT550" s="122"/>
      <c r="BU550" s="261" t="e">
        <f>IF((0.67*BU551)&gt;BU545,"no","yes")</f>
        <v>#DIV/0!</v>
      </c>
      <c r="BV550" s="261" t="e">
        <f>IF((0.67*BV551)&gt;BV545,"no","yes")</f>
        <v>#DIV/0!</v>
      </c>
      <c r="BW550" s="122"/>
      <c r="BX550" s="91"/>
    </row>
    <row r="551" spans="1:76" s="55" customFormat="1" ht="14.25" x14ac:dyDescent="0.2">
      <c r="B551" s="23"/>
      <c r="C551" s="195"/>
      <c r="D551" s="263"/>
      <c r="E551" s="264"/>
      <c r="F551" s="264"/>
      <c r="G551" s="264"/>
      <c r="H551" s="264"/>
      <c r="I551" s="264"/>
      <c r="J551" s="265"/>
      <c r="K551" s="122"/>
      <c r="L551" s="122"/>
      <c r="M551" s="122"/>
      <c r="N551" s="122"/>
      <c r="O551" s="122"/>
      <c r="P551" s="122"/>
      <c r="Q551" s="311"/>
      <c r="R551" s="122"/>
      <c r="S551" s="122"/>
      <c r="T551" s="122"/>
      <c r="U551" s="274"/>
      <c r="V551" s="275"/>
      <c r="W551" s="276"/>
      <c r="Y551" s="91"/>
      <c r="AO551" s="91"/>
      <c r="AP551" s="122"/>
      <c r="AQ551" s="122"/>
      <c r="AR551" s="122"/>
      <c r="AS551" s="256" t="s">
        <v>157</v>
      </c>
      <c r="AT551" s="261">
        <f>IF(AT552&gt;1,_xlfn.STDEV.S(AT525:AT544),0)</f>
        <v>0</v>
      </c>
      <c r="AU551" s="261">
        <f>IF(AU552&gt;1,_xlfn.STDEV.S(AU525:AU544),0)</f>
        <v>0</v>
      </c>
      <c r="AV551" s="122"/>
      <c r="AW551" s="261">
        <f t="shared" ref="AW551:AX551" si="405">IF(AW552&gt;1,_xlfn.STDEV.S(AW525:AW544),0)</f>
        <v>0</v>
      </c>
      <c r="AX551" s="261">
        <f t="shared" si="405"/>
        <v>0</v>
      </c>
      <c r="AY551" s="122"/>
      <c r="AZ551" s="261">
        <f t="shared" ref="AZ551:BA551" si="406">IF(AZ552&gt;1,_xlfn.STDEV.S(AZ525:AZ544),0)</f>
        <v>0</v>
      </c>
      <c r="BA551" s="261">
        <f t="shared" si="406"/>
        <v>0</v>
      </c>
      <c r="BB551" s="122"/>
      <c r="BC551" s="261">
        <f t="shared" ref="BC551:BD551" si="407">IF(BC552&gt;1,_xlfn.STDEV.S(BC525:BC544),0)</f>
        <v>0</v>
      </c>
      <c r="BD551" s="261">
        <f t="shared" si="407"/>
        <v>0</v>
      </c>
      <c r="BE551" s="122"/>
      <c r="BF551" s="261">
        <f t="shared" ref="BF551:BG551" si="408">IF(BF552&gt;1,_xlfn.STDEV.S(BF525:BF544),0)</f>
        <v>0</v>
      </c>
      <c r="BG551" s="261">
        <f t="shared" si="408"/>
        <v>0</v>
      </c>
      <c r="BH551" s="122"/>
      <c r="BI551" s="261">
        <f t="shared" ref="BI551:BJ551" si="409">IF(BI552&gt;1,_xlfn.STDEV.S(BI525:BI544),0)</f>
        <v>0</v>
      </c>
      <c r="BJ551" s="261">
        <f t="shared" si="409"/>
        <v>0</v>
      </c>
      <c r="BK551" s="122"/>
      <c r="BL551" s="261">
        <f t="shared" ref="BL551:BM551" si="410">IF(BL552&gt;1,_xlfn.STDEV.S(BL525:BL544),0)</f>
        <v>0</v>
      </c>
      <c r="BM551" s="261">
        <f t="shared" si="410"/>
        <v>0</v>
      </c>
      <c r="BN551" s="122"/>
      <c r="BO551" s="261">
        <f t="shared" ref="BO551:BP551" si="411">IF(BO552&gt;1,_xlfn.STDEV.S(BO525:BO544),0)</f>
        <v>0</v>
      </c>
      <c r="BP551" s="261">
        <f t="shared" si="411"/>
        <v>0</v>
      </c>
      <c r="BQ551" s="122"/>
      <c r="BR551" s="261">
        <f t="shared" ref="BR551:BS551" si="412">IF(BR552&gt;1,_xlfn.STDEV.S(BR525:BR544),0)</f>
        <v>0</v>
      </c>
      <c r="BS551" s="261">
        <f t="shared" si="412"/>
        <v>0</v>
      </c>
      <c r="BT551" s="122"/>
      <c r="BU551" s="261">
        <f t="shared" ref="BU551:BV551" si="413">IF(BU552&gt;1,_xlfn.STDEV.S(BU525:BU544),0)</f>
        <v>0</v>
      </c>
      <c r="BV551" s="261">
        <f t="shared" si="413"/>
        <v>0</v>
      </c>
      <c r="BW551" s="122"/>
      <c r="BX551" s="91"/>
    </row>
    <row r="552" spans="1:76" s="55" customFormat="1" x14ac:dyDescent="0.2">
      <c r="A552" s="270" t="e">
        <f ca="1">HYPERLINK("#"&amp;"'"&amp;A$1&amp;"'!a1","Back to top")</f>
        <v>#VALUE!</v>
      </c>
      <c r="B552" s="271"/>
      <c r="C552" s="122"/>
      <c r="D552" s="277"/>
      <c r="E552" s="278"/>
      <c r="F552" s="278"/>
      <c r="G552" s="278"/>
      <c r="H552" s="278"/>
      <c r="I552" s="278"/>
      <c r="J552" s="279"/>
      <c r="Q552" s="81"/>
      <c r="R552" s="280" t="s">
        <v>158</v>
      </c>
      <c r="T552" s="122"/>
      <c r="U552" s="281"/>
      <c r="V552" s="282"/>
      <c r="W552" s="283"/>
      <c r="Y552" s="91"/>
      <c r="AO552" s="91"/>
      <c r="AP552" s="122"/>
      <c r="AQ552" s="122"/>
      <c r="AR552" s="122"/>
      <c r="AS552" s="133" t="s">
        <v>159</v>
      </c>
      <c r="AT552" s="284">
        <f>COUNT(AT525:AT544)</f>
        <v>0</v>
      </c>
      <c r="AU552" s="284">
        <f>COUNT(AU525:AU544)</f>
        <v>0</v>
      </c>
      <c r="AV552" s="122"/>
      <c r="AW552" s="284">
        <f t="shared" ref="AW552:AX552" si="414">COUNT(AW525:AW544)</f>
        <v>0</v>
      </c>
      <c r="AX552" s="284">
        <f t="shared" si="414"/>
        <v>0</v>
      </c>
      <c r="AY552" s="122"/>
      <c r="AZ552" s="284">
        <f t="shared" ref="AZ552:BA552" si="415">COUNT(AZ525:AZ544)</f>
        <v>0</v>
      </c>
      <c r="BA552" s="284">
        <f t="shared" si="415"/>
        <v>0</v>
      </c>
      <c r="BB552" s="122"/>
      <c r="BC552" s="284">
        <f t="shared" ref="BC552:BD552" si="416">COUNT(BC525:BC544)</f>
        <v>0</v>
      </c>
      <c r="BD552" s="284">
        <f t="shared" si="416"/>
        <v>0</v>
      </c>
      <c r="BE552" s="122"/>
      <c r="BF552" s="284">
        <f t="shared" ref="BF552:BG552" si="417">COUNT(BF525:BF544)</f>
        <v>0</v>
      </c>
      <c r="BG552" s="284">
        <f t="shared" si="417"/>
        <v>0</v>
      </c>
      <c r="BH552" s="122"/>
      <c r="BI552" s="284">
        <f t="shared" ref="BI552:BJ552" si="418">COUNT(BI525:BI544)</f>
        <v>0</v>
      </c>
      <c r="BJ552" s="284">
        <f t="shared" si="418"/>
        <v>0</v>
      </c>
      <c r="BK552" s="122"/>
      <c r="BL552" s="284">
        <f t="shared" ref="BL552:BM552" si="419">COUNT(BL525:BL544)</f>
        <v>0</v>
      </c>
      <c r="BM552" s="284">
        <f t="shared" si="419"/>
        <v>0</v>
      </c>
      <c r="BN552" s="122"/>
      <c r="BO552" s="284">
        <f t="shared" ref="BO552:BP552" si="420">COUNT(BO525:BO544)</f>
        <v>0</v>
      </c>
      <c r="BP552" s="284">
        <f t="shared" si="420"/>
        <v>0</v>
      </c>
      <c r="BQ552" s="122"/>
      <c r="BR552" s="284">
        <f t="shared" ref="BR552:BS552" si="421">COUNT(BR525:BR544)</f>
        <v>0</v>
      </c>
      <c r="BS552" s="284">
        <f t="shared" si="421"/>
        <v>0</v>
      </c>
      <c r="BT552" s="122"/>
      <c r="BU552" s="284">
        <f t="shared" ref="BU552:BV552" si="422">COUNT(BU525:BU544)</f>
        <v>0</v>
      </c>
      <c r="BV552" s="284">
        <f t="shared" si="422"/>
        <v>0</v>
      </c>
      <c r="BW552" s="122"/>
      <c r="BX552" s="91"/>
    </row>
    <row r="553" spans="1:76" s="55" customFormat="1" ht="14.25" x14ac:dyDescent="0.2">
      <c r="B553" s="23"/>
      <c r="Q553" s="81"/>
      <c r="R553" s="287" t="s">
        <v>149</v>
      </c>
      <c r="T553" s="122"/>
      <c r="U553" s="281"/>
      <c r="V553" s="282"/>
      <c r="W553" s="283"/>
      <c r="Y553" s="91"/>
      <c r="AO553" s="91"/>
      <c r="BX553" s="91"/>
    </row>
    <row r="554" spans="1:76" s="55" customFormat="1" ht="14.25" x14ac:dyDescent="0.2">
      <c r="B554" s="23"/>
      <c r="Q554" s="81"/>
      <c r="T554" s="122"/>
      <c r="U554" s="288"/>
      <c r="V554" s="289"/>
      <c r="W554" s="290"/>
      <c r="Y554" s="91"/>
      <c r="AO554" s="91"/>
      <c r="BX554" s="91"/>
    </row>
    <row r="555" spans="1:76" x14ac:dyDescent="0.2">
      <c r="B555" s="353"/>
      <c r="T555" s="122"/>
      <c r="U555" s="122"/>
      <c r="V555" s="122"/>
      <c r="W555" s="122"/>
    </row>
    <row r="556" spans="1:76" s="9" customFormat="1" ht="18" x14ac:dyDescent="0.25">
      <c r="A556" s="188">
        <f>A522+1</f>
        <v>13</v>
      </c>
      <c r="B556" s="189"/>
      <c r="C556" s="293" t="s">
        <v>364</v>
      </c>
      <c r="D556" s="191"/>
      <c r="E556" s="191"/>
      <c r="F556" s="191"/>
      <c r="G556" s="191"/>
      <c r="H556" s="192"/>
      <c r="I556" s="192"/>
      <c r="J556" s="191"/>
      <c r="K556" s="191"/>
      <c r="L556" s="192"/>
      <c r="M556" s="192"/>
      <c r="N556" s="192"/>
      <c r="O556" s="192"/>
      <c r="P556" s="192"/>
      <c r="Q556" s="294"/>
      <c r="R556" s="194" t="s">
        <v>93</v>
      </c>
      <c r="S556" s="194"/>
      <c r="T556" s="194"/>
      <c r="U556" s="194"/>
      <c r="V556" s="192"/>
      <c r="W556" s="192"/>
      <c r="AP556" s="175">
        <f>A556</f>
        <v>13</v>
      </c>
      <c r="AQ556" s="175" t="str">
        <f>C556</f>
        <v>Energy Efficiency Factor - SOLUTION</v>
      </c>
    </row>
    <row r="557" spans="1:76" s="55" customFormat="1" x14ac:dyDescent="0.25">
      <c r="A557" s="195"/>
      <c r="B557" s="196"/>
      <c r="C557" s="195"/>
      <c r="D557" s="120"/>
      <c r="E557" s="120"/>
      <c r="F557" s="120"/>
      <c r="G557" s="120"/>
      <c r="H557" s="122"/>
      <c r="I557" s="122"/>
      <c r="J557" s="120"/>
      <c r="K557" s="120"/>
      <c r="L557" s="122"/>
      <c r="M557" s="122"/>
      <c r="N557" s="122"/>
      <c r="O557" s="122"/>
      <c r="P557" s="122"/>
      <c r="Q557" s="311"/>
      <c r="R557" s="122"/>
      <c r="S557" s="122"/>
      <c r="T557" s="122"/>
      <c r="U557" s="122"/>
      <c r="V557" s="122"/>
      <c r="W557" s="122"/>
      <c r="Y557" s="91"/>
      <c r="AO557" s="91"/>
      <c r="AP557" s="28"/>
      <c r="AQ557" s="28"/>
      <c r="AR557" s="28"/>
      <c r="AS557" s="28"/>
      <c r="AT557" s="198" t="s">
        <v>171</v>
      </c>
      <c r="AU557" s="198"/>
      <c r="AV557" s="28"/>
      <c r="AW557" s="198" t="s">
        <v>96</v>
      </c>
      <c r="AX557" s="198"/>
      <c r="AY557" s="28"/>
      <c r="AZ557" s="198" t="s">
        <v>97</v>
      </c>
      <c r="BA557" s="198"/>
      <c r="BB557" s="28"/>
      <c r="BC557" s="198" t="s">
        <v>98</v>
      </c>
      <c r="BD557" s="198"/>
      <c r="BE557" s="28"/>
      <c r="BF557" s="198" t="s">
        <v>99</v>
      </c>
      <c r="BG557" s="198"/>
      <c r="BH557" s="28"/>
      <c r="BI557" s="198" t="s">
        <v>100</v>
      </c>
      <c r="BJ557" s="198"/>
      <c r="BK557" s="28"/>
      <c r="BL557" s="198" t="s">
        <v>101</v>
      </c>
      <c r="BM557" s="198"/>
      <c r="BN557" s="28"/>
      <c r="BO557" s="198" t="s">
        <v>102</v>
      </c>
      <c r="BP557" s="198"/>
      <c r="BQ557" s="28"/>
      <c r="BR557" s="198" t="s">
        <v>103</v>
      </c>
      <c r="BS557" s="198"/>
      <c r="BT557" s="28"/>
      <c r="BU557" s="198" t="s">
        <v>104</v>
      </c>
      <c r="BV557" s="198"/>
      <c r="BW557" s="28"/>
      <c r="BX557" s="91"/>
    </row>
    <row r="558" spans="1:76" s="55" customFormat="1" ht="30.75" thickBot="1" x14ac:dyDescent="0.3">
      <c r="A558" s="199" t="s">
        <v>105</v>
      </c>
      <c r="B558" s="200" t="s">
        <v>106</v>
      </c>
      <c r="C558" s="201" t="s">
        <v>107</v>
      </c>
      <c r="D558" s="202" t="s">
        <v>108</v>
      </c>
      <c r="E558" s="202" t="s">
        <v>109</v>
      </c>
      <c r="F558" s="201" t="s">
        <v>110</v>
      </c>
      <c r="G558" s="201" t="s">
        <v>111</v>
      </c>
      <c r="H558" s="202" t="s">
        <v>112</v>
      </c>
      <c r="I558" s="203" t="s">
        <v>113</v>
      </c>
      <c r="J558" s="204" t="s">
        <v>114</v>
      </c>
      <c r="K558" s="205" t="s">
        <v>115</v>
      </c>
      <c r="L558" s="206" t="s">
        <v>116</v>
      </c>
      <c r="M558" s="207" t="s">
        <v>117</v>
      </c>
      <c r="N558" s="208" t="s">
        <v>118</v>
      </c>
      <c r="O558" s="207" t="s">
        <v>119</v>
      </c>
      <c r="P558" s="210"/>
      <c r="Q558" s="211" t="s">
        <v>120</v>
      </c>
      <c r="R558" s="212" t="s">
        <v>121</v>
      </c>
      <c r="S558" s="212" t="s">
        <v>122</v>
      </c>
      <c r="T558" s="212" t="s">
        <v>123</v>
      </c>
      <c r="U558" s="213" t="s">
        <v>124</v>
      </c>
      <c r="V558" s="210"/>
      <c r="W558" s="210"/>
      <c r="Y558" s="91"/>
      <c r="AO558" s="91"/>
      <c r="AP558" s="210"/>
      <c r="AQ558" s="210"/>
      <c r="AR558" s="213" t="s">
        <v>125</v>
      </c>
      <c r="AS558" s="210"/>
      <c r="AT558" s="215" t="s">
        <v>121</v>
      </c>
      <c r="AU558" s="215" t="s">
        <v>122</v>
      </c>
      <c r="AV558" s="210"/>
      <c r="AW558" s="215" t="s">
        <v>121</v>
      </c>
      <c r="AX558" s="215" t="s">
        <v>122</v>
      </c>
      <c r="AY558" s="210"/>
      <c r="AZ558" s="215" t="s">
        <v>121</v>
      </c>
      <c r="BA558" s="215" t="s">
        <v>122</v>
      </c>
      <c r="BB558" s="210"/>
      <c r="BC558" s="215" t="s">
        <v>121</v>
      </c>
      <c r="BD558" s="215" t="s">
        <v>122</v>
      </c>
      <c r="BE558" s="210"/>
      <c r="BF558" s="215" t="s">
        <v>121</v>
      </c>
      <c r="BG558" s="215" t="s">
        <v>122</v>
      </c>
      <c r="BH558" s="210"/>
      <c r="BI558" s="215" t="s">
        <v>121</v>
      </c>
      <c r="BJ558" s="215" t="s">
        <v>122</v>
      </c>
      <c r="BK558" s="210"/>
      <c r="BL558" s="215" t="s">
        <v>121</v>
      </c>
      <c r="BM558" s="215" t="s">
        <v>122</v>
      </c>
      <c r="BN558" s="210"/>
      <c r="BO558" s="215" t="s">
        <v>121</v>
      </c>
      <c r="BP558" s="215" t="s">
        <v>122</v>
      </c>
      <c r="BQ558" s="210"/>
      <c r="BR558" s="215" t="s">
        <v>121</v>
      </c>
      <c r="BS558" s="215" t="s">
        <v>122</v>
      </c>
      <c r="BT558" s="210"/>
      <c r="BU558" s="215" t="s">
        <v>121</v>
      </c>
      <c r="BV558" s="215" t="s">
        <v>122</v>
      </c>
      <c r="BW558" s="210"/>
      <c r="BX558" s="91"/>
    </row>
    <row r="559" spans="1:76" s="55" customFormat="1" x14ac:dyDescent="0.25">
      <c r="A559" s="195">
        <v>1</v>
      </c>
      <c r="B559" s="216" t="str">
        <f t="shared" ref="B559:B578" si="423">CONCATENATE(E559,": ",C559)</f>
        <v xml:space="preserve">: </v>
      </c>
      <c r="C559" s="219"/>
      <c r="D559" s="219"/>
      <c r="E559" s="219"/>
      <c r="F559" s="219"/>
      <c r="G559" s="220"/>
      <c r="H559" s="221"/>
      <c r="I559" s="220"/>
      <c r="J559" s="227"/>
      <c r="K559" s="226"/>
      <c r="L559" s="241"/>
      <c r="M559" s="225" t="s">
        <v>365</v>
      </c>
      <c r="N559" s="227"/>
      <c r="O559" s="241"/>
      <c r="P559" s="122"/>
      <c r="Q559" s="228"/>
      <c r="R559" s="231" t="str">
        <f>IF(Q559="Y","",IF(AND(L559="",J559=""),"",IF(L559="",J559,L559)))</f>
        <v/>
      </c>
      <c r="S559" s="230" t="str">
        <f t="shared" ref="S559:S578" si="424">IF(R559="","",IF($R$587="Y",T559,IF(R559&gt;=$R$579-$AA$35*$R$583,IF(R559&lt;=$R$579+$AA$35*$R$583,R559,""),"")))</f>
        <v/>
      </c>
      <c r="T559" s="231" t="str">
        <f>IF(OR(Q559="Y",IFERROR(R559&gt;R579+R583*$AA$35,0),IFERROR(R559&lt;R579-R583*$AA$35,0)),"",IFERROR(R559*N559,""))</f>
        <v/>
      </c>
      <c r="U559" s="232" t="str">
        <f t="shared" ref="U559:U578" si="425">IF(AND(M559="",K559=""),"",IF(M559="",K559,M559))</f>
        <v>%</v>
      </c>
      <c r="V559" s="28"/>
      <c r="W559" s="28"/>
      <c r="Y559" s="91"/>
      <c r="AO559" s="91"/>
      <c r="AP559" s="28"/>
      <c r="AQ559" s="28"/>
      <c r="AR559" s="233" t="str">
        <f>$U559</f>
        <v>%</v>
      </c>
      <c r="AS559" s="28"/>
      <c r="AT559" s="304" t="str">
        <f>IF($E559=$AT$47,R559,"")</f>
        <v/>
      </c>
      <c r="AU559" s="304" t="str">
        <f>IF($E559=$AT$47,S559,"")</f>
        <v/>
      </c>
      <c r="AV559" s="28"/>
      <c r="AW559" s="304" t="str">
        <f t="shared" ref="AW559:AX578" si="426">IF($E559=$AW$83,R559,"")</f>
        <v/>
      </c>
      <c r="AX559" s="304" t="str">
        <f t="shared" si="426"/>
        <v/>
      </c>
      <c r="AY559" s="28"/>
      <c r="AZ559" s="304" t="str">
        <f t="shared" ref="AZ559:BA578" si="427">IF($E559=$AZ$83,R559,"")</f>
        <v/>
      </c>
      <c r="BA559" s="304" t="str">
        <f t="shared" si="427"/>
        <v/>
      </c>
      <c r="BB559" s="28"/>
      <c r="BC559" s="304" t="str">
        <f t="shared" ref="BC559:BD578" si="428">IF($E559=$BC$83,R559,"")</f>
        <v/>
      </c>
      <c r="BD559" s="304" t="str">
        <f t="shared" si="428"/>
        <v/>
      </c>
      <c r="BE559" s="28"/>
      <c r="BF559" s="304" t="str">
        <f t="shared" ref="BF559:BG578" si="429">IF($E559=$BF$83,R559,"")</f>
        <v/>
      </c>
      <c r="BG559" s="304" t="str">
        <f t="shared" si="429"/>
        <v/>
      </c>
      <c r="BH559" s="28"/>
      <c r="BI559" s="304" t="str">
        <f t="shared" ref="BI559:BJ578" si="430">IF($E559=$BI$83,R559,"")</f>
        <v/>
      </c>
      <c r="BJ559" s="304" t="str">
        <f t="shared" si="430"/>
        <v/>
      </c>
      <c r="BK559" s="28"/>
      <c r="BL559" s="304" t="str">
        <f t="shared" ref="BL559:BM578" si="431">IF($E559=$BL$83,R559,"")</f>
        <v/>
      </c>
      <c r="BM559" s="304" t="str">
        <f t="shared" si="431"/>
        <v/>
      </c>
      <c r="BN559" s="28"/>
      <c r="BO559" s="304" t="str">
        <f t="shared" ref="BO559:BP578" si="432">IF($E559=$BO$83,R559,"")</f>
        <v/>
      </c>
      <c r="BP559" s="304" t="str">
        <f t="shared" si="432"/>
        <v/>
      </c>
      <c r="BQ559" s="28"/>
      <c r="BR559" s="304" t="str">
        <f t="shared" ref="BR559:BS578" si="433">IF($E559=$BR$83,R559,"")</f>
        <v/>
      </c>
      <c r="BS559" s="304" t="str">
        <f t="shared" si="433"/>
        <v/>
      </c>
      <c r="BT559" s="28"/>
      <c r="BU559" s="304" t="str">
        <f t="shared" ref="BU559:BV578" si="434">IF($E559=$BU$83,R559,"")</f>
        <v/>
      </c>
      <c r="BV559" s="304" t="str">
        <f t="shared" si="434"/>
        <v/>
      </c>
      <c r="BW559" s="28"/>
      <c r="BX559" s="91"/>
    </row>
    <row r="560" spans="1:76" s="55" customFormat="1" x14ac:dyDescent="0.25">
      <c r="A560" s="195">
        <v>2</v>
      </c>
      <c r="B560" s="216" t="str">
        <f t="shared" si="423"/>
        <v xml:space="preserve">: </v>
      </c>
      <c r="C560" s="219"/>
      <c r="D560" s="219"/>
      <c r="E560" s="219"/>
      <c r="F560" s="219"/>
      <c r="G560" s="220"/>
      <c r="H560" s="221"/>
      <c r="I560" s="220"/>
      <c r="J560" s="227"/>
      <c r="K560" s="227"/>
      <c r="L560" s="241"/>
      <c r="M560" s="225" t="s">
        <v>365</v>
      </c>
      <c r="N560" s="227"/>
      <c r="O560" s="241"/>
      <c r="P560" s="122"/>
      <c r="Q560" s="228"/>
      <c r="R560" s="231" t="str">
        <f t="shared" ref="R560:R578" si="435">IF(Q560="Y","",IF(AND(L560="",J560=""),"",IF(L560="",J560,L560)))</f>
        <v/>
      </c>
      <c r="S560" s="230" t="str">
        <f t="shared" si="424"/>
        <v/>
      </c>
      <c r="T560" s="231" t="str">
        <f>IF(OR(Q560="Y",IFERROR(R560&gt;R579+R583*$AA$35,0),IFERROR(R560&lt;R579-R583*$AA$35,0)),"",IFERROR(R560*N560,""))</f>
        <v/>
      </c>
      <c r="U560" s="232" t="str">
        <f t="shared" si="425"/>
        <v>%</v>
      </c>
      <c r="V560" s="28"/>
      <c r="W560" s="28"/>
      <c r="Y560" s="91"/>
      <c r="AO560" s="91"/>
      <c r="AP560" s="28"/>
      <c r="AQ560" s="28"/>
      <c r="AR560" s="237"/>
      <c r="AS560" s="28"/>
      <c r="AT560" s="304" t="str">
        <f t="shared" ref="AT560:AU578" si="436">IF($E560=$AT$47,R560,"")</f>
        <v/>
      </c>
      <c r="AU560" s="304" t="str">
        <f t="shared" si="436"/>
        <v/>
      </c>
      <c r="AV560" s="28"/>
      <c r="AW560" s="304" t="str">
        <f t="shared" si="426"/>
        <v/>
      </c>
      <c r="AX560" s="304" t="str">
        <f t="shared" si="426"/>
        <v/>
      </c>
      <c r="AY560" s="28"/>
      <c r="AZ560" s="304" t="str">
        <f t="shared" si="427"/>
        <v/>
      </c>
      <c r="BA560" s="304" t="str">
        <f t="shared" si="427"/>
        <v/>
      </c>
      <c r="BB560" s="28"/>
      <c r="BC560" s="304" t="str">
        <f t="shared" si="428"/>
        <v/>
      </c>
      <c r="BD560" s="304" t="str">
        <f t="shared" si="428"/>
        <v/>
      </c>
      <c r="BE560" s="28"/>
      <c r="BF560" s="304" t="str">
        <f t="shared" si="429"/>
        <v/>
      </c>
      <c r="BG560" s="304" t="str">
        <f t="shared" si="429"/>
        <v/>
      </c>
      <c r="BH560" s="28"/>
      <c r="BI560" s="304" t="str">
        <f t="shared" si="430"/>
        <v/>
      </c>
      <c r="BJ560" s="304" t="str">
        <f t="shared" si="430"/>
        <v/>
      </c>
      <c r="BK560" s="28"/>
      <c r="BL560" s="304" t="str">
        <f t="shared" si="431"/>
        <v/>
      </c>
      <c r="BM560" s="304" t="str">
        <f t="shared" si="431"/>
        <v/>
      </c>
      <c r="BN560" s="28"/>
      <c r="BO560" s="304" t="str">
        <f t="shared" si="432"/>
        <v/>
      </c>
      <c r="BP560" s="304" t="str">
        <f t="shared" si="432"/>
        <v/>
      </c>
      <c r="BQ560" s="28"/>
      <c r="BR560" s="304" t="str">
        <f t="shared" si="433"/>
        <v/>
      </c>
      <c r="BS560" s="304" t="str">
        <f t="shared" si="433"/>
        <v/>
      </c>
      <c r="BT560" s="28"/>
      <c r="BU560" s="304" t="str">
        <f t="shared" si="434"/>
        <v/>
      </c>
      <c r="BV560" s="304" t="str">
        <f t="shared" si="434"/>
        <v/>
      </c>
      <c r="BW560" s="28"/>
      <c r="BX560" s="91"/>
    </row>
    <row r="561" spans="1:76" s="55" customFormat="1" x14ac:dyDescent="0.25">
      <c r="A561" s="195">
        <v>3</v>
      </c>
      <c r="B561" s="216" t="str">
        <f>CONCATENATE(E561,": ",C561)</f>
        <v xml:space="preserve">: </v>
      </c>
      <c r="C561" s="221"/>
      <c r="D561" s="221"/>
      <c r="E561" s="221"/>
      <c r="F561" s="221"/>
      <c r="G561" s="240"/>
      <c r="H561" s="221"/>
      <c r="I561" s="240"/>
      <c r="J561" s="241"/>
      <c r="K561" s="241"/>
      <c r="L561" s="241"/>
      <c r="M561" s="225" t="s">
        <v>365</v>
      </c>
      <c r="N561" s="227"/>
      <c r="O561" s="241"/>
      <c r="P561" s="122"/>
      <c r="Q561" s="228"/>
      <c r="R561" s="231" t="str">
        <f t="shared" si="435"/>
        <v/>
      </c>
      <c r="S561" s="230" t="str">
        <f t="shared" si="424"/>
        <v/>
      </c>
      <c r="T561" s="231" t="str">
        <f>IF(OR(Q561="Y",IFERROR(R561&gt;R579+R583*$AA$35,0),IFERROR(R561&lt;R579-R583*$AA$35,0)),"",IFERROR(R561*N561,""))</f>
        <v/>
      </c>
      <c r="U561" s="232" t="str">
        <f t="shared" si="425"/>
        <v>%</v>
      </c>
      <c r="V561" s="28"/>
      <c r="W561" s="28"/>
      <c r="Y561" s="91"/>
      <c r="AO561" s="91"/>
      <c r="AP561" s="28"/>
      <c r="AQ561" s="28"/>
      <c r="AR561" s="237"/>
      <c r="AS561" s="28"/>
      <c r="AT561" s="304" t="str">
        <f t="shared" si="436"/>
        <v/>
      </c>
      <c r="AU561" s="304" t="str">
        <f t="shared" si="436"/>
        <v/>
      </c>
      <c r="AV561" s="28"/>
      <c r="AW561" s="304" t="str">
        <f t="shared" si="426"/>
        <v/>
      </c>
      <c r="AX561" s="304" t="str">
        <f t="shared" si="426"/>
        <v/>
      </c>
      <c r="AY561" s="28"/>
      <c r="AZ561" s="304" t="str">
        <f t="shared" si="427"/>
        <v/>
      </c>
      <c r="BA561" s="304" t="str">
        <f t="shared" si="427"/>
        <v/>
      </c>
      <c r="BB561" s="28"/>
      <c r="BC561" s="304" t="str">
        <f t="shared" si="428"/>
        <v/>
      </c>
      <c r="BD561" s="304" t="str">
        <f t="shared" si="428"/>
        <v/>
      </c>
      <c r="BE561" s="28"/>
      <c r="BF561" s="304" t="str">
        <f t="shared" si="429"/>
        <v/>
      </c>
      <c r="BG561" s="304" t="str">
        <f t="shared" si="429"/>
        <v/>
      </c>
      <c r="BH561" s="28"/>
      <c r="BI561" s="304" t="str">
        <f t="shared" si="430"/>
        <v/>
      </c>
      <c r="BJ561" s="304" t="str">
        <f t="shared" si="430"/>
        <v/>
      </c>
      <c r="BK561" s="28"/>
      <c r="BL561" s="304" t="str">
        <f t="shared" si="431"/>
        <v/>
      </c>
      <c r="BM561" s="304" t="str">
        <f t="shared" si="431"/>
        <v/>
      </c>
      <c r="BN561" s="28"/>
      <c r="BO561" s="304" t="str">
        <f t="shared" si="432"/>
        <v/>
      </c>
      <c r="BP561" s="304" t="str">
        <f t="shared" si="432"/>
        <v/>
      </c>
      <c r="BQ561" s="28"/>
      <c r="BR561" s="304" t="str">
        <f t="shared" si="433"/>
        <v/>
      </c>
      <c r="BS561" s="304" t="str">
        <f t="shared" si="433"/>
        <v/>
      </c>
      <c r="BT561" s="28"/>
      <c r="BU561" s="304" t="str">
        <f t="shared" si="434"/>
        <v/>
      </c>
      <c r="BV561" s="304" t="str">
        <f t="shared" si="434"/>
        <v/>
      </c>
      <c r="BW561" s="28"/>
      <c r="BX561" s="91"/>
    </row>
    <row r="562" spans="1:76" s="55" customFormat="1" x14ac:dyDescent="0.25">
      <c r="A562" s="195">
        <v>4</v>
      </c>
      <c r="B562" s="216" t="str">
        <f t="shared" si="423"/>
        <v xml:space="preserve">: </v>
      </c>
      <c r="C562" s="221"/>
      <c r="D562" s="221"/>
      <c r="E562" s="221"/>
      <c r="F562" s="221"/>
      <c r="G562" s="240"/>
      <c r="H562" s="221"/>
      <c r="I562" s="240"/>
      <c r="J562" s="241"/>
      <c r="K562" s="241"/>
      <c r="L562" s="241"/>
      <c r="M562" s="225" t="s">
        <v>365</v>
      </c>
      <c r="N562" s="227"/>
      <c r="O562" s="241"/>
      <c r="P562" s="122"/>
      <c r="Q562" s="228"/>
      <c r="R562" s="231" t="str">
        <f t="shared" si="435"/>
        <v/>
      </c>
      <c r="S562" s="230" t="str">
        <f t="shared" si="424"/>
        <v/>
      </c>
      <c r="T562" s="231" t="str">
        <f>IF(OR(Q562="Y",IFERROR(R562&gt;R579+R583*$AA$35,0),IFERROR(R562&lt;R579-R583*$AA$35,0)),"",IFERROR(R562*N562,""))</f>
        <v/>
      </c>
      <c r="U562" s="232" t="str">
        <f t="shared" si="425"/>
        <v>%</v>
      </c>
      <c r="V562" s="28"/>
      <c r="W562" s="28"/>
      <c r="Y562" s="91"/>
      <c r="AO562" s="91"/>
      <c r="AP562" s="28"/>
      <c r="AQ562" s="28"/>
      <c r="AR562" s="237"/>
      <c r="AS562" s="28"/>
      <c r="AT562" s="304" t="str">
        <f t="shared" si="436"/>
        <v/>
      </c>
      <c r="AU562" s="304" t="str">
        <f t="shared" si="436"/>
        <v/>
      </c>
      <c r="AV562" s="28"/>
      <c r="AW562" s="304" t="str">
        <f t="shared" si="426"/>
        <v/>
      </c>
      <c r="AX562" s="304" t="str">
        <f t="shared" si="426"/>
        <v/>
      </c>
      <c r="AY562" s="28"/>
      <c r="AZ562" s="304" t="str">
        <f t="shared" si="427"/>
        <v/>
      </c>
      <c r="BA562" s="304" t="str">
        <f t="shared" si="427"/>
        <v/>
      </c>
      <c r="BB562" s="28"/>
      <c r="BC562" s="304" t="str">
        <f t="shared" si="428"/>
        <v/>
      </c>
      <c r="BD562" s="304" t="str">
        <f t="shared" si="428"/>
        <v/>
      </c>
      <c r="BE562" s="28"/>
      <c r="BF562" s="304" t="str">
        <f t="shared" si="429"/>
        <v/>
      </c>
      <c r="BG562" s="304" t="str">
        <f t="shared" si="429"/>
        <v/>
      </c>
      <c r="BH562" s="28"/>
      <c r="BI562" s="304" t="str">
        <f t="shared" si="430"/>
        <v/>
      </c>
      <c r="BJ562" s="304" t="str">
        <f t="shared" si="430"/>
        <v/>
      </c>
      <c r="BK562" s="28"/>
      <c r="BL562" s="304" t="str">
        <f t="shared" si="431"/>
        <v/>
      </c>
      <c r="BM562" s="304" t="str">
        <f t="shared" si="431"/>
        <v/>
      </c>
      <c r="BN562" s="28"/>
      <c r="BO562" s="304" t="str">
        <f t="shared" si="432"/>
        <v/>
      </c>
      <c r="BP562" s="304" t="str">
        <f t="shared" si="432"/>
        <v/>
      </c>
      <c r="BQ562" s="28"/>
      <c r="BR562" s="304" t="str">
        <f t="shared" si="433"/>
        <v/>
      </c>
      <c r="BS562" s="304" t="str">
        <f t="shared" si="433"/>
        <v/>
      </c>
      <c r="BT562" s="28"/>
      <c r="BU562" s="304" t="str">
        <f t="shared" si="434"/>
        <v/>
      </c>
      <c r="BV562" s="304" t="str">
        <f t="shared" si="434"/>
        <v/>
      </c>
      <c r="BW562" s="28"/>
      <c r="BX562" s="91"/>
    </row>
    <row r="563" spans="1:76" s="55" customFormat="1" x14ac:dyDescent="0.25">
      <c r="A563" s="195">
        <v>5</v>
      </c>
      <c r="B563" s="216" t="str">
        <f t="shared" si="423"/>
        <v xml:space="preserve">: </v>
      </c>
      <c r="C563" s="221"/>
      <c r="D563" s="221"/>
      <c r="E563" s="221"/>
      <c r="F563" s="221"/>
      <c r="G563" s="240"/>
      <c r="H563" s="221"/>
      <c r="I563" s="240"/>
      <c r="J563" s="241"/>
      <c r="K563" s="241"/>
      <c r="L563" s="241"/>
      <c r="M563" s="225" t="s">
        <v>365</v>
      </c>
      <c r="N563" s="227"/>
      <c r="O563" s="241"/>
      <c r="P563" s="122"/>
      <c r="Q563" s="228"/>
      <c r="R563" s="231" t="str">
        <f t="shared" si="435"/>
        <v/>
      </c>
      <c r="S563" s="230" t="str">
        <f t="shared" si="424"/>
        <v/>
      </c>
      <c r="T563" s="231" t="str">
        <f>IF(OR(Q563="Y",IFERROR(R563&gt;R579+R583*$AA$35,0),IFERROR(R563&lt;R579-R583*$AA$35,0)),"",IFERROR(R563*N563,""))</f>
        <v/>
      </c>
      <c r="U563" s="232" t="str">
        <f t="shared" si="425"/>
        <v>%</v>
      </c>
      <c r="V563" s="28"/>
      <c r="W563" s="28"/>
      <c r="Y563" s="91"/>
      <c r="AO563" s="91"/>
      <c r="AP563" s="28"/>
      <c r="AQ563" s="28"/>
      <c r="AR563" s="237"/>
      <c r="AS563" s="28"/>
      <c r="AT563" s="304" t="str">
        <f t="shared" si="436"/>
        <v/>
      </c>
      <c r="AU563" s="304" t="str">
        <f t="shared" si="436"/>
        <v/>
      </c>
      <c r="AV563" s="28"/>
      <c r="AW563" s="304" t="str">
        <f t="shared" si="426"/>
        <v/>
      </c>
      <c r="AX563" s="304" t="str">
        <f t="shared" si="426"/>
        <v/>
      </c>
      <c r="AY563" s="28"/>
      <c r="AZ563" s="304" t="str">
        <f t="shared" si="427"/>
        <v/>
      </c>
      <c r="BA563" s="304" t="str">
        <f t="shared" si="427"/>
        <v/>
      </c>
      <c r="BB563" s="28"/>
      <c r="BC563" s="304" t="str">
        <f t="shared" si="428"/>
        <v/>
      </c>
      <c r="BD563" s="304" t="str">
        <f t="shared" si="428"/>
        <v/>
      </c>
      <c r="BE563" s="28"/>
      <c r="BF563" s="304" t="str">
        <f t="shared" si="429"/>
        <v/>
      </c>
      <c r="BG563" s="304" t="str">
        <f t="shared" si="429"/>
        <v/>
      </c>
      <c r="BH563" s="28"/>
      <c r="BI563" s="304" t="str">
        <f t="shared" si="430"/>
        <v/>
      </c>
      <c r="BJ563" s="304" t="str">
        <f t="shared" si="430"/>
        <v/>
      </c>
      <c r="BK563" s="28"/>
      <c r="BL563" s="304" t="str">
        <f t="shared" si="431"/>
        <v/>
      </c>
      <c r="BM563" s="304" t="str">
        <f t="shared" si="431"/>
        <v/>
      </c>
      <c r="BN563" s="28"/>
      <c r="BO563" s="304" t="str">
        <f t="shared" si="432"/>
        <v/>
      </c>
      <c r="BP563" s="304" t="str">
        <f t="shared" si="432"/>
        <v/>
      </c>
      <c r="BQ563" s="28"/>
      <c r="BR563" s="304" t="str">
        <f t="shared" si="433"/>
        <v/>
      </c>
      <c r="BS563" s="304" t="str">
        <f t="shared" si="433"/>
        <v/>
      </c>
      <c r="BT563" s="28"/>
      <c r="BU563" s="304" t="str">
        <f t="shared" si="434"/>
        <v/>
      </c>
      <c r="BV563" s="304" t="str">
        <f t="shared" si="434"/>
        <v/>
      </c>
      <c r="BW563" s="28"/>
      <c r="BX563" s="91"/>
    </row>
    <row r="564" spans="1:76" s="55" customFormat="1" x14ac:dyDescent="0.25">
      <c r="A564" s="195">
        <v>6</v>
      </c>
      <c r="B564" s="216" t="str">
        <f t="shared" si="423"/>
        <v xml:space="preserve">: </v>
      </c>
      <c r="C564" s="221"/>
      <c r="D564" s="221"/>
      <c r="E564" s="221"/>
      <c r="F564" s="221"/>
      <c r="G564" s="240"/>
      <c r="H564" s="221"/>
      <c r="I564" s="240"/>
      <c r="J564" s="241"/>
      <c r="K564" s="241"/>
      <c r="L564" s="241"/>
      <c r="M564" s="225" t="s">
        <v>365</v>
      </c>
      <c r="N564" s="227"/>
      <c r="O564" s="241"/>
      <c r="P564" s="122"/>
      <c r="Q564" s="228"/>
      <c r="R564" s="231" t="str">
        <f t="shared" si="435"/>
        <v/>
      </c>
      <c r="S564" s="230" t="str">
        <f t="shared" si="424"/>
        <v/>
      </c>
      <c r="T564" s="231" t="str">
        <f>IF(OR(Q564="Y",IFERROR(R564&gt;R579+R583*$AA$35,0),IFERROR(R564&lt;R579-R583*$AA$35,0)),"",IFERROR(R564*N564,""))</f>
        <v/>
      </c>
      <c r="U564" s="232" t="str">
        <f t="shared" si="425"/>
        <v>%</v>
      </c>
      <c r="V564" s="28"/>
      <c r="W564" s="28"/>
      <c r="Y564" s="91"/>
      <c r="AO564" s="91"/>
      <c r="AP564" s="28"/>
      <c r="AQ564" s="28"/>
      <c r="AR564" s="237"/>
      <c r="AS564" s="28"/>
      <c r="AT564" s="304" t="str">
        <f t="shared" si="436"/>
        <v/>
      </c>
      <c r="AU564" s="304" t="str">
        <f t="shared" si="436"/>
        <v/>
      </c>
      <c r="AV564" s="28"/>
      <c r="AW564" s="304" t="str">
        <f t="shared" si="426"/>
        <v/>
      </c>
      <c r="AX564" s="304" t="str">
        <f t="shared" si="426"/>
        <v/>
      </c>
      <c r="AY564" s="28"/>
      <c r="AZ564" s="304" t="str">
        <f t="shared" si="427"/>
        <v/>
      </c>
      <c r="BA564" s="304" t="str">
        <f t="shared" si="427"/>
        <v/>
      </c>
      <c r="BB564" s="28"/>
      <c r="BC564" s="304" t="str">
        <f t="shared" si="428"/>
        <v/>
      </c>
      <c r="BD564" s="304" t="str">
        <f t="shared" si="428"/>
        <v/>
      </c>
      <c r="BE564" s="28"/>
      <c r="BF564" s="304" t="str">
        <f t="shared" si="429"/>
        <v/>
      </c>
      <c r="BG564" s="304" t="str">
        <f t="shared" si="429"/>
        <v/>
      </c>
      <c r="BH564" s="28"/>
      <c r="BI564" s="304" t="str">
        <f t="shared" si="430"/>
        <v/>
      </c>
      <c r="BJ564" s="304" t="str">
        <f t="shared" si="430"/>
        <v/>
      </c>
      <c r="BK564" s="28"/>
      <c r="BL564" s="304" t="str">
        <f t="shared" si="431"/>
        <v/>
      </c>
      <c r="BM564" s="304" t="str">
        <f t="shared" si="431"/>
        <v/>
      </c>
      <c r="BN564" s="28"/>
      <c r="BO564" s="304" t="str">
        <f t="shared" si="432"/>
        <v/>
      </c>
      <c r="BP564" s="304" t="str">
        <f t="shared" si="432"/>
        <v/>
      </c>
      <c r="BQ564" s="28"/>
      <c r="BR564" s="304" t="str">
        <f t="shared" si="433"/>
        <v/>
      </c>
      <c r="BS564" s="304" t="str">
        <f t="shared" si="433"/>
        <v/>
      </c>
      <c r="BT564" s="28"/>
      <c r="BU564" s="304" t="str">
        <f t="shared" si="434"/>
        <v/>
      </c>
      <c r="BV564" s="304" t="str">
        <f t="shared" si="434"/>
        <v/>
      </c>
      <c r="BW564" s="28"/>
      <c r="BX564" s="91"/>
    </row>
    <row r="565" spans="1:76" s="55" customFormat="1" x14ac:dyDescent="0.25">
      <c r="A565" s="195">
        <v>7</v>
      </c>
      <c r="B565" s="216" t="str">
        <f t="shared" si="423"/>
        <v xml:space="preserve">: </v>
      </c>
      <c r="C565" s="221"/>
      <c r="D565" s="221"/>
      <c r="E565" s="221"/>
      <c r="F565" s="221"/>
      <c r="G565" s="240"/>
      <c r="H565" s="221"/>
      <c r="I565" s="240"/>
      <c r="J565" s="241"/>
      <c r="K565" s="241"/>
      <c r="L565" s="241"/>
      <c r="M565" s="225" t="s">
        <v>365</v>
      </c>
      <c r="N565" s="227"/>
      <c r="O565" s="241"/>
      <c r="P565" s="122"/>
      <c r="Q565" s="228"/>
      <c r="R565" s="231" t="str">
        <f t="shared" si="435"/>
        <v/>
      </c>
      <c r="S565" s="230" t="str">
        <f t="shared" si="424"/>
        <v/>
      </c>
      <c r="T565" s="231" t="str">
        <f>IF(OR(Q565="Y",IFERROR(R565&gt;R579+R583*$AA$35,0),IFERROR(R565&lt;R579-R583*$AA$35,0)),"",IFERROR(R565*N565,""))</f>
        <v/>
      </c>
      <c r="U565" s="232" t="str">
        <f t="shared" si="425"/>
        <v>%</v>
      </c>
      <c r="V565" s="28"/>
      <c r="W565" s="28"/>
      <c r="Y565" s="91"/>
      <c r="AO565" s="91"/>
      <c r="AP565" s="28"/>
      <c r="AQ565" s="28"/>
      <c r="AR565" s="237"/>
      <c r="AS565" s="28"/>
      <c r="AT565" s="304" t="str">
        <f t="shared" si="436"/>
        <v/>
      </c>
      <c r="AU565" s="304" t="str">
        <f t="shared" si="436"/>
        <v/>
      </c>
      <c r="AV565" s="28"/>
      <c r="AW565" s="304" t="str">
        <f t="shared" si="426"/>
        <v/>
      </c>
      <c r="AX565" s="304" t="str">
        <f t="shared" si="426"/>
        <v/>
      </c>
      <c r="AY565" s="28"/>
      <c r="AZ565" s="304" t="str">
        <f t="shared" si="427"/>
        <v/>
      </c>
      <c r="BA565" s="304" t="str">
        <f t="shared" si="427"/>
        <v/>
      </c>
      <c r="BB565" s="28"/>
      <c r="BC565" s="304" t="str">
        <f t="shared" si="428"/>
        <v/>
      </c>
      <c r="BD565" s="304" t="str">
        <f t="shared" si="428"/>
        <v/>
      </c>
      <c r="BE565" s="28"/>
      <c r="BF565" s="304" t="str">
        <f t="shared" si="429"/>
        <v/>
      </c>
      <c r="BG565" s="304" t="str">
        <f t="shared" si="429"/>
        <v/>
      </c>
      <c r="BH565" s="28"/>
      <c r="BI565" s="304" t="str">
        <f t="shared" si="430"/>
        <v/>
      </c>
      <c r="BJ565" s="304" t="str">
        <f t="shared" si="430"/>
        <v/>
      </c>
      <c r="BK565" s="28"/>
      <c r="BL565" s="304" t="str">
        <f t="shared" si="431"/>
        <v/>
      </c>
      <c r="BM565" s="304" t="str">
        <f t="shared" si="431"/>
        <v/>
      </c>
      <c r="BN565" s="28"/>
      <c r="BO565" s="304" t="str">
        <f t="shared" si="432"/>
        <v/>
      </c>
      <c r="BP565" s="304" t="str">
        <f t="shared" si="432"/>
        <v/>
      </c>
      <c r="BQ565" s="28"/>
      <c r="BR565" s="304" t="str">
        <f t="shared" si="433"/>
        <v/>
      </c>
      <c r="BS565" s="304" t="str">
        <f t="shared" si="433"/>
        <v/>
      </c>
      <c r="BT565" s="28"/>
      <c r="BU565" s="304" t="str">
        <f t="shared" si="434"/>
        <v/>
      </c>
      <c r="BV565" s="304" t="str">
        <f t="shared" si="434"/>
        <v/>
      </c>
      <c r="BW565" s="28"/>
      <c r="BX565" s="91"/>
    </row>
    <row r="566" spans="1:76" s="55" customFormat="1" x14ac:dyDescent="0.25">
      <c r="A566" s="195">
        <v>8</v>
      </c>
      <c r="B566" s="216" t="str">
        <f t="shared" si="423"/>
        <v xml:space="preserve">: </v>
      </c>
      <c r="C566" s="221"/>
      <c r="D566" s="221"/>
      <c r="E566" s="221"/>
      <c r="F566" s="221"/>
      <c r="G566" s="240"/>
      <c r="H566" s="221"/>
      <c r="I566" s="240"/>
      <c r="J566" s="241"/>
      <c r="K566" s="241"/>
      <c r="L566" s="241"/>
      <c r="M566" s="225" t="s">
        <v>365</v>
      </c>
      <c r="N566" s="227"/>
      <c r="O566" s="241"/>
      <c r="P566" s="122"/>
      <c r="Q566" s="228"/>
      <c r="R566" s="231" t="str">
        <f t="shared" si="435"/>
        <v/>
      </c>
      <c r="S566" s="230" t="str">
        <f t="shared" si="424"/>
        <v/>
      </c>
      <c r="T566" s="231" t="str">
        <f>IF(OR(Q566="Y",IFERROR(R566&gt;R579+R583*$AA$35,0),IFERROR(R566&lt;R579-R583*$AA$35,0)),"",IFERROR(R566*N566,""))</f>
        <v/>
      </c>
      <c r="U566" s="232" t="str">
        <f t="shared" si="425"/>
        <v>%</v>
      </c>
      <c r="V566" s="28"/>
      <c r="W566" s="28"/>
      <c r="Y566" s="91"/>
      <c r="AO566" s="91"/>
      <c r="AP566" s="28"/>
      <c r="AQ566" s="28"/>
      <c r="AR566" s="237"/>
      <c r="AS566" s="28"/>
      <c r="AT566" s="304" t="str">
        <f t="shared" si="436"/>
        <v/>
      </c>
      <c r="AU566" s="304" t="str">
        <f t="shared" si="436"/>
        <v/>
      </c>
      <c r="AV566" s="28"/>
      <c r="AW566" s="304" t="str">
        <f t="shared" si="426"/>
        <v/>
      </c>
      <c r="AX566" s="304" t="str">
        <f t="shared" si="426"/>
        <v/>
      </c>
      <c r="AY566" s="28"/>
      <c r="AZ566" s="304" t="str">
        <f t="shared" si="427"/>
        <v/>
      </c>
      <c r="BA566" s="304" t="str">
        <f t="shared" si="427"/>
        <v/>
      </c>
      <c r="BB566" s="28"/>
      <c r="BC566" s="304" t="str">
        <f t="shared" si="428"/>
        <v/>
      </c>
      <c r="BD566" s="304" t="str">
        <f t="shared" si="428"/>
        <v/>
      </c>
      <c r="BE566" s="28"/>
      <c r="BF566" s="304" t="str">
        <f t="shared" si="429"/>
        <v/>
      </c>
      <c r="BG566" s="304" t="str">
        <f t="shared" si="429"/>
        <v/>
      </c>
      <c r="BH566" s="28"/>
      <c r="BI566" s="304" t="str">
        <f t="shared" si="430"/>
        <v/>
      </c>
      <c r="BJ566" s="304" t="str">
        <f t="shared" si="430"/>
        <v/>
      </c>
      <c r="BK566" s="28"/>
      <c r="BL566" s="304" t="str">
        <f t="shared" si="431"/>
        <v/>
      </c>
      <c r="BM566" s="304" t="str">
        <f t="shared" si="431"/>
        <v/>
      </c>
      <c r="BN566" s="28"/>
      <c r="BO566" s="304" t="str">
        <f t="shared" si="432"/>
        <v/>
      </c>
      <c r="BP566" s="304" t="str">
        <f t="shared" si="432"/>
        <v/>
      </c>
      <c r="BQ566" s="28"/>
      <c r="BR566" s="304" t="str">
        <f t="shared" si="433"/>
        <v/>
      </c>
      <c r="BS566" s="304" t="str">
        <f t="shared" si="433"/>
        <v/>
      </c>
      <c r="BT566" s="28"/>
      <c r="BU566" s="304" t="str">
        <f t="shared" si="434"/>
        <v/>
      </c>
      <c r="BV566" s="304" t="str">
        <f t="shared" si="434"/>
        <v/>
      </c>
      <c r="BW566" s="28"/>
      <c r="BX566" s="91"/>
    </row>
    <row r="567" spans="1:76" s="55" customFormat="1" x14ac:dyDescent="0.25">
      <c r="A567" s="195">
        <v>9</v>
      </c>
      <c r="B567" s="216" t="str">
        <f t="shared" si="423"/>
        <v xml:space="preserve">: </v>
      </c>
      <c r="C567" s="221"/>
      <c r="D567" s="221"/>
      <c r="E567" s="221"/>
      <c r="F567" s="221"/>
      <c r="G567" s="240"/>
      <c r="H567" s="221"/>
      <c r="I567" s="240"/>
      <c r="J567" s="241"/>
      <c r="K567" s="241"/>
      <c r="L567" s="241"/>
      <c r="M567" s="225" t="s">
        <v>365</v>
      </c>
      <c r="N567" s="227"/>
      <c r="O567" s="241"/>
      <c r="P567" s="122"/>
      <c r="Q567" s="228"/>
      <c r="R567" s="231" t="str">
        <f t="shared" si="435"/>
        <v/>
      </c>
      <c r="S567" s="230" t="str">
        <f t="shared" si="424"/>
        <v/>
      </c>
      <c r="T567" s="231" t="str">
        <f>IF(OR(Q567="Y",IFERROR(R567&gt;R579+R583*$AA$35,0),IFERROR(R567&lt;R579-R583*$AA$35,0)),"",IFERROR(R567*N567,""))</f>
        <v/>
      </c>
      <c r="U567" s="232" t="str">
        <f t="shared" si="425"/>
        <v>%</v>
      </c>
      <c r="V567" s="28"/>
      <c r="W567" s="28"/>
      <c r="Y567" s="91"/>
      <c r="AO567" s="91"/>
      <c r="AP567" s="28"/>
      <c r="AQ567" s="28"/>
      <c r="AR567" s="237"/>
      <c r="AS567" s="28"/>
      <c r="AT567" s="304" t="str">
        <f t="shared" si="436"/>
        <v/>
      </c>
      <c r="AU567" s="304" t="str">
        <f t="shared" si="436"/>
        <v/>
      </c>
      <c r="AV567" s="28"/>
      <c r="AW567" s="304" t="str">
        <f t="shared" si="426"/>
        <v/>
      </c>
      <c r="AX567" s="304" t="str">
        <f t="shared" si="426"/>
        <v/>
      </c>
      <c r="AY567" s="28"/>
      <c r="AZ567" s="304" t="str">
        <f t="shared" si="427"/>
        <v/>
      </c>
      <c r="BA567" s="304" t="str">
        <f t="shared" si="427"/>
        <v/>
      </c>
      <c r="BB567" s="28"/>
      <c r="BC567" s="304" t="str">
        <f t="shared" si="428"/>
        <v/>
      </c>
      <c r="BD567" s="304" t="str">
        <f t="shared" si="428"/>
        <v/>
      </c>
      <c r="BE567" s="28"/>
      <c r="BF567" s="304" t="str">
        <f t="shared" si="429"/>
        <v/>
      </c>
      <c r="BG567" s="304" t="str">
        <f t="shared" si="429"/>
        <v/>
      </c>
      <c r="BH567" s="28"/>
      <c r="BI567" s="304" t="str">
        <f t="shared" si="430"/>
        <v/>
      </c>
      <c r="BJ567" s="304" t="str">
        <f t="shared" si="430"/>
        <v/>
      </c>
      <c r="BK567" s="28"/>
      <c r="BL567" s="304" t="str">
        <f t="shared" si="431"/>
        <v/>
      </c>
      <c r="BM567" s="304" t="str">
        <f t="shared" si="431"/>
        <v/>
      </c>
      <c r="BN567" s="28"/>
      <c r="BO567" s="304" t="str">
        <f t="shared" si="432"/>
        <v/>
      </c>
      <c r="BP567" s="304" t="str">
        <f t="shared" si="432"/>
        <v/>
      </c>
      <c r="BQ567" s="28"/>
      <c r="BR567" s="304" t="str">
        <f t="shared" si="433"/>
        <v/>
      </c>
      <c r="BS567" s="304" t="str">
        <f t="shared" si="433"/>
        <v/>
      </c>
      <c r="BT567" s="28"/>
      <c r="BU567" s="304" t="str">
        <f t="shared" si="434"/>
        <v/>
      </c>
      <c r="BV567" s="304" t="str">
        <f t="shared" si="434"/>
        <v/>
      </c>
      <c r="BW567" s="28"/>
      <c r="BX567" s="91"/>
    </row>
    <row r="568" spans="1:76" s="55" customFormat="1" x14ac:dyDescent="0.25">
      <c r="A568" s="195">
        <v>10</v>
      </c>
      <c r="B568" s="216" t="str">
        <f t="shared" si="423"/>
        <v xml:space="preserve">: </v>
      </c>
      <c r="C568" s="221"/>
      <c r="D568" s="221"/>
      <c r="E568" s="221"/>
      <c r="F568" s="221"/>
      <c r="G568" s="240"/>
      <c r="H568" s="221"/>
      <c r="I568" s="240"/>
      <c r="J568" s="241"/>
      <c r="K568" s="241"/>
      <c r="L568" s="241"/>
      <c r="M568" s="225" t="s">
        <v>365</v>
      </c>
      <c r="N568" s="227"/>
      <c r="O568" s="241"/>
      <c r="P568" s="122"/>
      <c r="Q568" s="228"/>
      <c r="R568" s="231" t="str">
        <f t="shared" si="435"/>
        <v/>
      </c>
      <c r="S568" s="230" t="str">
        <f t="shared" si="424"/>
        <v/>
      </c>
      <c r="T568" s="231" t="str">
        <f>IF(OR(Q568="Y",IFERROR(R568&gt;R579+R583*$AA$35,0),IFERROR(R568&lt;R579-R583*$AA$35,0)),"",IFERROR(R568*N568,""))</f>
        <v/>
      </c>
      <c r="U568" s="232" t="str">
        <f t="shared" si="425"/>
        <v>%</v>
      </c>
      <c r="V568" s="28"/>
      <c r="W568" s="28"/>
      <c r="Y568" s="91"/>
      <c r="AO568" s="91"/>
      <c r="AP568" s="28"/>
      <c r="AQ568" s="28"/>
      <c r="AR568" s="237"/>
      <c r="AS568" s="28"/>
      <c r="AT568" s="304" t="str">
        <f t="shared" si="436"/>
        <v/>
      </c>
      <c r="AU568" s="304" t="str">
        <f t="shared" si="436"/>
        <v/>
      </c>
      <c r="AV568" s="28"/>
      <c r="AW568" s="304" t="str">
        <f t="shared" si="426"/>
        <v/>
      </c>
      <c r="AX568" s="304" t="str">
        <f t="shared" si="426"/>
        <v/>
      </c>
      <c r="AY568" s="28"/>
      <c r="AZ568" s="304" t="str">
        <f t="shared" si="427"/>
        <v/>
      </c>
      <c r="BA568" s="304" t="str">
        <f t="shared" si="427"/>
        <v/>
      </c>
      <c r="BB568" s="28"/>
      <c r="BC568" s="304" t="str">
        <f t="shared" si="428"/>
        <v/>
      </c>
      <c r="BD568" s="304" t="str">
        <f t="shared" si="428"/>
        <v/>
      </c>
      <c r="BE568" s="28"/>
      <c r="BF568" s="304" t="str">
        <f t="shared" si="429"/>
        <v/>
      </c>
      <c r="BG568" s="304" t="str">
        <f t="shared" si="429"/>
        <v/>
      </c>
      <c r="BH568" s="28"/>
      <c r="BI568" s="304" t="str">
        <f t="shared" si="430"/>
        <v/>
      </c>
      <c r="BJ568" s="304" t="str">
        <f t="shared" si="430"/>
        <v/>
      </c>
      <c r="BK568" s="28"/>
      <c r="BL568" s="304" t="str">
        <f t="shared" si="431"/>
        <v/>
      </c>
      <c r="BM568" s="304" t="str">
        <f t="shared" si="431"/>
        <v/>
      </c>
      <c r="BN568" s="28"/>
      <c r="BO568" s="304" t="str">
        <f t="shared" si="432"/>
        <v/>
      </c>
      <c r="BP568" s="304" t="str">
        <f t="shared" si="432"/>
        <v/>
      </c>
      <c r="BQ568" s="28"/>
      <c r="BR568" s="304" t="str">
        <f t="shared" si="433"/>
        <v/>
      </c>
      <c r="BS568" s="304" t="str">
        <f t="shared" si="433"/>
        <v/>
      </c>
      <c r="BT568" s="28"/>
      <c r="BU568" s="304" t="str">
        <f t="shared" si="434"/>
        <v/>
      </c>
      <c r="BV568" s="304" t="str">
        <f t="shared" si="434"/>
        <v/>
      </c>
      <c r="BW568" s="28"/>
      <c r="BX568" s="91"/>
    </row>
    <row r="569" spans="1:76" s="55" customFormat="1" x14ac:dyDescent="0.25">
      <c r="A569" s="195">
        <v>11</v>
      </c>
      <c r="B569" s="216" t="str">
        <f t="shared" si="423"/>
        <v xml:space="preserve">: </v>
      </c>
      <c r="C569" s="221"/>
      <c r="D569" s="221"/>
      <c r="E569" s="221"/>
      <c r="F569" s="221"/>
      <c r="G569" s="240"/>
      <c r="H569" s="221"/>
      <c r="I569" s="240"/>
      <c r="J569" s="241"/>
      <c r="K569" s="241"/>
      <c r="L569" s="241"/>
      <c r="M569" s="225" t="s">
        <v>365</v>
      </c>
      <c r="N569" s="227"/>
      <c r="O569" s="241"/>
      <c r="P569" s="122"/>
      <c r="Q569" s="228"/>
      <c r="R569" s="231" t="str">
        <f t="shared" si="435"/>
        <v/>
      </c>
      <c r="S569" s="230" t="str">
        <f t="shared" si="424"/>
        <v/>
      </c>
      <c r="T569" s="231" t="str">
        <f>IF(OR(Q569="Y",IFERROR(R569&gt;R579+R583*$AA$35,0),IFERROR(R569&lt;R579-R583*$AA$35,0)),"",IFERROR(R569*N569,""))</f>
        <v/>
      </c>
      <c r="U569" s="232" t="str">
        <f t="shared" si="425"/>
        <v>%</v>
      </c>
      <c r="V569" s="28"/>
      <c r="W569" s="28"/>
      <c r="Y569" s="91"/>
      <c r="AO569" s="91"/>
      <c r="AP569" s="28"/>
      <c r="AQ569" s="28"/>
      <c r="AR569" s="237"/>
      <c r="AS569" s="28"/>
      <c r="AT569" s="304" t="str">
        <f t="shared" si="436"/>
        <v/>
      </c>
      <c r="AU569" s="304" t="str">
        <f t="shared" si="436"/>
        <v/>
      </c>
      <c r="AV569" s="28"/>
      <c r="AW569" s="304" t="str">
        <f t="shared" si="426"/>
        <v/>
      </c>
      <c r="AX569" s="304" t="str">
        <f t="shared" si="426"/>
        <v/>
      </c>
      <c r="AY569" s="28"/>
      <c r="AZ569" s="304" t="str">
        <f t="shared" si="427"/>
        <v/>
      </c>
      <c r="BA569" s="304" t="str">
        <f t="shared" si="427"/>
        <v/>
      </c>
      <c r="BB569" s="28"/>
      <c r="BC569" s="304" t="str">
        <f t="shared" si="428"/>
        <v/>
      </c>
      <c r="BD569" s="304" t="str">
        <f t="shared" si="428"/>
        <v/>
      </c>
      <c r="BE569" s="28"/>
      <c r="BF569" s="304" t="str">
        <f t="shared" si="429"/>
        <v/>
      </c>
      <c r="BG569" s="304" t="str">
        <f t="shared" si="429"/>
        <v/>
      </c>
      <c r="BH569" s="28"/>
      <c r="BI569" s="304" t="str">
        <f t="shared" si="430"/>
        <v/>
      </c>
      <c r="BJ569" s="304" t="str">
        <f t="shared" si="430"/>
        <v/>
      </c>
      <c r="BK569" s="28"/>
      <c r="BL569" s="304" t="str">
        <f t="shared" si="431"/>
        <v/>
      </c>
      <c r="BM569" s="304" t="str">
        <f t="shared" si="431"/>
        <v/>
      </c>
      <c r="BN569" s="28"/>
      <c r="BO569" s="304" t="str">
        <f t="shared" si="432"/>
        <v/>
      </c>
      <c r="BP569" s="304" t="str">
        <f t="shared" si="432"/>
        <v/>
      </c>
      <c r="BQ569" s="28"/>
      <c r="BR569" s="304" t="str">
        <f t="shared" si="433"/>
        <v/>
      </c>
      <c r="BS569" s="304" t="str">
        <f t="shared" si="433"/>
        <v/>
      </c>
      <c r="BT569" s="28"/>
      <c r="BU569" s="304" t="str">
        <f t="shared" si="434"/>
        <v/>
      </c>
      <c r="BV569" s="304" t="str">
        <f t="shared" si="434"/>
        <v/>
      </c>
      <c r="BW569" s="28"/>
      <c r="BX569" s="91"/>
    </row>
    <row r="570" spans="1:76" s="55" customFormat="1" x14ac:dyDescent="0.25">
      <c r="A570" s="195">
        <v>12</v>
      </c>
      <c r="B570" s="216" t="str">
        <f t="shared" si="423"/>
        <v xml:space="preserve">: </v>
      </c>
      <c r="C570" s="221"/>
      <c r="D570" s="221"/>
      <c r="E570" s="221"/>
      <c r="F570" s="221"/>
      <c r="G570" s="240"/>
      <c r="H570" s="221"/>
      <c r="I570" s="240"/>
      <c r="J570" s="241"/>
      <c r="K570" s="241"/>
      <c r="L570" s="241"/>
      <c r="M570" s="225" t="s">
        <v>365</v>
      </c>
      <c r="N570" s="227"/>
      <c r="O570" s="241"/>
      <c r="P570" s="122"/>
      <c r="Q570" s="228"/>
      <c r="R570" s="231" t="str">
        <f t="shared" si="435"/>
        <v/>
      </c>
      <c r="S570" s="230" t="str">
        <f t="shared" si="424"/>
        <v/>
      </c>
      <c r="T570" s="231" t="str">
        <f>IF(OR(Q570="Y",IFERROR(R570&gt;R579+R583*$AA$35,0),IFERROR(R570&lt;R579-R583*$AA$35,0)),"",IFERROR(R570*N570,""))</f>
        <v/>
      </c>
      <c r="U570" s="232" t="str">
        <f t="shared" si="425"/>
        <v>%</v>
      </c>
      <c r="V570" s="28"/>
      <c r="W570" s="28"/>
      <c r="Y570" s="91"/>
      <c r="AO570" s="91"/>
      <c r="AP570" s="28"/>
      <c r="AQ570" s="28"/>
      <c r="AR570" s="237"/>
      <c r="AS570" s="28"/>
      <c r="AT570" s="304" t="str">
        <f t="shared" si="436"/>
        <v/>
      </c>
      <c r="AU570" s="304" t="str">
        <f t="shared" si="436"/>
        <v/>
      </c>
      <c r="AV570" s="28"/>
      <c r="AW570" s="304" t="str">
        <f t="shared" si="426"/>
        <v/>
      </c>
      <c r="AX570" s="304" t="str">
        <f t="shared" si="426"/>
        <v/>
      </c>
      <c r="AY570" s="28"/>
      <c r="AZ570" s="304" t="str">
        <f t="shared" si="427"/>
        <v/>
      </c>
      <c r="BA570" s="304" t="str">
        <f t="shared" si="427"/>
        <v/>
      </c>
      <c r="BB570" s="28"/>
      <c r="BC570" s="304" t="str">
        <f t="shared" si="428"/>
        <v/>
      </c>
      <c r="BD570" s="304" t="str">
        <f t="shared" si="428"/>
        <v/>
      </c>
      <c r="BE570" s="28"/>
      <c r="BF570" s="304" t="str">
        <f t="shared" si="429"/>
        <v/>
      </c>
      <c r="BG570" s="304" t="str">
        <f t="shared" si="429"/>
        <v/>
      </c>
      <c r="BH570" s="28"/>
      <c r="BI570" s="304" t="str">
        <f t="shared" si="430"/>
        <v/>
      </c>
      <c r="BJ570" s="304" t="str">
        <f t="shared" si="430"/>
        <v/>
      </c>
      <c r="BK570" s="28"/>
      <c r="BL570" s="304" t="str">
        <f t="shared" si="431"/>
        <v/>
      </c>
      <c r="BM570" s="304" t="str">
        <f t="shared" si="431"/>
        <v/>
      </c>
      <c r="BN570" s="28"/>
      <c r="BO570" s="304" t="str">
        <f t="shared" si="432"/>
        <v/>
      </c>
      <c r="BP570" s="304" t="str">
        <f t="shared" si="432"/>
        <v/>
      </c>
      <c r="BQ570" s="28"/>
      <c r="BR570" s="304" t="str">
        <f t="shared" si="433"/>
        <v/>
      </c>
      <c r="BS570" s="304" t="str">
        <f t="shared" si="433"/>
        <v/>
      </c>
      <c r="BT570" s="28"/>
      <c r="BU570" s="304" t="str">
        <f t="shared" si="434"/>
        <v/>
      </c>
      <c r="BV570" s="304" t="str">
        <f t="shared" si="434"/>
        <v/>
      </c>
      <c r="BW570" s="28"/>
      <c r="BX570" s="91"/>
    </row>
    <row r="571" spans="1:76" s="55" customFormat="1" x14ac:dyDescent="0.25">
      <c r="A571" s="195">
        <v>13</v>
      </c>
      <c r="B571" s="216" t="str">
        <f t="shared" si="423"/>
        <v xml:space="preserve">: </v>
      </c>
      <c r="C571" s="221"/>
      <c r="D571" s="221"/>
      <c r="E571" s="221"/>
      <c r="F571" s="221"/>
      <c r="G571" s="240"/>
      <c r="H571" s="221"/>
      <c r="I571" s="240"/>
      <c r="J571" s="241"/>
      <c r="K571" s="241"/>
      <c r="L571" s="241"/>
      <c r="M571" s="225" t="s">
        <v>365</v>
      </c>
      <c r="N571" s="227"/>
      <c r="O571" s="241"/>
      <c r="P571" s="122"/>
      <c r="Q571" s="228"/>
      <c r="R571" s="231" t="str">
        <f t="shared" si="435"/>
        <v/>
      </c>
      <c r="S571" s="230" t="str">
        <f t="shared" si="424"/>
        <v/>
      </c>
      <c r="T571" s="231" t="str">
        <f>IF(OR(Q571="Y",IFERROR(R571&gt;R579+R583*$AA$35,0),IFERROR(R571&lt;R579-R583*$AA$35,0)),"",IFERROR(R571*N571,""))</f>
        <v/>
      </c>
      <c r="U571" s="232" t="str">
        <f t="shared" si="425"/>
        <v>%</v>
      </c>
      <c r="V571" s="28"/>
      <c r="W571" s="28"/>
      <c r="Y571" s="91"/>
      <c r="AO571" s="91"/>
      <c r="AP571" s="28"/>
      <c r="AQ571" s="28"/>
      <c r="AR571" s="237"/>
      <c r="AS571" s="28"/>
      <c r="AT571" s="304" t="str">
        <f t="shared" si="436"/>
        <v/>
      </c>
      <c r="AU571" s="304" t="str">
        <f t="shared" si="436"/>
        <v/>
      </c>
      <c r="AV571" s="28"/>
      <c r="AW571" s="304" t="str">
        <f t="shared" si="426"/>
        <v/>
      </c>
      <c r="AX571" s="304" t="str">
        <f t="shared" si="426"/>
        <v/>
      </c>
      <c r="AY571" s="28"/>
      <c r="AZ571" s="304" t="str">
        <f t="shared" si="427"/>
        <v/>
      </c>
      <c r="BA571" s="304" t="str">
        <f t="shared" si="427"/>
        <v/>
      </c>
      <c r="BB571" s="28"/>
      <c r="BC571" s="304" t="str">
        <f t="shared" si="428"/>
        <v/>
      </c>
      <c r="BD571" s="304" t="str">
        <f t="shared" si="428"/>
        <v/>
      </c>
      <c r="BE571" s="28"/>
      <c r="BF571" s="304" t="str">
        <f t="shared" si="429"/>
        <v/>
      </c>
      <c r="BG571" s="304" t="str">
        <f t="shared" si="429"/>
        <v/>
      </c>
      <c r="BH571" s="28"/>
      <c r="BI571" s="304" t="str">
        <f t="shared" si="430"/>
        <v/>
      </c>
      <c r="BJ571" s="304" t="str">
        <f t="shared" si="430"/>
        <v/>
      </c>
      <c r="BK571" s="28"/>
      <c r="BL571" s="304" t="str">
        <f t="shared" si="431"/>
        <v/>
      </c>
      <c r="BM571" s="304" t="str">
        <f t="shared" si="431"/>
        <v/>
      </c>
      <c r="BN571" s="28"/>
      <c r="BO571" s="304" t="str">
        <f t="shared" si="432"/>
        <v/>
      </c>
      <c r="BP571" s="304" t="str">
        <f t="shared" si="432"/>
        <v/>
      </c>
      <c r="BQ571" s="28"/>
      <c r="BR571" s="304" t="str">
        <f t="shared" si="433"/>
        <v/>
      </c>
      <c r="BS571" s="304" t="str">
        <f t="shared" si="433"/>
        <v/>
      </c>
      <c r="BT571" s="28"/>
      <c r="BU571" s="304" t="str">
        <f t="shared" si="434"/>
        <v/>
      </c>
      <c r="BV571" s="304" t="str">
        <f t="shared" si="434"/>
        <v/>
      </c>
      <c r="BW571" s="28"/>
      <c r="BX571" s="91"/>
    </row>
    <row r="572" spans="1:76" s="55" customFormat="1" x14ac:dyDescent="0.25">
      <c r="A572" s="195">
        <v>14</v>
      </c>
      <c r="B572" s="216" t="str">
        <f t="shared" si="423"/>
        <v xml:space="preserve">: </v>
      </c>
      <c r="C572" s="221"/>
      <c r="D572" s="221"/>
      <c r="E572" s="221"/>
      <c r="F572" s="221"/>
      <c r="G572" s="240"/>
      <c r="H572" s="221"/>
      <c r="I572" s="240"/>
      <c r="J572" s="241"/>
      <c r="K572" s="241"/>
      <c r="L572" s="241"/>
      <c r="M572" s="225" t="s">
        <v>365</v>
      </c>
      <c r="N572" s="227"/>
      <c r="O572" s="241"/>
      <c r="P572" s="122"/>
      <c r="Q572" s="228"/>
      <c r="R572" s="231" t="str">
        <f t="shared" si="435"/>
        <v/>
      </c>
      <c r="S572" s="230" t="str">
        <f t="shared" si="424"/>
        <v/>
      </c>
      <c r="T572" s="231" t="str">
        <f>IF(OR(Q572="Y",IFERROR(R572&gt;R579+R583*$AA$35,0),IFERROR(R572&lt;R579-R583*$AA$35,0)),"",IFERROR(R572*N572,""))</f>
        <v/>
      </c>
      <c r="U572" s="232" t="str">
        <f t="shared" si="425"/>
        <v>%</v>
      </c>
      <c r="V572" s="28"/>
      <c r="W572" s="28"/>
      <c r="Y572" s="91"/>
      <c r="AO572" s="91"/>
      <c r="AP572" s="28"/>
      <c r="AQ572" s="28"/>
      <c r="AR572" s="237"/>
      <c r="AS572" s="28"/>
      <c r="AT572" s="304" t="str">
        <f t="shared" si="436"/>
        <v/>
      </c>
      <c r="AU572" s="304" t="str">
        <f t="shared" si="436"/>
        <v/>
      </c>
      <c r="AV572" s="28"/>
      <c r="AW572" s="304" t="str">
        <f t="shared" si="426"/>
        <v/>
      </c>
      <c r="AX572" s="304" t="str">
        <f t="shared" si="426"/>
        <v/>
      </c>
      <c r="AY572" s="28"/>
      <c r="AZ572" s="304" t="str">
        <f t="shared" si="427"/>
        <v/>
      </c>
      <c r="BA572" s="304" t="str">
        <f t="shared" si="427"/>
        <v/>
      </c>
      <c r="BB572" s="28"/>
      <c r="BC572" s="304" t="str">
        <f t="shared" si="428"/>
        <v/>
      </c>
      <c r="BD572" s="304" t="str">
        <f t="shared" si="428"/>
        <v/>
      </c>
      <c r="BE572" s="28"/>
      <c r="BF572" s="304" t="str">
        <f t="shared" si="429"/>
        <v/>
      </c>
      <c r="BG572" s="304" t="str">
        <f t="shared" si="429"/>
        <v/>
      </c>
      <c r="BH572" s="28"/>
      <c r="BI572" s="304" t="str">
        <f t="shared" si="430"/>
        <v/>
      </c>
      <c r="BJ572" s="304" t="str">
        <f t="shared" si="430"/>
        <v/>
      </c>
      <c r="BK572" s="28"/>
      <c r="BL572" s="304" t="str">
        <f t="shared" si="431"/>
        <v/>
      </c>
      <c r="BM572" s="304" t="str">
        <f t="shared" si="431"/>
        <v/>
      </c>
      <c r="BN572" s="28"/>
      <c r="BO572" s="304" t="str">
        <f t="shared" si="432"/>
        <v/>
      </c>
      <c r="BP572" s="304" t="str">
        <f t="shared" si="432"/>
        <v/>
      </c>
      <c r="BQ572" s="28"/>
      <c r="BR572" s="304" t="str">
        <f t="shared" si="433"/>
        <v/>
      </c>
      <c r="BS572" s="304" t="str">
        <f t="shared" si="433"/>
        <v/>
      </c>
      <c r="BT572" s="28"/>
      <c r="BU572" s="304" t="str">
        <f t="shared" si="434"/>
        <v/>
      </c>
      <c r="BV572" s="304" t="str">
        <f t="shared" si="434"/>
        <v/>
      </c>
      <c r="BW572" s="28"/>
      <c r="BX572" s="91"/>
    </row>
    <row r="573" spans="1:76" s="55" customFormat="1" x14ac:dyDescent="0.25">
      <c r="A573" s="195">
        <v>15</v>
      </c>
      <c r="B573" s="216" t="str">
        <f t="shared" si="423"/>
        <v xml:space="preserve">: </v>
      </c>
      <c r="C573" s="221"/>
      <c r="D573" s="221"/>
      <c r="E573" s="221"/>
      <c r="F573" s="221"/>
      <c r="G573" s="240"/>
      <c r="H573" s="221"/>
      <c r="I573" s="240"/>
      <c r="J573" s="241"/>
      <c r="K573" s="241"/>
      <c r="L573" s="241"/>
      <c r="M573" s="225" t="s">
        <v>365</v>
      </c>
      <c r="N573" s="227"/>
      <c r="O573" s="241"/>
      <c r="P573" s="122"/>
      <c r="Q573" s="228"/>
      <c r="R573" s="231" t="str">
        <f t="shared" si="435"/>
        <v/>
      </c>
      <c r="S573" s="230" t="str">
        <f t="shared" si="424"/>
        <v/>
      </c>
      <c r="T573" s="231" t="str">
        <f>IF(OR(Q573="Y",IFERROR(R573&gt;R579+R583*$AA$35,0),IFERROR(R573&lt;R579-R583*$AA$35,0)),"",IFERROR(R573*N573,""))</f>
        <v/>
      </c>
      <c r="U573" s="232" t="str">
        <f t="shared" si="425"/>
        <v>%</v>
      </c>
      <c r="V573" s="28"/>
      <c r="W573" s="28"/>
      <c r="Y573" s="91"/>
      <c r="AO573" s="91"/>
      <c r="AP573" s="28"/>
      <c r="AQ573" s="28"/>
      <c r="AR573" s="237"/>
      <c r="AS573" s="28"/>
      <c r="AT573" s="304" t="str">
        <f t="shared" si="436"/>
        <v/>
      </c>
      <c r="AU573" s="304" t="str">
        <f t="shared" si="436"/>
        <v/>
      </c>
      <c r="AV573" s="28"/>
      <c r="AW573" s="304" t="str">
        <f t="shared" si="426"/>
        <v/>
      </c>
      <c r="AX573" s="304" t="str">
        <f t="shared" si="426"/>
        <v/>
      </c>
      <c r="AY573" s="28"/>
      <c r="AZ573" s="304" t="str">
        <f t="shared" si="427"/>
        <v/>
      </c>
      <c r="BA573" s="304" t="str">
        <f t="shared" si="427"/>
        <v/>
      </c>
      <c r="BB573" s="28"/>
      <c r="BC573" s="304" t="str">
        <f t="shared" si="428"/>
        <v/>
      </c>
      <c r="BD573" s="304" t="str">
        <f t="shared" si="428"/>
        <v/>
      </c>
      <c r="BE573" s="28"/>
      <c r="BF573" s="304" t="str">
        <f t="shared" si="429"/>
        <v/>
      </c>
      <c r="BG573" s="304" t="str">
        <f t="shared" si="429"/>
        <v/>
      </c>
      <c r="BH573" s="28"/>
      <c r="BI573" s="304" t="str">
        <f t="shared" si="430"/>
        <v/>
      </c>
      <c r="BJ573" s="304" t="str">
        <f t="shared" si="430"/>
        <v/>
      </c>
      <c r="BK573" s="28"/>
      <c r="BL573" s="304" t="str">
        <f t="shared" si="431"/>
        <v/>
      </c>
      <c r="BM573" s="304" t="str">
        <f t="shared" si="431"/>
        <v/>
      </c>
      <c r="BN573" s="28"/>
      <c r="BO573" s="304" t="str">
        <f t="shared" si="432"/>
        <v/>
      </c>
      <c r="BP573" s="304" t="str">
        <f t="shared" si="432"/>
        <v/>
      </c>
      <c r="BQ573" s="28"/>
      <c r="BR573" s="304" t="str">
        <f t="shared" si="433"/>
        <v/>
      </c>
      <c r="BS573" s="304" t="str">
        <f t="shared" si="433"/>
        <v/>
      </c>
      <c r="BT573" s="28"/>
      <c r="BU573" s="304" t="str">
        <f t="shared" si="434"/>
        <v/>
      </c>
      <c r="BV573" s="304" t="str">
        <f t="shared" si="434"/>
        <v/>
      </c>
      <c r="BW573" s="28"/>
      <c r="BX573" s="91"/>
    </row>
    <row r="574" spans="1:76" s="55" customFormat="1" x14ac:dyDescent="0.25">
      <c r="A574" s="195">
        <v>16</v>
      </c>
      <c r="B574" s="216" t="str">
        <f t="shared" si="423"/>
        <v xml:space="preserve">: </v>
      </c>
      <c r="C574" s="221"/>
      <c r="D574" s="221"/>
      <c r="E574" s="221"/>
      <c r="F574" s="221"/>
      <c r="G574" s="240"/>
      <c r="H574" s="221"/>
      <c r="I574" s="240"/>
      <c r="J574" s="241"/>
      <c r="K574" s="241"/>
      <c r="L574" s="241"/>
      <c r="M574" s="225" t="s">
        <v>365</v>
      </c>
      <c r="N574" s="227"/>
      <c r="O574" s="241"/>
      <c r="P574" s="122"/>
      <c r="Q574" s="228"/>
      <c r="R574" s="231" t="str">
        <f t="shared" si="435"/>
        <v/>
      </c>
      <c r="S574" s="230" t="str">
        <f t="shared" si="424"/>
        <v/>
      </c>
      <c r="T574" s="231" t="str">
        <f>IF(OR(Q574="Y",IFERROR(R574&gt;R579+R583*$AA$35,0),IFERROR(R574&lt;R579-R583*$AA$35,0)),"",IFERROR(R574*N574,""))</f>
        <v/>
      </c>
      <c r="U574" s="232" t="str">
        <f t="shared" si="425"/>
        <v>%</v>
      </c>
      <c r="V574" s="28"/>
      <c r="W574" s="28"/>
      <c r="Y574" s="91"/>
      <c r="AO574" s="91"/>
      <c r="AP574" s="28"/>
      <c r="AQ574" s="28"/>
      <c r="AR574" s="237"/>
      <c r="AS574" s="28"/>
      <c r="AT574" s="304" t="str">
        <f t="shared" si="436"/>
        <v/>
      </c>
      <c r="AU574" s="304" t="str">
        <f t="shared" si="436"/>
        <v/>
      </c>
      <c r="AV574" s="28"/>
      <c r="AW574" s="304" t="str">
        <f t="shared" si="426"/>
        <v/>
      </c>
      <c r="AX574" s="304" t="str">
        <f t="shared" si="426"/>
        <v/>
      </c>
      <c r="AY574" s="28"/>
      <c r="AZ574" s="304" t="str">
        <f t="shared" si="427"/>
        <v/>
      </c>
      <c r="BA574" s="304" t="str">
        <f t="shared" si="427"/>
        <v/>
      </c>
      <c r="BB574" s="28"/>
      <c r="BC574" s="304" t="str">
        <f t="shared" si="428"/>
        <v/>
      </c>
      <c r="BD574" s="304" t="str">
        <f t="shared" si="428"/>
        <v/>
      </c>
      <c r="BE574" s="28"/>
      <c r="BF574" s="304" t="str">
        <f t="shared" si="429"/>
        <v/>
      </c>
      <c r="BG574" s="304" t="str">
        <f t="shared" si="429"/>
        <v/>
      </c>
      <c r="BH574" s="28"/>
      <c r="BI574" s="304" t="str">
        <f t="shared" si="430"/>
        <v/>
      </c>
      <c r="BJ574" s="304" t="str">
        <f t="shared" si="430"/>
        <v/>
      </c>
      <c r="BK574" s="28"/>
      <c r="BL574" s="304" t="str">
        <f t="shared" si="431"/>
        <v/>
      </c>
      <c r="BM574" s="304" t="str">
        <f t="shared" si="431"/>
        <v/>
      </c>
      <c r="BN574" s="28"/>
      <c r="BO574" s="304" t="str">
        <f t="shared" si="432"/>
        <v/>
      </c>
      <c r="BP574" s="304" t="str">
        <f t="shared" si="432"/>
        <v/>
      </c>
      <c r="BQ574" s="28"/>
      <c r="BR574" s="304" t="str">
        <f t="shared" si="433"/>
        <v/>
      </c>
      <c r="BS574" s="304" t="str">
        <f t="shared" si="433"/>
        <v/>
      </c>
      <c r="BT574" s="28"/>
      <c r="BU574" s="304" t="str">
        <f t="shared" si="434"/>
        <v/>
      </c>
      <c r="BV574" s="304" t="str">
        <f t="shared" si="434"/>
        <v/>
      </c>
      <c r="BW574" s="28"/>
      <c r="BX574" s="91"/>
    </row>
    <row r="575" spans="1:76" s="55" customFormat="1" x14ac:dyDescent="0.25">
      <c r="A575" s="195">
        <v>17</v>
      </c>
      <c r="B575" s="216" t="str">
        <f t="shared" si="423"/>
        <v xml:space="preserve">: </v>
      </c>
      <c r="C575" s="221"/>
      <c r="D575" s="221"/>
      <c r="E575" s="221"/>
      <c r="F575" s="221"/>
      <c r="G575" s="240"/>
      <c r="H575" s="221"/>
      <c r="I575" s="240"/>
      <c r="J575" s="241"/>
      <c r="K575" s="241"/>
      <c r="L575" s="241"/>
      <c r="M575" s="225" t="s">
        <v>365</v>
      </c>
      <c r="N575" s="227"/>
      <c r="O575" s="241"/>
      <c r="P575" s="122"/>
      <c r="Q575" s="228"/>
      <c r="R575" s="231" t="str">
        <f t="shared" si="435"/>
        <v/>
      </c>
      <c r="S575" s="230" t="str">
        <f t="shared" si="424"/>
        <v/>
      </c>
      <c r="T575" s="231" t="str">
        <f>IF(OR(Q575="Y",IFERROR(R575&gt;R579+R583*$AA$35,0),IFERROR(R575&lt;R579-R583*$AA$35,0)),"",IFERROR(R575*N575,""))</f>
        <v/>
      </c>
      <c r="U575" s="232" t="str">
        <f t="shared" si="425"/>
        <v>%</v>
      </c>
      <c r="V575" s="28"/>
      <c r="W575" s="28"/>
      <c r="Y575" s="91"/>
      <c r="AO575" s="91"/>
      <c r="AP575" s="28"/>
      <c r="AQ575" s="28"/>
      <c r="AR575" s="237"/>
      <c r="AS575" s="28"/>
      <c r="AT575" s="304" t="str">
        <f t="shared" si="436"/>
        <v/>
      </c>
      <c r="AU575" s="304" t="str">
        <f t="shared" si="436"/>
        <v/>
      </c>
      <c r="AV575" s="28"/>
      <c r="AW575" s="304" t="str">
        <f t="shared" si="426"/>
        <v/>
      </c>
      <c r="AX575" s="304" t="str">
        <f t="shared" si="426"/>
        <v/>
      </c>
      <c r="AY575" s="28"/>
      <c r="AZ575" s="304" t="str">
        <f t="shared" si="427"/>
        <v/>
      </c>
      <c r="BA575" s="304" t="str">
        <f t="shared" si="427"/>
        <v/>
      </c>
      <c r="BB575" s="28"/>
      <c r="BC575" s="304" t="str">
        <f t="shared" si="428"/>
        <v/>
      </c>
      <c r="BD575" s="304" t="str">
        <f t="shared" si="428"/>
        <v/>
      </c>
      <c r="BE575" s="28"/>
      <c r="BF575" s="304" t="str">
        <f t="shared" si="429"/>
        <v/>
      </c>
      <c r="BG575" s="304" t="str">
        <f t="shared" si="429"/>
        <v/>
      </c>
      <c r="BH575" s="28"/>
      <c r="BI575" s="304" t="str">
        <f t="shared" si="430"/>
        <v/>
      </c>
      <c r="BJ575" s="304" t="str">
        <f t="shared" si="430"/>
        <v/>
      </c>
      <c r="BK575" s="28"/>
      <c r="BL575" s="304" t="str">
        <f t="shared" si="431"/>
        <v/>
      </c>
      <c r="BM575" s="304" t="str">
        <f t="shared" si="431"/>
        <v/>
      </c>
      <c r="BN575" s="28"/>
      <c r="BO575" s="304" t="str">
        <f t="shared" si="432"/>
        <v/>
      </c>
      <c r="BP575" s="304" t="str">
        <f t="shared" si="432"/>
        <v/>
      </c>
      <c r="BQ575" s="28"/>
      <c r="BR575" s="304" t="str">
        <f t="shared" si="433"/>
        <v/>
      </c>
      <c r="BS575" s="304" t="str">
        <f t="shared" si="433"/>
        <v/>
      </c>
      <c r="BT575" s="28"/>
      <c r="BU575" s="304" t="str">
        <f t="shared" si="434"/>
        <v/>
      </c>
      <c r="BV575" s="304" t="str">
        <f t="shared" si="434"/>
        <v/>
      </c>
      <c r="BW575" s="28"/>
      <c r="BX575" s="91"/>
    </row>
    <row r="576" spans="1:76" s="55" customFormat="1" x14ac:dyDescent="0.25">
      <c r="A576" s="195">
        <v>18</v>
      </c>
      <c r="B576" s="216" t="str">
        <f t="shared" si="423"/>
        <v xml:space="preserve">: </v>
      </c>
      <c r="C576" s="221"/>
      <c r="D576" s="221"/>
      <c r="E576" s="221"/>
      <c r="F576" s="221"/>
      <c r="G576" s="240"/>
      <c r="H576" s="221"/>
      <c r="I576" s="240"/>
      <c r="J576" s="241"/>
      <c r="K576" s="241"/>
      <c r="L576" s="241"/>
      <c r="M576" s="225" t="s">
        <v>365</v>
      </c>
      <c r="N576" s="227"/>
      <c r="O576" s="241"/>
      <c r="P576" s="122"/>
      <c r="Q576" s="228"/>
      <c r="R576" s="231" t="str">
        <f t="shared" si="435"/>
        <v/>
      </c>
      <c r="S576" s="230" t="str">
        <f t="shared" si="424"/>
        <v/>
      </c>
      <c r="T576" s="231" t="str">
        <f>IF(OR(Q576="Y",IFERROR(R576&gt;R579+R583*$AA$35,0),IFERROR(R576&lt;R579-R583*$AA$35,0)),"",IFERROR(R576*N576,""))</f>
        <v/>
      </c>
      <c r="U576" s="232" t="str">
        <f t="shared" si="425"/>
        <v>%</v>
      </c>
      <c r="V576" s="28"/>
      <c r="W576" s="28"/>
      <c r="Y576" s="91"/>
      <c r="AO576" s="91"/>
      <c r="AP576" s="28"/>
      <c r="AQ576" s="28"/>
      <c r="AR576" s="237"/>
      <c r="AS576" s="28"/>
      <c r="AT576" s="304" t="str">
        <f t="shared" si="436"/>
        <v/>
      </c>
      <c r="AU576" s="304" t="str">
        <f t="shared" si="436"/>
        <v/>
      </c>
      <c r="AV576" s="28"/>
      <c r="AW576" s="304" t="str">
        <f t="shared" si="426"/>
        <v/>
      </c>
      <c r="AX576" s="304" t="str">
        <f t="shared" si="426"/>
        <v/>
      </c>
      <c r="AY576" s="28"/>
      <c r="AZ576" s="304" t="str">
        <f t="shared" si="427"/>
        <v/>
      </c>
      <c r="BA576" s="304" t="str">
        <f t="shared" si="427"/>
        <v/>
      </c>
      <c r="BB576" s="28"/>
      <c r="BC576" s="304" t="str">
        <f t="shared" si="428"/>
        <v/>
      </c>
      <c r="BD576" s="304" t="str">
        <f t="shared" si="428"/>
        <v/>
      </c>
      <c r="BE576" s="28"/>
      <c r="BF576" s="304" t="str">
        <f t="shared" si="429"/>
        <v/>
      </c>
      <c r="BG576" s="304" t="str">
        <f t="shared" si="429"/>
        <v/>
      </c>
      <c r="BH576" s="28"/>
      <c r="BI576" s="304" t="str">
        <f t="shared" si="430"/>
        <v/>
      </c>
      <c r="BJ576" s="304" t="str">
        <f t="shared" si="430"/>
        <v/>
      </c>
      <c r="BK576" s="28"/>
      <c r="BL576" s="304" t="str">
        <f t="shared" si="431"/>
        <v/>
      </c>
      <c r="BM576" s="304" t="str">
        <f t="shared" si="431"/>
        <v/>
      </c>
      <c r="BN576" s="28"/>
      <c r="BO576" s="304" t="str">
        <f t="shared" si="432"/>
        <v/>
      </c>
      <c r="BP576" s="304" t="str">
        <f t="shared" si="432"/>
        <v/>
      </c>
      <c r="BQ576" s="28"/>
      <c r="BR576" s="304" t="str">
        <f t="shared" si="433"/>
        <v/>
      </c>
      <c r="BS576" s="304" t="str">
        <f t="shared" si="433"/>
        <v/>
      </c>
      <c r="BT576" s="28"/>
      <c r="BU576" s="304" t="str">
        <f t="shared" si="434"/>
        <v/>
      </c>
      <c r="BV576" s="304" t="str">
        <f t="shared" si="434"/>
        <v/>
      </c>
      <c r="BW576" s="28"/>
      <c r="BX576" s="91"/>
    </row>
    <row r="577" spans="1:76" s="55" customFormat="1" x14ac:dyDescent="0.25">
      <c r="A577" s="195">
        <v>19</v>
      </c>
      <c r="B577" s="216" t="str">
        <f t="shared" si="423"/>
        <v xml:space="preserve">: </v>
      </c>
      <c r="C577" s="221"/>
      <c r="D577" s="221"/>
      <c r="E577" s="221"/>
      <c r="F577" s="221"/>
      <c r="G577" s="240"/>
      <c r="H577" s="221"/>
      <c r="I577" s="240"/>
      <c r="J577" s="241"/>
      <c r="K577" s="241"/>
      <c r="L577" s="241"/>
      <c r="M577" s="225" t="s">
        <v>365</v>
      </c>
      <c r="N577" s="227"/>
      <c r="O577" s="241"/>
      <c r="P577" s="122"/>
      <c r="Q577" s="228"/>
      <c r="R577" s="231" t="str">
        <f t="shared" si="435"/>
        <v/>
      </c>
      <c r="S577" s="230" t="str">
        <f t="shared" si="424"/>
        <v/>
      </c>
      <c r="T577" s="231" t="str">
        <f>IF(OR(Q577="Y",IFERROR(R577&gt;R579+R583*$AA$35,0),IFERROR(R577&lt;R579-R583*$AA$35,0)),"",IFERROR(R577*N577,""))</f>
        <v/>
      </c>
      <c r="U577" s="232" t="str">
        <f t="shared" si="425"/>
        <v>%</v>
      </c>
      <c r="V577" s="28"/>
      <c r="W577" s="28"/>
      <c r="Y577" s="91"/>
      <c r="AO577" s="91"/>
      <c r="AP577" s="28"/>
      <c r="AQ577" s="28"/>
      <c r="AR577" s="237"/>
      <c r="AS577" s="28"/>
      <c r="AT577" s="304" t="str">
        <f t="shared" si="436"/>
        <v/>
      </c>
      <c r="AU577" s="304" t="str">
        <f t="shared" si="436"/>
        <v/>
      </c>
      <c r="AV577" s="28"/>
      <c r="AW577" s="304" t="str">
        <f t="shared" si="426"/>
        <v/>
      </c>
      <c r="AX577" s="304" t="str">
        <f t="shared" si="426"/>
        <v/>
      </c>
      <c r="AY577" s="28"/>
      <c r="AZ577" s="304" t="str">
        <f t="shared" si="427"/>
        <v/>
      </c>
      <c r="BA577" s="304" t="str">
        <f t="shared" si="427"/>
        <v/>
      </c>
      <c r="BB577" s="28"/>
      <c r="BC577" s="304" t="str">
        <f t="shared" si="428"/>
        <v/>
      </c>
      <c r="BD577" s="304" t="str">
        <f t="shared" si="428"/>
        <v/>
      </c>
      <c r="BE577" s="28"/>
      <c r="BF577" s="304" t="str">
        <f t="shared" si="429"/>
        <v/>
      </c>
      <c r="BG577" s="304" t="str">
        <f t="shared" si="429"/>
        <v/>
      </c>
      <c r="BH577" s="28"/>
      <c r="BI577" s="304" t="str">
        <f t="shared" si="430"/>
        <v/>
      </c>
      <c r="BJ577" s="304" t="str">
        <f t="shared" si="430"/>
        <v/>
      </c>
      <c r="BK577" s="28"/>
      <c r="BL577" s="304" t="str">
        <f t="shared" si="431"/>
        <v/>
      </c>
      <c r="BM577" s="304" t="str">
        <f t="shared" si="431"/>
        <v/>
      </c>
      <c r="BN577" s="28"/>
      <c r="BO577" s="304" t="str">
        <f t="shared" si="432"/>
        <v/>
      </c>
      <c r="BP577" s="304" t="str">
        <f t="shared" si="432"/>
        <v/>
      </c>
      <c r="BQ577" s="28"/>
      <c r="BR577" s="304" t="str">
        <f t="shared" si="433"/>
        <v/>
      </c>
      <c r="BS577" s="304" t="str">
        <f t="shared" si="433"/>
        <v/>
      </c>
      <c r="BT577" s="28"/>
      <c r="BU577" s="304" t="str">
        <f t="shared" si="434"/>
        <v/>
      </c>
      <c r="BV577" s="304" t="str">
        <f t="shared" si="434"/>
        <v/>
      </c>
      <c r="BW577" s="28"/>
      <c r="BX577" s="91"/>
    </row>
    <row r="578" spans="1:76" s="55" customFormat="1" x14ac:dyDescent="0.25">
      <c r="A578" s="195">
        <v>20</v>
      </c>
      <c r="B578" s="216" t="str">
        <f t="shared" si="423"/>
        <v xml:space="preserve">: </v>
      </c>
      <c r="C578" s="221"/>
      <c r="D578" s="221"/>
      <c r="E578" s="221"/>
      <c r="F578" s="221"/>
      <c r="G578" s="240"/>
      <c r="H578" s="221"/>
      <c r="I578" s="240"/>
      <c r="J578" s="241"/>
      <c r="K578" s="241"/>
      <c r="L578" s="241"/>
      <c r="M578" s="225" t="s">
        <v>365</v>
      </c>
      <c r="N578" s="227"/>
      <c r="O578" s="241"/>
      <c r="P578" s="122"/>
      <c r="Q578" s="228"/>
      <c r="R578" s="231" t="str">
        <f t="shared" si="435"/>
        <v/>
      </c>
      <c r="S578" s="230" t="str">
        <f t="shared" si="424"/>
        <v/>
      </c>
      <c r="T578" s="231" t="str">
        <f>IF(OR(Q578="Y",IFERROR(R578&gt;R579+R583*$AA$35,0),IFERROR(R578&lt;R579-R583*$AA$35,0)),"",IFERROR(R578*N578,""))</f>
        <v/>
      </c>
      <c r="U578" s="232" t="str">
        <f t="shared" si="425"/>
        <v>%</v>
      </c>
      <c r="V578" s="28"/>
      <c r="W578" s="28"/>
      <c r="Y578" s="91"/>
      <c r="AO578" s="91"/>
      <c r="AP578" s="28"/>
      <c r="AQ578" s="28"/>
      <c r="AR578" s="237"/>
      <c r="AS578" s="28"/>
      <c r="AT578" s="304" t="str">
        <f t="shared" si="436"/>
        <v/>
      </c>
      <c r="AU578" s="304" t="str">
        <f t="shared" si="436"/>
        <v/>
      </c>
      <c r="AV578" s="28"/>
      <c r="AW578" s="304" t="str">
        <f t="shared" si="426"/>
        <v/>
      </c>
      <c r="AX578" s="304" t="str">
        <f t="shared" si="426"/>
        <v/>
      </c>
      <c r="AY578" s="28"/>
      <c r="AZ578" s="304" t="str">
        <f t="shared" si="427"/>
        <v/>
      </c>
      <c r="BA578" s="304" t="str">
        <f t="shared" si="427"/>
        <v/>
      </c>
      <c r="BB578" s="28"/>
      <c r="BC578" s="304" t="str">
        <f t="shared" si="428"/>
        <v/>
      </c>
      <c r="BD578" s="304" t="str">
        <f t="shared" si="428"/>
        <v/>
      </c>
      <c r="BE578" s="28"/>
      <c r="BF578" s="304" t="str">
        <f t="shared" si="429"/>
        <v/>
      </c>
      <c r="BG578" s="304" t="str">
        <f t="shared" si="429"/>
        <v/>
      </c>
      <c r="BH578" s="28"/>
      <c r="BI578" s="304" t="str">
        <f t="shared" si="430"/>
        <v/>
      </c>
      <c r="BJ578" s="304" t="str">
        <f t="shared" si="430"/>
        <v/>
      </c>
      <c r="BK578" s="28"/>
      <c r="BL578" s="304" t="str">
        <f t="shared" si="431"/>
        <v/>
      </c>
      <c r="BM578" s="304" t="str">
        <f t="shared" si="431"/>
        <v/>
      </c>
      <c r="BN578" s="28"/>
      <c r="BO578" s="304" t="str">
        <f t="shared" si="432"/>
        <v/>
      </c>
      <c r="BP578" s="304" t="str">
        <f t="shared" si="432"/>
        <v/>
      </c>
      <c r="BQ578" s="28"/>
      <c r="BR578" s="304" t="str">
        <f t="shared" si="433"/>
        <v/>
      </c>
      <c r="BS578" s="304" t="str">
        <f t="shared" si="433"/>
        <v/>
      </c>
      <c r="BT578" s="28"/>
      <c r="BU578" s="304" t="str">
        <f t="shared" si="434"/>
        <v/>
      </c>
      <c r="BV578" s="304" t="str">
        <f t="shared" si="434"/>
        <v/>
      </c>
      <c r="BW578" s="28"/>
      <c r="BX578" s="91"/>
    </row>
    <row r="579" spans="1:76" s="55" customFormat="1" x14ac:dyDescent="0.25">
      <c r="A579" s="195"/>
      <c r="B579" s="244" t="s">
        <v>163</v>
      </c>
      <c r="C579" s="199"/>
      <c r="D579" s="199"/>
      <c r="E579" s="199"/>
      <c r="F579" s="199"/>
      <c r="G579" s="122"/>
      <c r="H579" s="28"/>
      <c r="I579" s="245"/>
      <c r="J579" s="122"/>
      <c r="K579" s="122"/>
      <c r="L579" s="122" t="s">
        <v>134</v>
      </c>
      <c r="M579" s="359"/>
      <c r="N579" s="359"/>
      <c r="O579" s="122"/>
      <c r="P579" s="122"/>
      <c r="Q579" s="305" t="s">
        <v>136</v>
      </c>
      <c r="R579" s="246" t="e">
        <f>AVERAGE(R559:R578)</f>
        <v>#DIV/0!</v>
      </c>
      <c r="S579" s="247" t="e">
        <f>IF(R587="Y",SUM(S559:S578)/SUMPRODUCT(N559:N578,--ISNUMBER(S559:S578)),AVERAGE(S559:S578))</f>
        <v>#DIV/0!</v>
      </c>
      <c r="T579" s="248" t="e">
        <f>SUM(T559:T578)/SUMPRODUCT(N559:N578,--ISNUMBER(T559:T578))</f>
        <v>#DIV/0!</v>
      </c>
      <c r="U579" s="28"/>
      <c r="V579" s="28"/>
      <c r="W579" s="28"/>
      <c r="Y579" s="249"/>
      <c r="AO579" s="91"/>
      <c r="AP579" s="28"/>
      <c r="AQ579" s="28"/>
      <c r="AR579" s="28"/>
      <c r="AS579" s="245" t="s">
        <v>136</v>
      </c>
      <c r="AT579" s="307" t="e">
        <f>AVERAGE(AT559:AT578)</f>
        <v>#DIV/0!</v>
      </c>
      <c r="AU579" s="307" t="e">
        <f>SUM(AU559:AU578)/COUNTIF(AU559:AU578,"&gt;0")</f>
        <v>#DIV/0!</v>
      </c>
      <c r="AV579" s="245"/>
      <c r="AW579" s="307" t="e">
        <f>AVERAGE(AW559:AW578)</f>
        <v>#DIV/0!</v>
      </c>
      <c r="AX579" s="307" t="e">
        <f>SUM(AX559:AX578)/COUNTIF(AX559:AX578,"&gt;0")</f>
        <v>#DIV/0!</v>
      </c>
      <c r="AY579" s="28"/>
      <c r="AZ579" s="307" t="e">
        <f>AVERAGE(AZ559:AZ578)</f>
        <v>#DIV/0!</v>
      </c>
      <c r="BA579" s="307" t="e">
        <f>SUM(BA559:BA578)/COUNTIF(BA559:BA578,"&gt;0")</f>
        <v>#DIV/0!</v>
      </c>
      <c r="BB579" s="28"/>
      <c r="BC579" s="307" t="e">
        <f>AVERAGE(BC559:BC578)</f>
        <v>#DIV/0!</v>
      </c>
      <c r="BD579" s="307" t="e">
        <f>SUM(BD559:BD578)/COUNTIF(BD559:BD578,"&gt;0")</f>
        <v>#DIV/0!</v>
      </c>
      <c r="BE579" s="28"/>
      <c r="BF579" s="307" t="e">
        <f>AVERAGE(BF559:BF578)</f>
        <v>#DIV/0!</v>
      </c>
      <c r="BG579" s="307" t="e">
        <f>SUM(BG559:BG578)/COUNTIF(BG559:BG578,"&gt;0")</f>
        <v>#DIV/0!</v>
      </c>
      <c r="BH579" s="28"/>
      <c r="BI579" s="307" t="e">
        <f>AVERAGE(BI559:BI578)</f>
        <v>#DIV/0!</v>
      </c>
      <c r="BJ579" s="307" t="e">
        <f>SUM(BJ559:BJ578)/COUNTIF(BJ559:BJ578,"&gt;0")</f>
        <v>#DIV/0!</v>
      </c>
      <c r="BK579" s="245"/>
      <c r="BL579" s="307" t="e">
        <f>AVERAGE(BL559:BL578)</f>
        <v>#DIV/0!</v>
      </c>
      <c r="BM579" s="307" t="e">
        <f>SUM(BM559:BM578)/COUNTIF(BM559:BM578,"&gt;0")</f>
        <v>#DIV/0!</v>
      </c>
      <c r="BN579" s="28"/>
      <c r="BO579" s="307" t="e">
        <f>AVERAGE(BO559:BO578)</f>
        <v>#DIV/0!</v>
      </c>
      <c r="BP579" s="307" t="e">
        <f>SUM(BP559:BP578)/COUNTIF(BP559:BP578,"&gt;0")</f>
        <v>#DIV/0!</v>
      </c>
      <c r="BQ579" s="28"/>
      <c r="BR579" s="307" t="e">
        <f>AVERAGE(BR559:BR578)</f>
        <v>#DIV/0!</v>
      </c>
      <c r="BS579" s="307" t="e">
        <f>SUM(BS559:BS578)/COUNTIF(BS559:BS578,"&gt;0")</f>
        <v>#DIV/0!</v>
      </c>
      <c r="BT579" s="28"/>
      <c r="BU579" s="307" t="e">
        <f>AVERAGE(BU559:BU578)</f>
        <v>#DIV/0!</v>
      </c>
      <c r="BV579" s="307" t="e">
        <f>SUM(BV559:BV578)/COUNTIF(BV559:BV578,"&gt;0")</f>
        <v>#DIV/0!</v>
      </c>
      <c r="BW579" s="28"/>
      <c r="BX579" s="91"/>
    </row>
    <row r="580" spans="1:76" s="55" customFormat="1" x14ac:dyDescent="0.25">
      <c r="A580" s="195"/>
      <c r="B580" s="244" t="s">
        <v>164</v>
      </c>
      <c r="C580" s="199" t="s">
        <v>139</v>
      </c>
      <c r="D580" s="252"/>
      <c r="E580" s="253"/>
      <c r="F580" s="253"/>
      <c r="G580" s="253"/>
      <c r="H580" s="253"/>
      <c r="I580" s="253"/>
      <c r="J580" s="254"/>
      <c r="K580" s="122"/>
      <c r="L580" s="122"/>
      <c r="M580" s="122"/>
      <c r="N580" s="122"/>
      <c r="O580" s="122"/>
      <c r="P580" s="122"/>
      <c r="Q580" s="306" t="s">
        <v>144</v>
      </c>
      <c r="R580" s="257" t="e">
        <f>R579+U580*R583</f>
        <v>#DIV/0!</v>
      </c>
      <c r="S580" s="257" t="e">
        <f>S579+U580*S583</f>
        <v>#DIV/0!</v>
      </c>
      <c r="T580" s="257" t="e">
        <f>T579+U580*T583</f>
        <v>#DIV/0!</v>
      </c>
      <c r="U580" s="258">
        <v>1</v>
      </c>
      <c r="V580" s="122" t="s">
        <v>142</v>
      </c>
      <c r="W580" s="28"/>
      <c r="X580" s="259" t="s">
        <v>143</v>
      </c>
      <c r="Y580" s="260"/>
      <c r="AO580" s="91"/>
      <c r="AP580" s="28"/>
      <c r="AQ580" s="28"/>
      <c r="AR580" s="28"/>
      <c r="AS580" s="256" t="s">
        <v>144</v>
      </c>
      <c r="AT580" s="261" t="e">
        <f>AT579+(AT585*AT582)</f>
        <v>#DIV/0!</v>
      </c>
      <c r="AU580" s="261" t="e">
        <f>AU579+(AU585*AT582)</f>
        <v>#DIV/0!</v>
      </c>
      <c r="AV580" s="256"/>
      <c r="AW580" s="261" t="e">
        <f>AW579+(AW585*AW582)</f>
        <v>#DIV/0!</v>
      </c>
      <c r="AX580" s="261" t="e">
        <f>AX579+(AX585*AW582)</f>
        <v>#DIV/0!</v>
      </c>
      <c r="AY580" s="28"/>
      <c r="AZ580" s="261" t="e">
        <f>AZ579+(AZ585*AZ582)</f>
        <v>#DIV/0!</v>
      </c>
      <c r="BA580" s="261" t="e">
        <f>BA579+(BA585*AZ582)</f>
        <v>#DIV/0!</v>
      </c>
      <c r="BB580" s="28"/>
      <c r="BC580" s="261" t="e">
        <f>BC579+(BC585*BC582)</f>
        <v>#DIV/0!</v>
      </c>
      <c r="BD580" s="261" t="e">
        <f>BD579+(BD585*BC582)</f>
        <v>#DIV/0!</v>
      </c>
      <c r="BE580" s="28"/>
      <c r="BF580" s="261" t="e">
        <f>BF579+(BF585*BF582)</f>
        <v>#DIV/0!</v>
      </c>
      <c r="BG580" s="261" t="e">
        <f>BG579+(BG585*BF582)</f>
        <v>#DIV/0!</v>
      </c>
      <c r="BH580" s="28"/>
      <c r="BI580" s="261" t="e">
        <f>BI579+(BI585*BI582)</f>
        <v>#DIV/0!</v>
      </c>
      <c r="BJ580" s="261" t="e">
        <f>BJ579+(BJ585*BI582)</f>
        <v>#DIV/0!</v>
      </c>
      <c r="BK580" s="256"/>
      <c r="BL580" s="261" t="e">
        <f>BL579+(BL585*BL582)</f>
        <v>#DIV/0!</v>
      </c>
      <c r="BM580" s="261" t="e">
        <f>BM579+(BM585*BL582)</f>
        <v>#DIV/0!</v>
      </c>
      <c r="BN580" s="28"/>
      <c r="BO580" s="261" t="e">
        <f>BO579+(BO585*BO582)</f>
        <v>#DIV/0!</v>
      </c>
      <c r="BP580" s="261" t="e">
        <f>BP579+(BP585*BO582)</f>
        <v>#DIV/0!</v>
      </c>
      <c r="BQ580" s="28"/>
      <c r="BR580" s="261" t="e">
        <f>BR579+(BR585*BR582)</f>
        <v>#DIV/0!</v>
      </c>
      <c r="BS580" s="261" t="e">
        <f>BS579+(BS585*BR582)</f>
        <v>#DIV/0!</v>
      </c>
      <c r="BT580" s="28"/>
      <c r="BU580" s="261" t="e">
        <f>BU579+(BU585*BU582)</f>
        <v>#DIV/0!</v>
      </c>
      <c r="BV580" s="261" t="e">
        <f>BV579+(BV585*BU582)</f>
        <v>#DIV/0!</v>
      </c>
      <c r="BW580" s="28"/>
      <c r="BX580" s="91"/>
    </row>
    <row r="581" spans="1:76" s="55" customFormat="1" x14ac:dyDescent="0.25">
      <c r="A581" s="195"/>
      <c r="B581" s="244" t="s">
        <v>165</v>
      </c>
      <c r="C581" s="195"/>
      <c r="D581" s="263"/>
      <c r="E581" s="264"/>
      <c r="F581" s="264"/>
      <c r="G581" s="264"/>
      <c r="H581" s="264"/>
      <c r="I581" s="264"/>
      <c r="J581" s="265"/>
      <c r="K581" s="28"/>
      <c r="L581" s="28"/>
      <c r="M581" s="122"/>
      <c r="N581" s="122"/>
      <c r="O581" s="122"/>
      <c r="P581" s="122"/>
      <c r="Q581" s="306" t="s">
        <v>150</v>
      </c>
      <c r="R581" s="257" t="e">
        <f>IF($X581="Y",MIN(R559:R578),R579-$U581*R583)</f>
        <v>#DIV/0!</v>
      </c>
      <c r="S581" s="257" t="e">
        <f t="shared" ref="S581:T581" si="437">IF($X581="Y",MIN(S559:S578),S579-$U581*S583)</f>
        <v>#DIV/0!</v>
      </c>
      <c r="T581" s="257" t="e">
        <f t="shared" si="437"/>
        <v>#DIV/0!</v>
      </c>
      <c r="U581" s="258">
        <v>1</v>
      </c>
      <c r="V581" s="122" t="s">
        <v>148</v>
      </c>
      <c r="W581" s="28"/>
      <c r="X581" s="266" t="s">
        <v>149</v>
      </c>
      <c r="Y581" s="260"/>
      <c r="AO581" s="91"/>
      <c r="AP581" s="28"/>
      <c r="AQ581" s="28"/>
      <c r="AR581" s="28"/>
      <c r="AS581" s="256" t="s">
        <v>150</v>
      </c>
      <c r="AT581" s="261" t="e">
        <f>AT579-(AT585*AT583)</f>
        <v>#DIV/0!</v>
      </c>
      <c r="AU581" s="261" t="e">
        <f>AU579-(AU585*AT583)</f>
        <v>#DIV/0!</v>
      </c>
      <c r="AV581" s="256"/>
      <c r="AW581" s="261" t="e">
        <f>AW579-(AW585*AW583)</f>
        <v>#DIV/0!</v>
      </c>
      <c r="AX581" s="261" t="e">
        <f>AX579-(AX585*AW583)</f>
        <v>#DIV/0!</v>
      </c>
      <c r="AY581" s="28"/>
      <c r="AZ581" s="261" t="e">
        <f>AZ579-(AZ585*AZ583)</f>
        <v>#DIV/0!</v>
      </c>
      <c r="BA581" s="261" t="e">
        <f>BA579-(BA585*AZ583)</f>
        <v>#DIV/0!</v>
      </c>
      <c r="BB581" s="28"/>
      <c r="BC581" s="261" t="e">
        <f>BC579-(BC585*BC583)</f>
        <v>#DIV/0!</v>
      </c>
      <c r="BD581" s="261" t="e">
        <f>BD579-(BD585*BC583)</f>
        <v>#DIV/0!</v>
      </c>
      <c r="BE581" s="28"/>
      <c r="BF581" s="261" t="e">
        <f>BF579-(BF585*BF583)</f>
        <v>#DIV/0!</v>
      </c>
      <c r="BG581" s="261" t="e">
        <f>BG579-(BG585*BF583)</f>
        <v>#DIV/0!</v>
      </c>
      <c r="BH581" s="28"/>
      <c r="BI581" s="261" t="e">
        <f>BI579-(BI585*BI583)</f>
        <v>#DIV/0!</v>
      </c>
      <c r="BJ581" s="261" t="e">
        <f>BJ579-(BJ585*BI583)</f>
        <v>#DIV/0!</v>
      </c>
      <c r="BK581" s="256"/>
      <c r="BL581" s="261" t="e">
        <f>BL579-(BL585*BL583)</f>
        <v>#DIV/0!</v>
      </c>
      <c r="BM581" s="261" t="e">
        <f>BM579-(BM585*BL583)</f>
        <v>#DIV/0!</v>
      </c>
      <c r="BN581" s="28"/>
      <c r="BO581" s="261" t="e">
        <f>BO579-(BO585*BO583)</f>
        <v>#DIV/0!</v>
      </c>
      <c r="BP581" s="261" t="e">
        <f>BP579-(BP585*BO583)</f>
        <v>#DIV/0!</v>
      </c>
      <c r="BQ581" s="28"/>
      <c r="BR581" s="261" t="e">
        <f>BR579-(BR585*BR583)</f>
        <v>#DIV/0!</v>
      </c>
      <c r="BS581" s="261" t="e">
        <f>BS579-(BS585*BR583)</f>
        <v>#DIV/0!</v>
      </c>
      <c r="BT581" s="28"/>
      <c r="BU581" s="261" t="e">
        <f>BU579-(BU585*BU583)</f>
        <v>#DIV/0!</v>
      </c>
      <c r="BV581" s="261" t="e">
        <f>BV579-(BV585*BU583)</f>
        <v>#DIV/0!</v>
      </c>
      <c r="BW581" s="28"/>
      <c r="BX581" s="91"/>
    </row>
    <row r="582" spans="1:76" s="55" customFormat="1" ht="14.25" x14ac:dyDescent="0.2">
      <c r="A582" s="195"/>
      <c r="B582" s="196"/>
      <c r="C582" s="195"/>
      <c r="D582" s="263"/>
      <c r="E582" s="264"/>
      <c r="F582" s="264"/>
      <c r="G582" s="264"/>
      <c r="H582" s="264"/>
      <c r="I582" s="264"/>
      <c r="J582" s="265"/>
      <c r="K582" s="122"/>
      <c r="L582" s="122"/>
      <c r="M582" s="122"/>
      <c r="N582" s="122"/>
      <c r="O582" s="122"/>
      <c r="P582" s="122"/>
      <c r="Q582" s="306" t="s">
        <v>151</v>
      </c>
      <c r="R582" s="257" t="e">
        <f>IF((0.67*R583)&gt;R579,"no","yes")</f>
        <v>#DIV/0!</v>
      </c>
      <c r="S582" s="257" t="e">
        <f>IF((0.67*S583)&gt;S579,"no","yes")</f>
        <v>#DIV/0!</v>
      </c>
      <c r="T582" s="257" t="e">
        <f>IF((0.67*T583)&gt;T579,"no","yes")</f>
        <v>#DIV/0!</v>
      </c>
      <c r="U582" s="122"/>
      <c r="V582" s="122"/>
      <c r="W582" s="122"/>
      <c r="Y582" s="260"/>
      <c r="AO582" s="91"/>
      <c r="AP582" s="122"/>
      <c r="AQ582" s="122"/>
      <c r="AR582" s="360" t="s">
        <v>152</v>
      </c>
      <c r="AS582" s="308"/>
      <c r="AT582" s="258">
        <v>1</v>
      </c>
      <c r="AU582" s="122"/>
      <c r="AV582" s="308"/>
      <c r="AW582" s="258">
        <v>1</v>
      </c>
      <c r="AX582" s="122"/>
      <c r="AY582" s="122"/>
      <c r="AZ582" s="258">
        <v>1</v>
      </c>
      <c r="BA582" s="122"/>
      <c r="BB582" s="122"/>
      <c r="BC582" s="258">
        <v>1</v>
      </c>
      <c r="BD582" s="122"/>
      <c r="BE582" s="122"/>
      <c r="BF582" s="258">
        <v>1</v>
      </c>
      <c r="BG582" s="122"/>
      <c r="BH582" s="122"/>
      <c r="BI582" s="258">
        <v>1</v>
      </c>
      <c r="BJ582" s="122"/>
      <c r="BK582" s="256"/>
      <c r="BL582" s="258">
        <v>1</v>
      </c>
      <c r="BM582" s="122"/>
      <c r="BN582" s="122"/>
      <c r="BO582" s="258">
        <v>1</v>
      </c>
      <c r="BP582" s="122"/>
      <c r="BQ582" s="122"/>
      <c r="BR582" s="258">
        <v>1</v>
      </c>
      <c r="BS582" s="122"/>
      <c r="BT582" s="122"/>
      <c r="BU582" s="258">
        <v>1</v>
      </c>
      <c r="BV582" s="122"/>
      <c r="BW582" s="122"/>
      <c r="BX582" s="91"/>
    </row>
    <row r="583" spans="1:76" s="55" customFormat="1" ht="28.5" x14ac:dyDescent="0.2">
      <c r="A583" s="270" t="e">
        <f ca="1">HYPERLINK("#"&amp;"'"&amp;A$1&amp;"'!a1","Back to top")</f>
        <v>#VALUE!</v>
      </c>
      <c r="B583" s="271"/>
      <c r="C583" s="195"/>
      <c r="D583" s="263"/>
      <c r="E583" s="264"/>
      <c r="F583" s="264"/>
      <c r="G583" s="264"/>
      <c r="H583" s="264"/>
      <c r="I583" s="264"/>
      <c r="J583" s="265"/>
      <c r="K583" s="122"/>
      <c r="L583" s="122"/>
      <c r="M583" s="122"/>
      <c r="N583" s="122"/>
      <c r="O583" s="122"/>
      <c r="P583" s="122"/>
      <c r="Q583" s="306" t="s">
        <v>157</v>
      </c>
      <c r="R583" s="257">
        <f>IF(COUNT(R559:R578)&gt;1,_xlfn.STDEV.S(R559:R578),0)</f>
        <v>0</v>
      </c>
      <c r="S583" s="257" t="e">
        <f t="array" ref="S583">IF(R587="Y",SQRT(SUM(IFERROR(N559:N578*(R559:R578-(S579))^2,0))/((COUNT(S559:S578)-1)/COUNT(S559:S578)*SUMPRODUCT(N559:N578,--ISNUMBER(S559:S578)))),_xlfn.STDEV.S(S559:S578))</f>
        <v>#DIV/0!</v>
      </c>
      <c r="T583" s="257" t="e">
        <f t="array" ref="T583">SQRT(SUM(IFERROR(N559:N578*(R559:R578-(T579))^2,0))/((COUNT(T559:T578)-1)/COUNT(T559:T578)*SUMPRODUCT(N559:N578,--ISNUMBER(T559:T578))))</f>
        <v>#DIV/0!</v>
      </c>
      <c r="U583" s="122"/>
      <c r="V583" s="122"/>
      <c r="W583" s="122"/>
      <c r="Y583" s="260"/>
      <c r="AO583" s="91"/>
      <c r="AP583" s="122"/>
      <c r="AQ583" s="122"/>
      <c r="AR583" s="360"/>
      <c r="AS583" s="308"/>
      <c r="AT583" s="258">
        <v>1</v>
      </c>
      <c r="AU583" s="122"/>
      <c r="AV583" s="308"/>
      <c r="AW583" s="258">
        <v>1</v>
      </c>
      <c r="AX583" s="122"/>
      <c r="AY583" s="122"/>
      <c r="AZ583" s="258">
        <v>1</v>
      </c>
      <c r="BA583" s="122"/>
      <c r="BB583" s="122"/>
      <c r="BC583" s="258">
        <v>1</v>
      </c>
      <c r="BD583" s="122"/>
      <c r="BE583" s="122"/>
      <c r="BF583" s="258">
        <v>1</v>
      </c>
      <c r="BG583" s="122"/>
      <c r="BH583" s="122"/>
      <c r="BI583" s="258">
        <v>1</v>
      </c>
      <c r="BJ583" s="122"/>
      <c r="BK583" s="256"/>
      <c r="BL583" s="258">
        <v>1</v>
      </c>
      <c r="BM583" s="122"/>
      <c r="BN583" s="122"/>
      <c r="BO583" s="258">
        <v>1</v>
      </c>
      <c r="BP583" s="122"/>
      <c r="BQ583" s="122"/>
      <c r="BR583" s="258">
        <v>1</v>
      </c>
      <c r="BS583" s="122"/>
      <c r="BT583" s="122"/>
      <c r="BU583" s="258">
        <v>1</v>
      </c>
      <c r="BV583" s="122"/>
      <c r="BW583" s="122"/>
      <c r="BX583" s="91"/>
    </row>
    <row r="584" spans="1:76" s="55" customFormat="1" x14ac:dyDescent="0.25">
      <c r="A584" s="195"/>
      <c r="B584" s="196"/>
      <c r="C584" s="195"/>
      <c r="D584" s="263"/>
      <c r="E584" s="264"/>
      <c r="F584" s="264"/>
      <c r="G584" s="264"/>
      <c r="H584" s="264"/>
      <c r="I584" s="264"/>
      <c r="J584" s="265"/>
      <c r="K584" s="122"/>
      <c r="L584" s="122"/>
      <c r="M584" s="122"/>
      <c r="N584" s="122"/>
      <c r="O584" s="122"/>
      <c r="P584" s="122"/>
      <c r="Q584" s="309" t="s">
        <v>159</v>
      </c>
      <c r="R584" s="310">
        <f>COUNT(R559:R578)</f>
        <v>0</v>
      </c>
      <c r="S584" s="310">
        <f>COUNT(S559:S578)</f>
        <v>0</v>
      </c>
      <c r="T584" s="118"/>
      <c r="U584" s="273" t="s">
        <v>155</v>
      </c>
      <c r="V584" s="122"/>
      <c r="W584" s="122"/>
      <c r="Y584" s="91"/>
      <c r="AO584" s="91"/>
      <c r="AP584" s="122"/>
      <c r="AQ584" s="122"/>
      <c r="AR584" s="122"/>
      <c r="AS584" s="256" t="s">
        <v>151</v>
      </c>
      <c r="AT584" s="261" t="e">
        <f>IF((0.67*AT585)&gt;AT579,"no","yes")</f>
        <v>#DIV/0!</v>
      </c>
      <c r="AU584" s="261" t="e">
        <f>IF((0.67*AU585)&gt;AU579,"no","yes")</f>
        <v>#DIV/0!</v>
      </c>
      <c r="AV584" s="256"/>
      <c r="AW584" s="261" t="e">
        <f>IF((0.67*AW585)&gt;AW579,"no","yes")</f>
        <v>#DIV/0!</v>
      </c>
      <c r="AX584" s="261" t="e">
        <f>IF((0.67*AX585)&gt;AX579,"no","yes")</f>
        <v>#DIV/0!</v>
      </c>
      <c r="AY584" s="122"/>
      <c r="AZ584" s="261" t="e">
        <f>IF((0.67*AZ585)&gt;AZ579,"no","yes")</f>
        <v>#DIV/0!</v>
      </c>
      <c r="BA584" s="261" t="e">
        <f>IF((0.67*BA585)&gt;BA579,"no","yes")</f>
        <v>#DIV/0!</v>
      </c>
      <c r="BB584" s="122"/>
      <c r="BC584" s="261" t="e">
        <f>IF((0.67*BC585)&gt;BC579,"no","yes")</f>
        <v>#DIV/0!</v>
      </c>
      <c r="BD584" s="261" t="e">
        <f>IF((0.67*BD585)&gt;BD579,"no","yes")</f>
        <v>#DIV/0!</v>
      </c>
      <c r="BE584" s="122"/>
      <c r="BF584" s="261" t="e">
        <f>IF((0.67*BF585)&gt;BF579,"no","yes")</f>
        <v>#DIV/0!</v>
      </c>
      <c r="BG584" s="261" t="e">
        <f>IF((0.67*BG585)&gt;BG579,"no","yes")</f>
        <v>#DIV/0!</v>
      </c>
      <c r="BH584" s="122"/>
      <c r="BI584" s="261" t="e">
        <f>IF((0.67*BI585)&gt;BI579,"no","yes")</f>
        <v>#DIV/0!</v>
      </c>
      <c r="BJ584" s="261" t="e">
        <f>IF((0.67*BJ585)&gt;BJ579,"no","yes")</f>
        <v>#DIV/0!</v>
      </c>
      <c r="BK584" s="133"/>
      <c r="BL584" s="261" t="e">
        <f>IF((0.67*BL585)&gt;BL579,"no","yes")</f>
        <v>#DIV/0!</v>
      </c>
      <c r="BM584" s="261" t="e">
        <f>IF((0.67*BM585)&gt;BM579,"no","yes")</f>
        <v>#DIV/0!</v>
      </c>
      <c r="BN584" s="122"/>
      <c r="BO584" s="261" t="e">
        <f>IF((0.67*BO585)&gt;BO579,"no","yes")</f>
        <v>#DIV/0!</v>
      </c>
      <c r="BP584" s="261" t="e">
        <f>IF((0.67*BP585)&gt;BP579,"no","yes")</f>
        <v>#DIV/0!</v>
      </c>
      <c r="BQ584" s="122"/>
      <c r="BR584" s="261" t="e">
        <f>IF((0.67*BR585)&gt;BR579,"no","yes")</f>
        <v>#DIV/0!</v>
      </c>
      <c r="BS584" s="261" t="e">
        <f>IF((0.67*BS585)&gt;BS579,"no","yes")</f>
        <v>#DIV/0!</v>
      </c>
      <c r="BT584" s="122"/>
      <c r="BU584" s="261" t="e">
        <f>IF((0.67*BU585)&gt;BU579,"no","yes")</f>
        <v>#DIV/0!</v>
      </c>
      <c r="BV584" s="261" t="e">
        <f>IF((0.67*BV585)&gt;BV579,"no","yes")</f>
        <v>#DIV/0!</v>
      </c>
      <c r="BW584" s="122"/>
      <c r="BX584" s="91"/>
    </row>
    <row r="585" spans="1:76" s="55" customFormat="1" ht="14.25" x14ac:dyDescent="0.2">
      <c r="A585" s="195"/>
      <c r="B585" s="196"/>
      <c r="C585" s="195"/>
      <c r="D585" s="263"/>
      <c r="E585" s="264"/>
      <c r="F585" s="264"/>
      <c r="G585" s="264"/>
      <c r="H585" s="264"/>
      <c r="I585" s="264"/>
      <c r="J585" s="265"/>
      <c r="K585" s="122"/>
      <c r="L585" s="122"/>
      <c r="M585" s="122"/>
      <c r="N585" s="122"/>
      <c r="O585" s="122"/>
      <c r="P585" s="122"/>
      <c r="Q585" s="311"/>
      <c r="R585" s="118"/>
      <c r="S585" s="118"/>
      <c r="T585" s="118"/>
      <c r="U585" s="274"/>
      <c r="V585" s="275"/>
      <c r="W585" s="276"/>
      <c r="Y585" s="91"/>
      <c r="AO585" s="91"/>
      <c r="AP585" s="122"/>
      <c r="AQ585" s="122"/>
      <c r="AR585" s="122"/>
      <c r="AS585" s="256" t="s">
        <v>157</v>
      </c>
      <c r="AT585" s="261">
        <f>IF(AT586&gt;1,_xlfn.STDEV.S(AT559:AT578),0)</f>
        <v>0</v>
      </c>
      <c r="AU585" s="261">
        <f>IF(AU586&gt;1,_xlfn.STDEV.S(AU559:AU578),0)</f>
        <v>0</v>
      </c>
      <c r="AV585" s="122"/>
      <c r="AW585" s="261">
        <f t="shared" ref="AW585:AX585" si="438">IF(AW586&gt;1,_xlfn.STDEV.S(AW559:AW578),0)</f>
        <v>0</v>
      </c>
      <c r="AX585" s="261">
        <f t="shared" si="438"/>
        <v>0</v>
      </c>
      <c r="AY585" s="122"/>
      <c r="AZ585" s="261">
        <f t="shared" ref="AZ585:BA585" si="439">IF(AZ586&gt;1,_xlfn.STDEV.S(AZ559:AZ578),0)</f>
        <v>0</v>
      </c>
      <c r="BA585" s="261">
        <f t="shared" si="439"/>
        <v>0</v>
      </c>
      <c r="BB585" s="122"/>
      <c r="BC585" s="261">
        <f t="shared" ref="BC585:BD585" si="440">IF(BC586&gt;1,_xlfn.STDEV.S(BC559:BC578),0)</f>
        <v>0</v>
      </c>
      <c r="BD585" s="261">
        <f t="shared" si="440"/>
        <v>0</v>
      </c>
      <c r="BE585" s="122"/>
      <c r="BF585" s="261">
        <f t="shared" ref="BF585:BG585" si="441">IF(BF586&gt;1,_xlfn.STDEV.S(BF559:BF578),0)</f>
        <v>0</v>
      </c>
      <c r="BG585" s="261">
        <f t="shared" si="441"/>
        <v>0</v>
      </c>
      <c r="BH585" s="122"/>
      <c r="BI585" s="261">
        <f t="shared" ref="BI585:BJ585" si="442">IF(BI586&gt;1,_xlfn.STDEV.S(BI559:BI578),0)</f>
        <v>0</v>
      </c>
      <c r="BJ585" s="261">
        <f t="shared" si="442"/>
        <v>0</v>
      </c>
      <c r="BK585" s="122"/>
      <c r="BL585" s="261">
        <f t="shared" ref="BL585:BM585" si="443">IF(BL586&gt;1,_xlfn.STDEV.S(BL559:BL578),0)</f>
        <v>0</v>
      </c>
      <c r="BM585" s="261">
        <f t="shared" si="443"/>
        <v>0</v>
      </c>
      <c r="BN585" s="122"/>
      <c r="BO585" s="261">
        <f t="shared" ref="BO585:BP585" si="444">IF(BO586&gt;1,_xlfn.STDEV.S(BO559:BO578),0)</f>
        <v>0</v>
      </c>
      <c r="BP585" s="261">
        <f t="shared" si="444"/>
        <v>0</v>
      </c>
      <c r="BQ585" s="122"/>
      <c r="BR585" s="261">
        <f t="shared" ref="BR585:BS585" si="445">IF(BR586&gt;1,_xlfn.STDEV.S(BR559:BR578),0)</f>
        <v>0</v>
      </c>
      <c r="BS585" s="261">
        <f t="shared" si="445"/>
        <v>0</v>
      </c>
      <c r="BT585" s="122"/>
      <c r="BU585" s="261">
        <f t="shared" ref="BU585:BV585" si="446">IF(BU586&gt;1,_xlfn.STDEV.S(BU559:BU578),0)</f>
        <v>0</v>
      </c>
      <c r="BV585" s="261">
        <f t="shared" si="446"/>
        <v>0</v>
      </c>
      <c r="BW585" s="122"/>
      <c r="BX585" s="91"/>
    </row>
    <row r="586" spans="1:76" s="55" customFormat="1" x14ac:dyDescent="0.2">
      <c r="A586" s="195"/>
      <c r="B586" s="196"/>
      <c r="C586" s="195"/>
      <c r="D586" s="277"/>
      <c r="E586" s="278"/>
      <c r="F586" s="278"/>
      <c r="G586" s="278"/>
      <c r="H586" s="278"/>
      <c r="I586" s="278"/>
      <c r="J586" s="279"/>
      <c r="K586" s="122"/>
      <c r="L586" s="122"/>
      <c r="M586" s="122"/>
      <c r="N586" s="122"/>
      <c r="O586" s="122"/>
      <c r="P586" s="122"/>
      <c r="Q586" s="311"/>
      <c r="R586" s="361" t="s">
        <v>158</v>
      </c>
      <c r="S586" s="118"/>
      <c r="T586" s="118"/>
      <c r="U586" s="281"/>
      <c r="V586" s="282"/>
      <c r="W586" s="283"/>
      <c r="Y586" s="91"/>
      <c r="AO586" s="91"/>
      <c r="AP586" s="122"/>
      <c r="AQ586" s="122"/>
      <c r="AR586" s="122"/>
      <c r="AS586" s="133" t="s">
        <v>159</v>
      </c>
      <c r="AT586" s="284">
        <f>COUNT(AT559:AT578)</f>
        <v>0</v>
      </c>
      <c r="AU586" s="284">
        <f>COUNT(AU559:AU578)</f>
        <v>0</v>
      </c>
      <c r="AV586" s="122"/>
      <c r="AW586" s="284">
        <f t="shared" ref="AW586:AX586" si="447">COUNT(AW559:AW578)</f>
        <v>0</v>
      </c>
      <c r="AX586" s="284">
        <f t="shared" si="447"/>
        <v>0</v>
      </c>
      <c r="AY586" s="122"/>
      <c r="AZ586" s="284">
        <f t="shared" ref="AZ586:BA586" si="448">COUNT(AZ559:AZ578)</f>
        <v>0</v>
      </c>
      <c r="BA586" s="284">
        <f t="shared" si="448"/>
        <v>0</v>
      </c>
      <c r="BB586" s="122"/>
      <c r="BC586" s="284">
        <f t="shared" ref="BC586:BD586" si="449">COUNT(BC559:BC578)</f>
        <v>0</v>
      </c>
      <c r="BD586" s="284">
        <f t="shared" si="449"/>
        <v>0</v>
      </c>
      <c r="BE586" s="122"/>
      <c r="BF586" s="284">
        <f t="shared" ref="BF586:BG586" si="450">COUNT(BF559:BF578)</f>
        <v>0</v>
      </c>
      <c r="BG586" s="284">
        <f t="shared" si="450"/>
        <v>0</v>
      </c>
      <c r="BH586" s="122"/>
      <c r="BI586" s="284">
        <f t="shared" ref="BI586:BJ586" si="451">COUNT(BI559:BI578)</f>
        <v>0</v>
      </c>
      <c r="BJ586" s="284">
        <f t="shared" si="451"/>
        <v>0</v>
      </c>
      <c r="BK586" s="122"/>
      <c r="BL586" s="284">
        <f t="shared" ref="BL586:BM586" si="452">COUNT(BL559:BL578)</f>
        <v>0</v>
      </c>
      <c r="BM586" s="284">
        <f t="shared" si="452"/>
        <v>0</v>
      </c>
      <c r="BN586" s="122"/>
      <c r="BO586" s="284">
        <f t="shared" ref="BO586:BP586" si="453">COUNT(BO559:BO578)</f>
        <v>0</v>
      </c>
      <c r="BP586" s="284">
        <f t="shared" si="453"/>
        <v>0</v>
      </c>
      <c r="BQ586" s="122"/>
      <c r="BR586" s="284">
        <f t="shared" ref="BR586:BS586" si="454">COUNT(BR559:BR578)</f>
        <v>0</v>
      </c>
      <c r="BS586" s="284">
        <f t="shared" si="454"/>
        <v>0</v>
      </c>
      <c r="BT586" s="122"/>
      <c r="BU586" s="284">
        <f t="shared" ref="BU586:BV586" si="455">COUNT(BU559:BU578)</f>
        <v>0</v>
      </c>
      <c r="BV586" s="284">
        <f t="shared" si="455"/>
        <v>0</v>
      </c>
      <c r="BW586" s="122"/>
      <c r="BX586" s="91"/>
    </row>
    <row r="587" spans="1:76" s="55" customFormat="1" ht="14.25" x14ac:dyDescent="0.2">
      <c r="A587" s="195"/>
      <c r="B587" s="196"/>
      <c r="C587" s="122"/>
      <c r="D587" s="122"/>
      <c r="E587" s="122"/>
      <c r="F587" s="122"/>
      <c r="G587" s="122"/>
      <c r="H587" s="122"/>
      <c r="I587" s="122"/>
      <c r="J587" s="122"/>
      <c r="K587" s="122"/>
      <c r="L587" s="122"/>
      <c r="M587" s="122"/>
      <c r="N587" s="122"/>
      <c r="O587" s="122"/>
      <c r="P587" s="122"/>
      <c r="Q587" s="311"/>
      <c r="R587" s="287" t="s">
        <v>149</v>
      </c>
      <c r="S587" s="122"/>
      <c r="T587" s="122"/>
      <c r="U587" s="281"/>
      <c r="V587" s="282"/>
      <c r="W587" s="283"/>
      <c r="Y587" s="91"/>
      <c r="AO587" s="91"/>
      <c r="BX587" s="91"/>
    </row>
    <row r="588" spans="1:76" s="55" customFormat="1" ht="18" x14ac:dyDescent="0.25">
      <c r="A588" s="195"/>
      <c r="B588" s="196"/>
      <c r="C588" s="122"/>
      <c r="D588" s="122"/>
      <c r="E588" s="122"/>
      <c r="F588" s="122"/>
      <c r="G588" s="122"/>
      <c r="H588" s="122"/>
      <c r="I588" s="122"/>
      <c r="J588" s="122"/>
      <c r="K588" s="122"/>
      <c r="L588" s="122"/>
      <c r="M588" s="122"/>
      <c r="N588" s="122"/>
      <c r="O588" s="122"/>
      <c r="P588" s="122"/>
      <c r="Q588" s="311"/>
      <c r="R588" s="122"/>
      <c r="S588" s="122"/>
      <c r="T588" s="122"/>
      <c r="U588" s="288"/>
      <c r="V588" s="289"/>
      <c r="W588" s="290"/>
      <c r="Y588" s="91"/>
      <c r="AO588" s="296"/>
      <c r="BX588" s="296"/>
    </row>
    <row r="589" spans="1:76" s="55" customFormat="1" ht="14.25" x14ac:dyDescent="0.2">
      <c r="A589" s="195"/>
      <c r="B589" s="196"/>
      <c r="C589" s="122"/>
      <c r="D589" s="122"/>
      <c r="E589" s="122"/>
      <c r="F589" s="122"/>
      <c r="G589" s="122"/>
      <c r="H589" s="122"/>
      <c r="I589" s="122"/>
      <c r="J589" s="122"/>
      <c r="K589" s="122"/>
      <c r="L589" s="122"/>
      <c r="M589" s="122"/>
      <c r="N589" s="122"/>
      <c r="O589" s="122"/>
      <c r="P589" s="122"/>
      <c r="Q589" s="311"/>
      <c r="R589" s="122"/>
      <c r="S589" s="122"/>
      <c r="T589" s="122"/>
      <c r="U589" s="122"/>
      <c r="V589" s="122"/>
      <c r="W589" s="122"/>
      <c r="Y589" s="91"/>
      <c r="AO589" s="91"/>
      <c r="AS589" s="314"/>
      <c r="AT589" s="314"/>
      <c r="AU589" s="314"/>
      <c r="AV589" s="314"/>
      <c r="BX589" s="91"/>
    </row>
    <row r="590" spans="1:76" s="55" customFormat="1" x14ac:dyDescent="0.25">
      <c r="B590" s="23"/>
      <c r="Q590" s="81"/>
      <c r="Y590" s="91"/>
      <c r="AO590" s="91"/>
      <c r="AS590" s="28"/>
      <c r="AT590" s="28"/>
      <c r="AU590" s="28"/>
      <c r="AV590" s="28"/>
      <c r="AW590" s="198"/>
      <c r="AX590" s="198"/>
      <c r="AY590" s="198"/>
      <c r="AZ590" s="28"/>
      <c r="BA590" s="28"/>
      <c r="BB590" s="198"/>
      <c r="BC590" s="198"/>
      <c r="BD590" s="198"/>
      <c r="BE590" s="28"/>
      <c r="BF590" s="28"/>
      <c r="BG590" s="198"/>
      <c r="BH590" s="198"/>
      <c r="BI590" s="198"/>
      <c r="BJ590" s="28"/>
      <c r="BK590" s="28"/>
      <c r="BL590" s="198"/>
      <c r="BM590" s="198"/>
      <c r="BN590" s="198"/>
      <c r="BO590" s="28"/>
      <c r="BP590" s="28"/>
      <c r="BQ590" s="198"/>
      <c r="BR590" s="198"/>
      <c r="BS590" s="198"/>
      <c r="BT590" s="28"/>
      <c r="BU590" s="28"/>
      <c r="BV590" s="198"/>
      <c r="BW590" s="28"/>
      <c r="BX590" s="91"/>
    </row>
    <row r="591" spans="1:76" s="55" customFormat="1" x14ac:dyDescent="0.25">
      <c r="B591" s="23"/>
      <c r="Q591" s="81"/>
      <c r="Y591" s="91"/>
      <c r="AO591" s="91"/>
      <c r="AS591" s="28"/>
      <c r="AT591" s="28"/>
      <c r="AU591" s="28"/>
      <c r="AV591" s="28"/>
      <c r="AW591" s="198"/>
      <c r="AX591" s="198"/>
      <c r="AY591" s="198"/>
      <c r="AZ591" s="28"/>
      <c r="BA591" s="28"/>
      <c r="BB591" s="198"/>
      <c r="BC591" s="198"/>
      <c r="BD591" s="198"/>
      <c r="BE591" s="28"/>
      <c r="BF591" s="28"/>
      <c r="BG591" s="198"/>
      <c r="BH591" s="198"/>
      <c r="BI591" s="198"/>
      <c r="BJ591" s="28"/>
      <c r="BK591" s="28"/>
      <c r="BL591" s="198"/>
      <c r="BM591" s="198"/>
      <c r="BN591" s="198"/>
      <c r="BO591" s="28"/>
      <c r="BP591" s="28"/>
      <c r="BQ591" s="198"/>
      <c r="BR591" s="198"/>
      <c r="BS591" s="198"/>
      <c r="BT591" s="28"/>
      <c r="BU591" s="28"/>
      <c r="BV591" s="198"/>
      <c r="BW591" s="28"/>
      <c r="BX591" s="91"/>
    </row>
    <row r="592" spans="1:76" s="9" customFormat="1" ht="18" x14ac:dyDescent="0.25">
      <c r="A592" s="188">
        <f>A556+1</f>
        <v>14</v>
      </c>
      <c r="B592" s="189"/>
      <c r="C592" s="293" t="s">
        <v>366</v>
      </c>
      <c r="D592" s="191"/>
      <c r="E592" s="191"/>
      <c r="F592" s="191"/>
      <c r="G592" s="191"/>
      <c r="J592" s="191"/>
      <c r="K592" s="191"/>
      <c r="L592" s="192"/>
      <c r="M592" s="192"/>
      <c r="N592" s="192"/>
      <c r="Q592" s="193"/>
      <c r="R592" s="194" t="s">
        <v>93</v>
      </c>
      <c r="S592" s="194"/>
      <c r="T592" s="194"/>
      <c r="U592" s="194"/>
      <c r="AP592" s="175">
        <f>A592</f>
        <v>14</v>
      </c>
      <c r="AQ592" s="175" t="str">
        <f>C592</f>
        <v>Total Energy Used per functional unit - SOLUTION</v>
      </c>
    </row>
    <row r="593" spans="1:76" s="55" customFormat="1" x14ac:dyDescent="0.25">
      <c r="A593" s="195"/>
      <c r="B593" s="196"/>
      <c r="C593" s="195"/>
      <c r="D593" s="120"/>
      <c r="E593" s="120"/>
      <c r="F593" s="120"/>
      <c r="G593" s="120"/>
      <c r="J593" s="120"/>
      <c r="K593" s="120"/>
      <c r="L593" s="122"/>
      <c r="M593" s="122"/>
      <c r="N593" s="122"/>
      <c r="Q593" s="81"/>
      <c r="Y593" s="91"/>
      <c r="AO593" s="91"/>
      <c r="AP593" s="28"/>
      <c r="AQ593" s="28"/>
      <c r="AR593" s="28"/>
      <c r="AS593" s="28"/>
      <c r="AT593" s="198" t="s">
        <v>171</v>
      </c>
      <c r="AU593" s="198"/>
      <c r="AV593" s="28"/>
      <c r="AW593" s="198" t="s">
        <v>96</v>
      </c>
      <c r="AX593" s="198"/>
      <c r="AY593" s="28"/>
      <c r="AZ593" s="198" t="s">
        <v>97</v>
      </c>
      <c r="BA593" s="198"/>
      <c r="BB593" s="28"/>
      <c r="BC593" s="198" t="s">
        <v>98</v>
      </c>
      <c r="BD593" s="198"/>
      <c r="BE593" s="28"/>
      <c r="BF593" s="198" t="s">
        <v>99</v>
      </c>
      <c r="BG593" s="198"/>
      <c r="BH593" s="28"/>
      <c r="BI593" s="198" t="s">
        <v>100</v>
      </c>
      <c r="BJ593" s="198"/>
      <c r="BK593" s="28"/>
      <c r="BL593" s="198" t="s">
        <v>101</v>
      </c>
      <c r="BM593" s="198"/>
      <c r="BN593" s="28"/>
      <c r="BO593" s="198" t="s">
        <v>102</v>
      </c>
      <c r="BP593" s="198"/>
      <c r="BQ593" s="28"/>
      <c r="BR593" s="198" t="s">
        <v>103</v>
      </c>
      <c r="BS593" s="198"/>
      <c r="BT593" s="28"/>
      <c r="BU593" s="198" t="s">
        <v>104</v>
      </c>
      <c r="BV593" s="198"/>
      <c r="BW593" s="28"/>
      <c r="BX593" s="91"/>
    </row>
    <row r="594" spans="1:76" s="55" customFormat="1" ht="30.75" thickBot="1" x14ac:dyDescent="0.3">
      <c r="A594" s="199" t="s">
        <v>105</v>
      </c>
      <c r="B594" s="200" t="s">
        <v>106</v>
      </c>
      <c r="C594" s="201" t="s">
        <v>107</v>
      </c>
      <c r="D594" s="202" t="s">
        <v>108</v>
      </c>
      <c r="E594" s="202" t="s">
        <v>109</v>
      </c>
      <c r="F594" s="201" t="s">
        <v>110</v>
      </c>
      <c r="G594" s="201" t="s">
        <v>111</v>
      </c>
      <c r="H594" s="202" t="s">
        <v>112</v>
      </c>
      <c r="I594" s="203" t="s">
        <v>113</v>
      </c>
      <c r="J594" s="204" t="s">
        <v>114</v>
      </c>
      <c r="K594" s="205" t="s">
        <v>115</v>
      </c>
      <c r="L594" s="206" t="s">
        <v>116</v>
      </c>
      <c r="M594" s="207" t="s">
        <v>117</v>
      </c>
      <c r="N594" s="208" t="s">
        <v>118</v>
      </c>
      <c r="O594" s="207" t="s">
        <v>119</v>
      </c>
      <c r="P594" s="210"/>
      <c r="Q594" s="211" t="s">
        <v>120</v>
      </c>
      <c r="R594" s="212" t="s">
        <v>121</v>
      </c>
      <c r="S594" s="212" t="s">
        <v>122</v>
      </c>
      <c r="T594" s="212" t="s">
        <v>123</v>
      </c>
      <c r="U594" s="213" t="s">
        <v>124</v>
      </c>
      <c r="V594" s="210"/>
      <c r="W594" s="210"/>
      <c r="Y594" s="91"/>
      <c r="AO594" s="91"/>
      <c r="AP594" s="210"/>
      <c r="AQ594" s="210"/>
      <c r="AR594" s="213" t="s">
        <v>125</v>
      </c>
      <c r="AS594" s="210"/>
      <c r="AT594" s="215" t="s">
        <v>121</v>
      </c>
      <c r="AU594" s="215" t="s">
        <v>122</v>
      </c>
      <c r="AV594" s="210"/>
      <c r="AW594" s="215" t="s">
        <v>121</v>
      </c>
      <c r="AX594" s="215" t="s">
        <v>122</v>
      </c>
      <c r="AY594" s="210"/>
      <c r="AZ594" s="215" t="s">
        <v>121</v>
      </c>
      <c r="BA594" s="215" t="s">
        <v>122</v>
      </c>
      <c r="BB594" s="210"/>
      <c r="BC594" s="215" t="s">
        <v>121</v>
      </c>
      <c r="BD594" s="215" t="s">
        <v>122</v>
      </c>
      <c r="BE594" s="210"/>
      <c r="BF594" s="215" t="s">
        <v>121</v>
      </c>
      <c r="BG594" s="215" t="s">
        <v>122</v>
      </c>
      <c r="BH594" s="210"/>
      <c r="BI594" s="215" t="s">
        <v>121</v>
      </c>
      <c r="BJ594" s="215" t="s">
        <v>122</v>
      </c>
      <c r="BK594" s="210"/>
      <c r="BL594" s="215" t="s">
        <v>121</v>
      </c>
      <c r="BM594" s="215" t="s">
        <v>122</v>
      </c>
      <c r="BN594" s="210"/>
      <c r="BO594" s="215" t="s">
        <v>121</v>
      </c>
      <c r="BP594" s="215" t="s">
        <v>122</v>
      </c>
      <c r="BQ594" s="210"/>
      <c r="BR594" s="215" t="s">
        <v>121</v>
      </c>
      <c r="BS594" s="215" t="s">
        <v>122</v>
      </c>
      <c r="BT594" s="210"/>
      <c r="BU594" s="215" t="s">
        <v>121</v>
      </c>
      <c r="BV594" s="215" t="s">
        <v>122</v>
      </c>
      <c r="BW594" s="210"/>
      <c r="BX594" s="91"/>
    </row>
    <row r="595" spans="1:76" s="55" customFormat="1" x14ac:dyDescent="0.25">
      <c r="A595" s="195">
        <v>1</v>
      </c>
      <c r="B595" s="216" t="str">
        <f t="shared" ref="B595:B614" si="456">CONCATENATE(E595,": ",C595)</f>
        <v xml:space="preserve">: </v>
      </c>
      <c r="C595" s="219"/>
      <c r="D595" s="219"/>
      <c r="E595" s="219"/>
      <c r="F595" s="219"/>
      <c r="G595" s="220"/>
      <c r="H595" s="221"/>
      <c r="I595" s="220"/>
      <c r="J595" s="227"/>
      <c r="K595" s="226"/>
      <c r="L595" s="241"/>
      <c r="M595" s="225" t="str">
        <f t="shared" ref="M595:M614" si="457">CONCATENATE("TWh/",FunctionalUnitOfMeasure)</f>
        <v>TWh/kg of protein</v>
      </c>
      <c r="N595" s="227"/>
      <c r="O595" s="241"/>
      <c r="P595" s="122"/>
      <c r="Q595" s="228"/>
      <c r="R595" s="231" t="str">
        <f>IF(Q595="Y","",IF(AND(L595="",J595=""),"",IF(L595="",J595,L595)))</f>
        <v/>
      </c>
      <c r="S595" s="230" t="str">
        <f t="shared" ref="S595:S614" si="458">IF(R595="","",IF($R$623="Y",T595,IF(R595&gt;=$R$615-$AA$35*$R$619,IF(R595&lt;=$R$615+$AA$35*$R$619,R595,""),"")))</f>
        <v/>
      </c>
      <c r="T595" s="231" t="str">
        <f>IF(OR(Q595="Y",IFERROR(R595&gt;R615+R619*$AA$35,0),IFERROR(R595&lt;R615-R619*$AA$35,0)),"",IFERROR(R595*N595,""))</f>
        <v/>
      </c>
      <c r="U595" s="232" t="str">
        <f t="shared" ref="U595:U614" si="459">IF(AND(M595="",K595=""),"",IF(M595="",K595,M595))</f>
        <v>TWh/kg of protein</v>
      </c>
      <c r="V595" s="28"/>
      <c r="W595" s="28"/>
      <c r="Y595" s="91"/>
      <c r="AO595" s="91"/>
      <c r="AP595" s="28"/>
      <c r="AQ595" s="28"/>
      <c r="AR595" s="233" t="str">
        <f>$U595</f>
        <v>TWh/kg of protein</v>
      </c>
      <c r="AS595" s="28"/>
      <c r="AT595" s="304" t="str">
        <f>IF($E595=$AT$47,R595,"")</f>
        <v/>
      </c>
      <c r="AU595" s="304" t="str">
        <f>IF($E595=$AT$47,S595,"")</f>
        <v/>
      </c>
      <c r="AV595" s="28"/>
      <c r="AW595" s="304" t="str">
        <f t="shared" ref="AW595:AX614" si="460">IF($E595=$AW$83,R595,"")</f>
        <v/>
      </c>
      <c r="AX595" s="304" t="str">
        <f t="shared" si="460"/>
        <v/>
      </c>
      <c r="AY595" s="28"/>
      <c r="AZ595" s="304" t="str">
        <f t="shared" ref="AZ595:BA614" si="461">IF($E595=$AZ$83,R595,"")</f>
        <v/>
      </c>
      <c r="BA595" s="304" t="str">
        <f t="shared" si="461"/>
        <v/>
      </c>
      <c r="BB595" s="28"/>
      <c r="BC595" s="304" t="str">
        <f t="shared" ref="BC595:BD614" si="462">IF($E595=$BC$83,R595,"")</f>
        <v/>
      </c>
      <c r="BD595" s="304" t="str">
        <f t="shared" si="462"/>
        <v/>
      </c>
      <c r="BE595" s="28"/>
      <c r="BF595" s="304" t="str">
        <f t="shared" ref="BF595:BG614" si="463">IF($E595=$BF$83,R595,"")</f>
        <v/>
      </c>
      <c r="BG595" s="304" t="str">
        <f t="shared" si="463"/>
        <v/>
      </c>
      <c r="BH595" s="28"/>
      <c r="BI595" s="304" t="str">
        <f t="shared" ref="BI595:BJ614" si="464">IF($E595=$BI$83,R595,"")</f>
        <v/>
      </c>
      <c r="BJ595" s="304" t="str">
        <f t="shared" si="464"/>
        <v/>
      </c>
      <c r="BK595" s="28"/>
      <c r="BL595" s="304" t="str">
        <f t="shared" ref="BL595:BM614" si="465">IF($E595=$BL$83,R595,"")</f>
        <v/>
      </c>
      <c r="BM595" s="304" t="str">
        <f t="shared" si="465"/>
        <v/>
      </c>
      <c r="BN595" s="28"/>
      <c r="BO595" s="304" t="str">
        <f t="shared" ref="BO595:BP614" si="466">IF($E595=$BO$83,R595,"")</f>
        <v/>
      </c>
      <c r="BP595" s="304" t="str">
        <f t="shared" si="466"/>
        <v/>
      </c>
      <c r="BQ595" s="28"/>
      <c r="BR595" s="304" t="str">
        <f t="shared" ref="BR595:BS614" si="467">IF($E595=$BR$83,R595,"")</f>
        <v/>
      </c>
      <c r="BS595" s="304" t="str">
        <f t="shared" si="467"/>
        <v/>
      </c>
      <c r="BT595" s="28"/>
      <c r="BU595" s="304" t="str">
        <f t="shared" ref="BU595:BV614" si="468">IF($E595=$BU$83,R595,"")</f>
        <v/>
      </c>
      <c r="BV595" s="304" t="str">
        <f t="shared" si="468"/>
        <v/>
      </c>
      <c r="BW595" s="28"/>
      <c r="BX595" s="91"/>
    </row>
    <row r="596" spans="1:76" s="55" customFormat="1" x14ac:dyDescent="0.25">
      <c r="A596" s="195">
        <v>2</v>
      </c>
      <c r="B596" s="216" t="str">
        <f t="shared" si="456"/>
        <v xml:space="preserve">: </v>
      </c>
      <c r="C596" s="219"/>
      <c r="D596" s="219"/>
      <c r="E596" s="219"/>
      <c r="F596" s="219"/>
      <c r="G596" s="220"/>
      <c r="H596" s="221"/>
      <c r="I596" s="220"/>
      <c r="J596" s="227"/>
      <c r="K596" s="227"/>
      <c r="L596" s="241"/>
      <c r="M596" s="225" t="str">
        <f t="shared" si="457"/>
        <v>TWh/kg of protein</v>
      </c>
      <c r="N596" s="227"/>
      <c r="O596" s="241"/>
      <c r="P596" s="122"/>
      <c r="Q596" s="228"/>
      <c r="R596" s="231" t="str">
        <f t="shared" ref="R596:R614" si="469">IF(Q596="Y","",IF(AND(L596="",J596=""),"",IF(L596="",J596,L596)))</f>
        <v/>
      </c>
      <c r="S596" s="230" t="str">
        <f t="shared" si="458"/>
        <v/>
      </c>
      <c r="T596" s="231" t="str">
        <f>IF(OR(Q596="Y",IFERROR(R596&gt;R615+R619*$AA$35,0),IFERROR(R596&lt;R615-R619*$AA$35,0)),"",IFERROR(R596*N596,""))</f>
        <v/>
      </c>
      <c r="U596" s="232" t="str">
        <f t="shared" si="459"/>
        <v>TWh/kg of protein</v>
      </c>
      <c r="V596" s="28"/>
      <c r="W596" s="28"/>
      <c r="Y596" s="91"/>
      <c r="AO596" s="91"/>
      <c r="AP596" s="28"/>
      <c r="AQ596" s="28"/>
      <c r="AR596" s="237"/>
      <c r="AS596" s="28"/>
      <c r="AT596" s="304" t="str">
        <f t="shared" ref="AT596:AU614" si="470">IF($E596=$AT$47,R596,"")</f>
        <v/>
      </c>
      <c r="AU596" s="304" t="str">
        <f t="shared" si="470"/>
        <v/>
      </c>
      <c r="AV596" s="28"/>
      <c r="AW596" s="304" t="str">
        <f t="shared" si="460"/>
        <v/>
      </c>
      <c r="AX596" s="304" t="str">
        <f t="shared" si="460"/>
        <v/>
      </c>
      <c r="AY596" s="28"/>
      <c r="AZ596" s="304" t="str">
        <f t="shared" si="461"/>
        <v/>
      </c>
      <c r="BA596" s="304" t="str">
        <f t="shared" si="461"/>
        <v/>
      </c>
      <c r="BB596" s="28"/>
      <c r="BC596" s="304" t="str">
        <f t="shared" si="462"/>
        <v/>
      </c>
      <c r="BD596" s="304" t="str">
        <f t="shared" si="462"/>
        <v/>
      </c>
      <c r="BE596" s="28"/>
      <c r="BF596" s="304" t="str">
        <f t="shared" si="463"/>
        <v/>
      </c>
      <c r="BG596" s="304" t="str">
        <f t="shared" si="463"/>
        <v/>
      </c>
      <c r="BH596" s="28"/>
      <c r="BI596" s="304" t="str">
        <f t="shared" si="464"/>
        <v/>
      </c>
      <c r="BJ596" s="304" t="str">
        <f t="shared" si="464"/>
        <v/>
      </c>
      <c r="BK596" s="28"/>
      <c r="BL596" s="304" t="str">
        <f t="shared" si="465"/>
        <v/>
      </c>
      <c r="BM596" s="304" t="str">
        <f t="shared" si="465"/>
        <v/>
      </c>
      <c r="BN596" s="28"/>
      <c r="BO596" s="304" t="str">
        <f t="shared" si="466"/>
        <v/>
      </c>
      <c r="BP596" s="304" t="str">
        <f t="shared" si="466"/>
        <v/>
      </c>
      <c r="BQ596" s="28"/>
      <c r="BR596" s="304" t="str">
        <f t="shared" si="467"/>
        <v/>
      </c>
      <c r="BS596" s="304" t="str">
        <f t="shared" si="467"/>
        <v/>
      </c>
      <c r="BT596" s="28"/>
      <c r="BU596" s="304" t="str">
        <f t="shared" si="468"/>
        <v/>
      </c>
      <c r="BV596" s="304" t="str">
        <f t="shared" si="468"/>
        <v/>
      </c>
      <c r="BW596" s="28"/>
      <c r="BX596" s="91"/>
    </row>
    <row r="597" spans="1:76" s="55" customFormat="1" x14ac:dyDescent="0.25">
      <c r="A597" s="195">
        <v>3</v>
      </c>
      <c r="B597" s="216" t="str">
        <f>CONCATENATE(E597,": ",C597)</f>
        <v xml:space="preserve">: </v>
      </c>
      <c r="C597" s="221"/>
      <c r="D597" s="221"/>
      <c r="E597" s="221"/>
      <c r="F597" s="221"/>
      <c r="G597" s="240"/>
      <c r="H597" s="221"/>
      <c r="I597" s="240"/>
      <c r="J597" s="241"/>
      <c r="K597" s="241"/>
      <c r="L597" s="241"/>
      <c r="M597" s="225" t="str">
        <f t="shared" si="457"/>
        <v>TWh/kg of protein</v>
      </c>
      <c r="N597" s="227"/>
      <c r="O597" s="241"/>
      <c r="P597" s="122"/>
      <c r="Q597" s="228"/>
      <c r="R597" s="231" t="str">
        <f t="shared" si="469"/>
        <v/>
      </c>
      <c r="S597" s="230" t="str">
        <f t="shared" si="458"/>
        <v/>
      </c>
      <c r="T597" s="231" t="str">
        <f>IF(OR(Q597="Y",IFERROR(R597&gt;R615+R619*$AA$35,0),IFERROR(R597&lt;R615-R619*$AA$35,0)),"",IFERROR(R597*N597,""))</f>
        <v/>
      </c>
      <c r="U597" s="232" t="str">
        <f t="shared" si="459"/>
        <v>TWh/kg of protein</v>
      </c>
      <c r="V597" s="28"/>
      <c r="W597" s="28"/>
      <c r="Y597" s="91"/>
      <c r="AO597" s="91"/>
      <c r="AP597" s="28"/>
      <c r="AQ597" s="28"/>
      <c r="AR597" s="237"/>
      <c r="AS597" s="28"/>
      <c r="AT597" s="304" t="str">
        <f t="shared" si="470"/>
        <v/>
      </c>
      <c r="AU597" s="304" t="str">
        <f t="shared" si="470"/>
        <v/>
      </c>
      <c r="AV597" s="28"/>
      <c r="AW597" s="304" t="str">
        <f t="shared" si="460"/>
        <v/>
      </c>
      <c r="AX597" s="304" t="str">
        <f t="shared" si="460"/>
        <v/>
      </c>
      <c r="AY597" s="28"/>
      <c r="AZ597" s="304" t="str">
        <f t="shared" si="461"/>
        <v/>
      </c>
      <c r="BA597" s="304" t="str">
        <f t="shared" si="461"/>
        <v/>
      </c>
      <c r="BB597" s="28"/>
      <c r="BC597" s="304" t="str">
        <f t="shared" si="462"/>
        <v/>
      </c>
      <c r="BD597" s="304" t="str">
        <f t="shared" si="462"/>
        <v/>
      </c>
      <c r="BE597" s="28"/>
      <c r="BF597" s="304" t="str">
        <f t="shared" si="463"/>
        <v/>
      </c>
      <c r="BG597" s="304" t="str">
        <f t="shared" si="463"/>
        <v/>
      </c>
      <c r="BH597" s="28"/>
      <c r="BI597" s="304" t="str">
        <f t="shared" si="464"/>
        <v/>
      </c>
      <c r="BJ597" s="304" t="str">
        <f t="shared" si="464"/>
        <v/>
      </c>
      <c r="BK597" s="28"/>
      <c r="BL597" s="304" t="str">
        <f t="shared" si="465"/>
        <v/>
      </c>
      <c r="BM597" s="304" t="str">
        <f t="shared" si="465"/>
        <v/>
      </c>
      <c r="BN597" s="28"/>
      <c r="BO597" s="304" t="str">
        <f t="shared" si="466"/>
        <v/>
      </c>
      <c r="BP597" s="304" t="str">
        <f t="shared" si="466"/>
        <v/>
      </c>
      <c r="BQ597" s="28"/>
      <c r="BR597" s="304" t="str">
        <f t="shared" si="467"/>
        <v/>
      </c>
      <c r="BS597" s="304" t="str">
        <f t="shared" si="467"/>
        <v/>
      </c>
      <c r="BT597" s="28"/>
      <c r="BU597" s="304" t="str">
        <f t="shared" si="468"/>
        <v/>
      </c>
      <c r="BV597" s="304" t="str">
        <f t="shared" si="468"/>
        <v/>
      </c>
      <c r="BW597" s="28"/>
      <c r="BX597" s="91"/>
    </row>
    <row r="598" spans="1:76" s="55" customFormat="1" x14ac:dyDescent="0.25">
      <c r="A598" s="195">
        <v>4</v>
      </c>
      <c r="B598" s="216" t="str">
        <f t="shared" si="456"/>
        <v xml:space="preserve">: </v>
      </c>
      <c r="C598" s="221"/>
      <c r="D598" s="221"/>
      <c r="E598" s="221"/>
      <c r="F598" s="221"/>
      <c r="G598" s="240"/>
      <c r="H598" s="221"/>
      <c r="I598" s="240"/>
      <c r="J598" s="241"/>
      <c r="K598" s="241"/>
      <c r="L598" s="241"/>
      <c r="M598" s="225" t="str">
        <f t="shared" si="457"/>
        <v>TWh/kg of protein</v>
      </c>
      <c r="N598" s="227"/>
      <c r="O598" s="241"/>
      <c r="P598" s="122"/>
      <c r="Q598" s="228"/>
      <c r="R598" s="231" t="str">
        <f t="shared" si="469"/>
        <v/>
      </c>
      <c r="S598" s="230" t="str">
        <f t="shared" si="458"/>
        <v/>
      </c>
      <c r="T598" s="231" t="str">
        <f>IF(OR(Q598="Y",IFERROR(R598&gt;R615+R619*$AA$35,0),IFERROR(R598&lt;R615-R619*$AA$35,0)),"",IFERROR(R598*N598,""))</f>
        <v/>
      </c>
      <c r="U598" s="232" t="str">
        <f t="shared" si="459"/>
        <v>TWh/kg of protein</v>
      </c>
      <c r="V598" s="28"/>
      <c r="W598" s="28"/>
      <c r="Y598" s="91"/>
      <c r="AO598" s="91"/>
      <c r="AP598" s="28"/>
      <c r="AQ598" s="28"/>
      <c r="AR598" s="237"/>
      <c r="AS598" s="28"/>
      <c r="AT598" s="304" t="str">
        <f t="shared" si="470"/>
        <v/>
      </c>
      <c r="AU598" s="304" t="str">
        <f t="shared" si="470"/>
        <v/>
      </c>
      <c r="AV598" s="28"/>
      <c r="AW598" s="304" t="str">
        <f t="shared" si="460"/>
        <v/>
      </c>
      <c r="AX598" s="304" t="str">
        <f t="shared" si="460"/>
        <v/>
      </c>
      <c r="AY598" s="28"/>
      <c r="AZ598" s="304" t="str">
        <f t="shared" si="461"/>
        <v/>
      </c>
      <c r="BA598" s="304" t="str">
        <f t="shared" si="461"/>
        <v/>
      </c>
      <c r="BB598" s="28"/>
      <c r="BC598" s="304" t="str">
        <f t="shared" si="462"/>
        <v/>
      </c>
      <c r="BD598" s="304" t="str">
        <f t="shared" si="462"/>
        <v/>
      </c>
      <c r="BE598" s="28"/>
      <c r="BF598" s="304" t="str">
        <f t="shared" si="463"/>
        <v/>
      </c>
      <c r="BG598" s="304" t="str">
        <f t="shared" si="463"/>
        <v/>
      </c>
      <c r="BH598" s="28"/>
      <c r="BI598" s="304" t="str">
        <f t="shared" si="464"/>
        <v/>
      </c>
      <c r="BJ598" s="304" t="str">
        <f t="shared" si="464"/>
        <v/>
      </c>
      <c r="BK598" s="28"/>
      <c r="BL598" s="304" t="str">
        <f t="shared" si="465"/>
        <v/>
      </c>
      <c r="BM598" s="304" t="str">
        <f t="shared" si="465"/>
        <v/>
      </c>
      <c r="BN598" s="28"/>
      <c r="BO598" s="304" t="str">
        <f t="shared" si="466"/>
        <v/>
      </c>
      <c r="BP598" s="304" t="str">
        <f t="shared" si="466"/>
        <v/>
      </c>
      <c r="BQ598" s="28"/>
      <c r="BR598" s="304" t="str">
        <f t="shared" si="467"/>
        <v/>
      </c>
      <c r="BS598" s="304" t="str">
        <f t="shared" si="467"/>
        <v/>
      </c>
      <c r="BT598" s="28"/>
      <c r="BU598" s="304" t="str">
        <f t="shared" si="468"/>
        <v/>
      </c>
      <c r="BV598" s="304" t="str">
        <f t="shared" si="468"/>
        <v/>
      </c>
      <c r="BW598" s="28"/>
      <c r="BX598" s="91"/>
    </row>
    <row r="599" spans="1:76" s="55" customFormat="1" x14ac:dyDescent="0.25">
      <c r="A599" s="195">
        <v>5</v>
      </c>
      <c r="B599" s="216" t="str">
        <f t="shared" si="456"/>
        <v xml:space="preserve">: </v>
      </c>
      <c r="C599" s="221"/>
      <c r="D599" s="221"/>
      <c r="E599" s="221"/>
      <c r="F599" s="221"/>
      <c r="G599" s="240"/>
      <c r="H599" s="221"/>
      <c r="I599" s="240"/>
      <c r="J599" s="241"/>
      <c r="K599" s="241"/>
      <c r="L599" s="241"/>
      <c r="M599" s="225" t="str">
        <f t="shared" si="457"/>
        <v>TWh/kg of protein</v>
      </c>
      <c r="N599" s="227"/>
      <c r="O599" s="241"/>
      <c r="P599" s="122"/>
      <c r="Q599" s="228"/>
      <c r="R599" s="231" t="str">
        <f t="shared" si="469"/>
        <v/>
      </c>
      <c r="S599" s="230" t="str">
        <f t="shared" si="458"/>
        <v/>
      </c>
      <c r="T599" s="231" t="str">
        <f>IF(OR(Q599="Y",IFERROR(R599&gt;R615+R619*$AA$35,0),IFERROR(R599&lt;R615-R619*$AA$35,0)),"",IFERROR(R599*N599,""))</f>
        <v/>
      </c>
      <c r="U599" s="232" t="str">
        <f t="shared" si="459"/>
        <v>TWh/kg of protein</v>
      </c>
      <c r="V599" s="28"/>
      <c r="W599" s="28"/>
      <c r="Y599" s="91"/>
      <c r="AO599" s="91"/>
      <c r="AP599" s="28"/>
      <c r="AQ599" s="28"/>
      <c r="AR599" s="237"/>
      <c r="AS599" s="28"/>
      <c r="AT599" s="304" t="str">
        <f t="shared" si="470"/>
        <v/>
      </c>
      <c r="AU599" s="304" t="str">
        <f t="shared" si="470"/>
        <v/>
      </c>
      <c r="AV599" s="28"/>
      <c r="AW599" s="304" t="str">
        <f t="shared" si="460"/>
        <v/>
      </c>
      <c r="AX599" s="304" t="str">
        <f t="shared" si="460"/>
        <v/>
      </c>
      <c r="AY599" s="28"/>
      <c r="AZ599" s="304" t="str">
        <f t="shared" si="461"/>
        <v/>
      </c>
      <c r="BA599" s="304" t="str">
        <f t="shared" si="461"/>
        <v/>
      </c>
      <c r="BB599" s="28"/>
      <c r="BC599" s="304" t="str">
        <f t="shared" si="462"/>
        <v/>
      </c>
      <c r="BD599" s="304" t="str">
        <f t="shared" si="462"/>
        <v/>
      </c>
      <c r="BE599" s="28"/>
      <c r="BF599" s="304" t="str">
        <f t="shared" si="463"/>
        <v/>
      </c>
      <c r="BG599" s="304" t="str">
        <f t="shared" si="463"/>
        <v/>
      </c>
      <c r="BH599" s="28"/>
      <c r="BI599" s="304" t="str">
        <f t="shared" si="464"/>
        <v/>
      </c>
      <c r="BJ599" s="304" t="str">
        <f t="shared" si="464"/>
        <v/>
      </c>
      <c r="BK599" s="28"/>
      <c r="BL599" s="304" t="str">
        <f t="shared" si="465"/>
        <v/>
      </c>
      <c r="BM599" s="304" t="str">
        <f t="shared" si="465"/>
        <v/>
      </c>
      <c r="BN599" s="28"/>
      <c r="BO599" s="304" t="str">
        <f t="shared" si="466"/>
        <v/>
      </c>
      <c r="BP599" s="304" t="str">
        <f t="shared" si="466"/>
        <v/>
      </c>
      <c r="BQ599" s="28"/>
      <c r="BR599" s="304" t="str">
        <f t="shared" si="467"/>
        <v/>
      </c>
      <c r="BS599" s="304" t="str">
        <f t="shared" si="467"/>
        <v/>
      </c>
      <c r="BT599" s="28"/>
      <c r="BU599" s="304" t="str">
        <f t="shared" si="468"/>
        <v/>
      </c>
      <c r="BV599" s="304" t="str">
        <f t="shared" si="468"/>
        <v/>
      </c>
      <c r="BW599" s="28"/>
      <c r="BX599" s="91"/>
    </row>
    <row r="600" spans="1:76" s="55" customFormat="1" x14ac:dyDescent="0.25">
      <c r="A600" s="195">
        <v>6</v>
      </c>
      <c r="B600" s="216" t="str">
        <f t="shared" si="456"/>
        <v xml:space="preserve">: </v>
      </c>
      <c r="C600" s="221"/>
      <c r="D600" s="221"/>
      <c r="E600" s="221"/>
      <c r="F600" s="221"/>
      <c r="G600" s="240"/>
      <c r="H600" s="221"/>
      <c r="I600" s="240"/>
      <c r="J600" s="241"/>
      <c r="K600" s="241"/>
      <c r="L600" s="241"/>
      <c r="M600" s="225" t="str">
        <f t="shared" si="457"/>
        <v>TWh/kg of protein</v>
      </c>
      <c r="N600" s="227"/>
      <c r="O600" s="241"/>
      <c r="P600" s="122"/>
      <c r="Q600" s="228"/>
      <c r="R600" s="231" t="str">
        <f t="shared" si="469"/>
        <v/>
      </c>
      <c r="S600" s="230" t="str">
        <f t="shared" si="458"/>
        <v/>
      </c>
      <c r="T600" s="231" t="str">
        <f>IF(OR(Q600="Y",IFERROR(R600&gt;R615+R619*$AA$35,0),IFERROR(R600&lt;R615-R619*$AA$35,0)),"",IFERROR(R600*N600,""))</f>
        <v/>
      </c>
      <c r="U600" s="232" t="str">
        <f t="shared" si="459"/>
        <v>TWh/kg of protein</v>
      </c>
      <c r="V600" s="28"/>
      <c r="W600" s="28"/>
      <c r="Y600" s="91"/>
      <c r="AO600" s="91"/>
      <c r="AP600" s="28"/>
      <c r="AQ600" s="28"/>
      <c r="AR600" s="237"/>
      <c r="AS600" s="28"/>
      <c r="AT600" s="304" t="str">
        <f t="shared" si="470"/>
        <v/>
      </c>
      <c r="AU600" s="304" t="str">
        <f t="shared" si="470"/>
        <v/>
      </c>
      <c r="AV600" s="28"/>
      <c r="AW600" s="304" t="str">
        <f t="shared" si="460"/>
        <v/>
      </c>
      <c r="AX600" s="304" t="str">
        <f t="shared" si="460"/>
        <v/>
      </c>
      <c r="AY600" s="28"/>
      <c r="AZ600" s="304" t="str">
        <f t="shared" si="461"/>
        <v/>
      </c>
      <c r="BA600" s="304" t="str">
        <f t="shared" si="461"/>
        <v/>
      </c>
      <c r="BB600" s="28"/>
      <c r="BC600" s="304" t="str">
        <f t="shared" si="462"/>
        <v/>
      </c>
      <c r="BD600" s="304" t="str">
        <f t="shared" si="462"/>
        <v/>
      </c>
      <c r="BE600" s="28"/>
      <c r="BF600" s="304" t="str">
        <f t="shared" si="463"/>
        <v/>
      </c>
      <c r="BG600" s="304" t="str">
        <f t="shared" si="463"/>
        <v/>
      </c>
      <c r="BH600" s="28"/>
      <c r="BI600" s="304" t="str">
        <f t="shared" si="464"/>
        <v/>
      </c>
      <c r="BJ600" s="304" t="str">
        <f t="shared" si="464"/>
        <v/>
      </c>
      <c r="BK600" s="28"/>
      <c r="BL600" s="304" t="str">
        <f t="shared" si="465"/>
        <v/>
      </c>
      <c r="BM600" s="304" t="str">
        <f t="shared" si="465"/>
        <v/>
      </c>
      <c r="BN600" s="28"/>
      <c r="BO600" s="304" t="str">
        <f t="shared" si="466"/>
        <v/>
      </c>
      <c r="BP600" s="304" t="str">
        <f t="shared" si="466"/>
        <v/>
      </c>
      <c r="BQ600" s="28"/>
      <c r="BR600" s="304" t="str">
        <f t="shared" si="467"/>
        <v/>
      </c>
      <c r="BS600" s="304" t="str">
        <f t="shared" si="467"/>
        <v/>
      </c>
      <c r="BT600" s="28"/>
      <c r="BU600" s="304" t="str">
        <f t="shared" si="468"/>
        <v/>
      </c>
      <c r="BV600" s="304" t="str">
        <f t="shared" si="468"/>
        <v/>
      </c>
      <c r="BW600" s="28"/>
      <c r="BX600" s="91"/>
    </row>
    <row r="601" spans="1:76" s="55" customFormat="1" x14ac:dyDescent="0.25">
      <c r="A601" s="195">
        <v>7</v>
      </c>
      <c r="B601" s="216" t="str">
        <f t="shared" si="456"/>
        <v xml:space="preserve">: </v>
      </c>
      <c r="C601" s="221"/>
      <c r="D601" s="221"/>
      <c r="E601" s="221"/>
      <c r="F601" s="221"/>
      <c r="G601" s="240"/>
      <c r="H601" s="221"/>
      <c r="I601" s="240"/>
      <c r="J601" s="241"/>
      <c r="K601" s="241"/>
      <c r="L601" s="241"/>
      <c r="M601" s="225" t="str">
        <f t="shared" si="457"/>
        <v>TWh/kg of protein</v>
      </c>
      <c r="N601" s="227"/>
      <c r="O601" s="241"/>
      <c r="P601" s="122"/>
      <c r="Q601" s="228"/>
      <c r="R601" s="231" t="str">
        <f t="shared" si="469"/>
        <v/>
      </c>
      <c r="S601" s="230" t="str">
        <f t="shared" si="458"/>
        <v/>
      </c>
      <c r="T601" s="231" t="str">
        <f>IF(OR(Q601="Y",IFERROR(R601&gt;R615+R619*$AA$35,0),IFERROR(R601&lt;R615-R619*$AA$35,0)),"",IFERROR(R601*N601,""))</f>
        <v/>
      </c>
      <c r="U601" s="232" t="str">
        <f t="shared" si="459"/>
        <v>TWh/kg of protein</v>
      </c>
      <c r="V601" s="28"/>
      <c r="W601" s="28"/>
      <c r="Y601" s="91"/>
      <c r="AO601" s="91"/>
      <c r="AP601" s="28"/>
      <c r="AQ601" s="28"/>
      <c r="AR601" s="237"/>
      <c r="AS601" s="28"/>
      <c r="AT601" s="304" t="str">
        <f t="shared" si="470"/>
        <v/>
      </c>
      <c r="AU601" s="304" t="str">
        <f t="shared" si="470"/>
        <v/>
      </c>
      <c r="AV601" s="28"/>
      <c r="AW601" s="304" t="str">
        <f t="shared" si="460"/>
        <v/>
      </c>
      <c r="AX601" s="304" t="str">
        <f t="shared" si="460"/>
        <v/>
      </c>
      <c r="AY601" s="28"/>
      <c r="AZ601" s="304" t="str">
        <f t="shared" si="461"/>
        <v/>
      </c>
      <c r="BA601" s="304" t="str">
        <f t="shared" si="461"/>
        <v/>
      </c>
      <c r="BB601" s="28"/>
      <c r="BC601" s="304" t="str">
        <f t="shared" si="462"/>
        <v/>
      </c>
      <c r="BD601" s="304" t="str">
        <f t="shared" si="462"/>
        <v/>
      </c>
      <c r="BE601" s="28"/>
      <c r="BF601" s="304" t="str">
        <f t="shared" si="463"/>
        <v/>
      </c>
      <c r="BG601" s="304" t="str">
        <f t="shared" si="463"/>
        <v/>
      </c>
      <c r="BH601" s="28"/>
      <c r="BI601" s="304" t="str">
        <f t="shared" si="464"/>
        <v/>
      </c>
      <c r="BJ601" s="304" t="str">
        <f t="shared" si="464"/>
        <v/>
      </c>
      <c r="BK601" s="28"/>
      <c r="BL601" s="304" t="str">
        <f t="shared" si="465"/>
        <v/>
      </c>
      <c r="BM601" s="304" t="str">
        <f t="shared" si="465"/>
        <v/>
      </c>
      <c r="BN601" s="28"/>
      <c r="BO601" s="304" t="str">
        <f t="shared" si="466"/>
        <v/>
      </c>
      <c r="BP601" s="304" t="str">
        <f t="shared" si="466"/>
        <v/>
      </c>
      <c r="BQ601" s="28"/>
      <c r="BR601" s="304" t="str">
        <f t="shared" si="467"/>
        <v/>
      </c>
      <c r="BS601" s="304" t="str">
        <f t="shared" si="467"/>
        <v/>
      </c>
      <c r="BT601" s="28"/>
      <c r="BU601" s="304" t="str">
        <f t="shared" si="468"/>
        <v/>
      </c>
      <c r="BV601" s="304" t="str">
        <f t="shared" si="468"/>
        <v/>
      </c>
      <c r="BW601" s="28"/>
      <c r="BX601" s="91"/>
    </row>
    <row r="602" spans="1:76" s="55" customFormat="1" x14ac:dyDescent="0.25">
      <c r="A602" s="195">
        <v>8</v>
      </c>
      <c r="B602" s="216" t="str">
        <f t="shared" si="456"/>
        <v xml:space="preserve">: </v>
      </c>
      <c r="C602" s="221"/>
      <c r="D602" s="221"/>
      <c r="E602" s="221"/>
      <c r="F602" s="221"/>
      <c r="G602" s="240"/>
      <c r="H602" s="221"/>
      <c r="I602" s="240"/>
      <c r="J602" s="241"/>
      <c r="K602" s="241"/>
      <c r="L602" s="241"/>
      <c r="M602" s="225" t="str">
        <f t="shared" si="457"/>
        <v>TWh/kg of protein</v>
      </c>
      <c r="N602" s="227"/>
      <c r="O602" s="241"/>
      <c r="P602" s="122"/>
      <c r="Q602" s="228"/>
      <c r="R602" s="231" t="str">
        <f t="shared" si="469"/>
        <v/>
      </c>
      <c r="S602" s="230" t="str">
        <f t="shared" si="458"/>
        <v/>
      </c>
      <c r="T602" s="231" t="str">
        <f>IF(OR(Q602="Y",IFERROR(R602&gt;R615+R619*$AA$35,0),IFERROR(R602&lt;R615-R619*$AA$35,0)),"",IFERROR(R602*N602,""))</f>
        <v/>
      </c>
      <c r="U602" s="232" t="str">
        <f t="shared" si="459"/>
        <v>TWh/kg of protein</v>
      </c>
      <c r="V602" s="28"/>
      <c r="W602" s="28"/>
      <c r="Y602" s="91"/>
      <c r="AO602" s="91"/>
      <c r="AP602" s="28"/>
      <c r="AQ602" s="28"/>
      <c r="AR602" s="237"/>
      <c r="AS602" s="28"/>
      <c r="AT602" s="304" t="str">
        <f t="shared" si="470"/>
        <v/>
      </c>
      <c r="AU602" s="304" t="str">
        <f t="shared" si="470"/>
        <v/>
      </c>
      <c r="AV602" s="28"/>
      <c r="AW602" s="304" t="str">
        <f t="shared" si="460"/>
        <v/>
      </c>
      <c r="AX602" s="304" t="str">
        <f t="shared" si="460"/>
        <v/>
      </c>
      <c r="AY602" s="28"/>
      <c r="AZ602" s="304" t="str">
        <f t="shared" si="461"/>
        <v/>
      </c>
      <c r="BA602" s="304" t="str">
        <f t="shared" si="461"/>
        <v/>
      </c>
      <c r="BB602" s="28"/>
      <c r="BC602" s="304" t="str">
        <f t="shared" si="462"/>
        <v/>
      </c>
      <c r="BD602" s="304" t="str">
        <f t="shared" si="462"/>
        <v/>
      </c>
      <c r="BE602" s="28"/>
      <c r="BF602" s="304" t="str">
        <f t="shared" si="463"/>
        <v/>
      </c>
      <c r="BG602" s="304" t="str">
        <f t="shared" si="463"/>
        <v/>
      </c>
      <c r="BH602" s="28"/>
      <c r="BI602" s="304" t="str">
        <f t="shared" si="464"/>
        <v/>
      </c>
      <c r="BJ602" s="304" t="str">
        <f t="shared" si="464"/>
        <v/>
      </c>
      <c r="BK602" s="28"/>
      <c r="BL602" s="304" t="str">
        <f t="shared" si="465"/>
        <v/>
      </c>
      <c r="BM602" s="304" t="str">
        <f t="shared" si="465"/>
        <v/>
      </c>
      <c r="BN602" s="28"/>
      <c r="BO602" s="304" t="str">
        <f t="shared" si="466"/>
        <v/>
      </c>
      <c r="BP602" s="304" t="str">
        <f t="shared" si="466"/>
        <v/>
      </c>
      <c r="BQ602" s="28"/>
      <c r="BR602" s="304" t="str">
        <f t="shared" si="467"/>
        <v/>
      </c>
      <c r="BS602" s="304" t="str">
        <f t="shared" si="467"/>
        <v/>
      </c>
      <c r="BT602" s="28"/>
      <c r="BU602" s="304" t="str">
        <f t="shared" si="468"/>
        <v/>
      </c>
      <c r="BV602" s="304" t="str">
        <f t="shared" si="468"/>
        <v/>
      </c>
      <c r="BW602" s="28"/>
      <c r="BX602" s="91"/>
    </row>
    <row r="603" spans="1:76" s="55" customFormat="1" x14ac:dyDescent="0.25">
      <c r="A603" s="195">
        <v>9</v>
      </c>
      <c r="B603" s="216" t="str">
        <f t="shared" si="456"/>
        <v xml:space="preserve">: </v>
      </c>
      <c r="C603" s="221"/>
      <c r="D603" s="221"/>
      <c r="E603" s="221"/>
      <c r="F603" s="221"/>
      <c r="G603" s="240"/>
      <c r="H603" s="221"/>
      <c r="I603" s="240"/>
      <c r="J603" s="241"/>
      <c r="K603" s="241"/>
      <c r="L603" s="241"/>
      <c r="M603" s="225" t="str">
        <f t="shared" si="457"/>
        <v>TWh/kg of protein</v>
      </c>
      <c r="N603" s="227"/>
      <c r="O603" s="241"/>
      <c r="P603" s="122"/>
      <c r="Q603" s="228"/>
      <c r="R603" s="231" t="str">
        <f t="shared" si="469"/>
        <v/>
      </c>
      <c r="S603" s="230" t="str">
        <f t="shared" si="458"/>
        <v/>
      </c>
      <c r="T603" s="231" t="str">
        <f>IF(OR(Q603="Y",IFERROR(R603&gt;R615+R619*$AA$35,0),IFERROR(R603&lt;R615-R619*$AA$35,0)),"",IFERROR(R603*N603,""))</f>
        <v/>
      </c>
      <c r="U603" s="232" t="str">
        <f t="shared" si="459"/>
        <v>TWh/kg of protein</v>
      </c>
      <c r="V603" s="28"/>
      <c r="W603" s="28"/>
      <c r="Y603" s="91"/>
      <c r="AO603" s="91"/>
      <c r="AP603" s="28"/>
      <c r="AQ603" s="28"/>
      <c r="AR603" s="237"/>
      <c r="AS603" s="28"/>
      <c r="AT603" s="304" t="str">
        <f t="shared" si="470"/>
        <v/>
      </c>
      <c r="AU603" s="304" t="str">
        <f t="shared" si="470"/>
        <v/>
      </c>
      <c r="AV603" s="28"/>
      <c r="AW603" s="304" t="str">
        <f t="shared" si="460"/>
        <v/>
      </c>
      <c r="AX603" s="304" t="str">
        <f t="shared" si="460"/>
        <v/>
      </c>
      <c r="AY603" s="28"/>
      <c r="AZ603" s="304" t="str">
        <f t="shared" si="461"/>
        <v/>
      </c>
      <c r="BA603" s="304" t="str">
        <f t="shared" si="461"/>
        <v/>
      </c>
      <c r="BB603" s="28"/>
      <c r="BC603" s="304" t="str">
        <f t="shared" si="462"/>
        <v/>
      </c>
      <c r="BD603" s="304" t="str">
        <f t="shared" si="462"/>
        <v/>
      </c>
      <c r="BE603" s="28"/>
      <c r="BF603" s="304" t="str">
        <f t="shared" si="463"/>
        <v/>
      </c>
      <c r="BG603" s="304" t="str">
        <f t="shared" si="463"/>
        <v/>
      </c>
      <c r="BH603" s="28"/>
      <c r="BI603" s="304" t="str">
        <f t="shared" si="464"/>
        <v/>
      </c>
      <c r="BJ603" s="304" t="str">
        <f t="shared" si="464"/>
        <v/>
      </c>
      <c r="BK603" s="28"/>
      <c r="BL603" s="304" t="str">
        <f t="shared" si="465"/>
        <v/>
      </c>
      <c r="BM603" s="304" t="str">
        <f t="shared" si="465"/>
        <v/>
      </c>
      <c r="BN603" s="28"/>
      <c r="BO603" s="304" t="str">
        <f t="shared" si="466"/>
        <v/>
      </c>
      <c r="BP603" s="304" t="str">
        <f t="shared" si="466"/>
        <v/>
      </c>
      <c r="BQ603" s="28"/>
      <c r="BR603" s="304" t="str">
        <f t="shared" si="467"/>
        <v/>
      </c>
      <c r="BS603" s="304" t="str">
        <f t="shared" si="467"/>
        <v/>
      </c>
      <c r="BT603" s="28"/>
      <c r="BU603" s="304" t="str">
        <f t="shared" si="468"/>
        <v/>
      </c>
      <c r="BV603" s="304" t="str">
        <f t="shared" si="468"/>
        <v/>
      </c>
      <c r="BW603" s="28"/>
      <c r="BX603" s="91"/>
    </row>
    <row r="604" spans="1:76" s="55" customFormat="1" x14ac:dyDescent="0.25">
      <c r="A604" s="195">
        <v>10</v>
      </c>
      <c r="B604" s="216" t="str">
        <f t="shared" si="456"/>
        <v xml:space="preserve">: </v>
      </c>
      <c r="C604" s="221"/>
      <c r="D604" s="221"/>
      <c r="E604" s="221"/>
      <c r="F604" s="221"/>
      <c r="G604" s="240"/>
      <c r="H604" s="221"/>
      <c r="I604" s="240"/>
      <c r="J604" s="241"/>
      <c r="K604" s="241"/>
      <c r="L604" s="241"/>
      <c r="M604" s="225" t="str">
        <f t="shared" si="457"/>
        <v>TWh/kg of protein</v>
      </c>
      <c r="N604" s="227"/>
      <c r="O604" s="241"/>
      <c r="P604" s="122"/>
      <c r="Q604" s="228"/>
      <c r="R604" s="231" t="str">
        <f t="shared" si="469"/>
        <v/>
      </c>
      <c r="S604" s="230" t="str">
        <f t="shared" si="458"/>
        <v/>
      </c>
      <c r="T604" s="231" t="str">
        <f>IF(OR(Q604="Y",IFERROR(R604&gt;R615+R619*$AA$35,0),IFERROR(R604&lt;R615-R619*$AA$35,0)),"",IFERROR(R604*N604,""))</f>
        <v/>
      </c>
      <c r="U604" s="232" t="str">
        <f t="shared" si="459"/>
        <v>TWh/kg of protein</v>
      </c>
      <c r="V604" s="28"/>
      <c r="W604" s="28"/>
      <c r="Y604" s="91"/>
      <c r="AO604" s="91"/>
      <c r="AP604" s="28"/>
      <c r="AQ604" s="28"/>
      <c r="AR604" s="237"/>
      <c r="AS604" s="28"/>
      <c r="AT604" s="304" t="str">
        <f t="shared" si="470"/>
        <v/>
      </c>
      <c r="AU604" s="304" t="str">
        <f t="shared" si="470"/>
        <v/>
      </c>
      <c r="AV604" s="28"/>
      <c r="AW604" s="304" t="str">
        <f t="shared" si="460"/>
        <v/>
      </c>
      <c r="AX604" s="304" t="str">
        <f t="shared" si="460"/>
        <v/>
      </c>
      <c r="AY604" s="28"/>
      <c r="AZ604" s="304" t="str">
        <f t="shared" si="461"/>
        <v/>
      </c>
      <c r="BA604" s="304" t="str">
        <f t="shared" si="461"/>
        <v/>
      </c>
      <c r="BB604" s="28"/>
      <c r="BC604" s="304" t="str">
        <f t="shared" si="462"/>
        <v/>
      </c>
      <c r="BD604" s="304" t="str">
        <f t="shared" si="462"/>
        <v/>
      </c>
      <c r="BE604" s="28"/>
      <c r="BF604" s="304" t="str">
        <f t="shared" si="463"/>
        <v/>
      </c>
      <c r="BG604" s="304" t="str">
        <f t="shared" si="463"/>
        <v/>
      </c>
      <c r="BH604" s="28"/>
      <c r="BI604" s="304" t="str">
        <f t="shared" si="464"/>
        <v/>
      </c>
      <c r="BJ604" s="304" t="str">
        <f t="shared" si="464"/>
        <v/>
      </c>
      <c r="BK604" s="28"/>
      <c r="BL604" s="304" t="str">
        <f t="shared" si="465"/>
        <v/>
      </c>
      <c r="BM604" s="304" t="str">
        <f t="shared" si="465"/>
        <v/>
      </c>
      <c r="BN604" s="28"/>
      <c r="BO604" s="304" t="str">
        <f t="shared" si="466"/>
        <v/>
      </c>
      <c r="BP604" s="304" t="str">
        <f t="shared" si="466"/>
        <v/>
      </c>
      <c r="BQ604" s="28"/>
      <c r="BR604" s="304" t="str">
        <f t="shared" si="467"/>
        <v/>
      </c>
      <c r="BS604" s="304" t="str">
        <f t="shared" si="467"/>
        <v/>
      </c>
      <c r="BT604" s="28"/>
      <c r="BU604" s="304" t="str">
        <f t="shared" si="468"/>
        <v/>
      </c>
      <c r="BV604" s="304" t="str">
        <f t="shared" si="468"/>
        <v/>
      </c>
      <c r="BW604" s="28"/>
      <c r="BX604" s="91"/>
    </row>
    <row r="605" spans="1:76" s="55" customFormat="1" x14ac:dyDescent="0.25">
      <c r="A605" s="195">
        <v>11</v>
      </c>
      <c r="B605" s="216" t="str">
        <f t="shared" si="456"/>
        <v xml:space="preserve">: </v>
      </c>
      <c r="C605" s="221"/>
      <c r="D605" s="221"/>
      <c r="E605" s="221"/>
      <c r="F605" s="221"/>
      <c r="G605" s="240"/>
      <c r="H605" s="221"/>
      <c r="I605" s="240"/>
      <c r="J605" s="241"/>
      <c r="K605" s="241"/>
      <c r="L605" s="241"/>
      <c r="M605" s="225" t="str">
        <f t="shared" si="457"/>
        <v>TWh/kg of protein</v>
      </c>
      <c r="N605" s="227"/>
      <c r="O605" s="241"/>
      <c r="P605" s="122"/>
      <c r="Q605" s="228"/>
      <c r="R605" s="231" t="str">
        <f t="shared" si="469"/>
        <v/>
      </c>
      <c r="S605" s="230" t="str">
        <f t="shared" si="458"/>
        <v/>
      </c>
      <c r="T605" s="231" t="str">
        <f>IF(OR(Q605="Y",IFERROR(R605&gt;R615+R619*$AA$35,0),IFERROR(R605&lt;R615-R619*$AA$35,0)),"",IFERROR(R605*N605,""))</f>
        <v/>
      </c>
      <c r="U605" s="232" t="str">
        <f t="shared" si="459"/>
        <v>TWh/kg of protein</v>
      </c>
      <c r="V605" s="28"/>
      <c r="W605" s="28"/>
      <c r="Y605" s="91"/>
      <c r="AO605" s="91"/>
      <c r="AP605" s="28"/>
      <c r="AQ605" s="28"/>
      <c r="AR605" s="237"/>
      <c r="AS605" s="28"/>
      <c r="AT605" s="304" t="str">
        <f t="shared" si="470"/>
        <v/>
      </c>
      <c r="AU605" s="304" t="str">
        <f t="shared" si="470"/>
        <v/>
      </c>
      <c r="AV605" s="28"/>
      <c r="AW605" s="304" t="str">
        <f t="shared" si="460"/>
        <v/>
      </c>
      <c r="AX605" s="304" t="str">
        <f t="shared" si="460"/>
        <v/>
      </c>
      <c r="AY605" s="28"/>
      <c r="AZ605" s="304" t="str">
        <f t="shared" si="461"/>
        <v/>
      </c>
      <c r="BA605" s="304" t="str">
        <f t="shared" si="461"/>
        <v/>
      </c>
      <c r="BB605" s="28"/>
      <c r="BC605" s="304" t="str">
        <f t="shared" si="462"/>
        <v/>
      </c>
      <c r="BD605" s="304" t="str">
        <f t="shared" si="462"/>
        <v/>
      </c>
      <c r="BE605" s="28"/>
      <c r="BF605" s="304" t="str">
        <f t="shared" si="463"/>
        <v/>
      </c>
      <c r="BG605" s="304" t="str">
        <f t="shared" si="463"/>
        <v/>
      </c>
      <c r="BH605" s="28"/>
      <c r="BI605" s="304" t="str">
        <f t="shared" si="464"/>
        <v/>
      </c>
      <c r="BJ605" s="304" t="str">
        <f t="shared" si="464"/>
        <v/>
      </c>
      <c r="BK605" s="28"/>
      <c r="BL605" s="304" t="str">
        <f t="shared" si="465"/>
        <v/>
      </c>
      <c r="BM605" s="304" t="str">
        <f t="shared" si="465"/>
        <v/>
      </c>
      <c r="BN605" s="28"/>
      <c r="BO605" s="304" t="str">
        <f t="shared" si="466"/>
        <v/>
      </c>
      <c r="BP605" s="304" t="str">
        <f t="shared" si="466"/>
        <v/>
      </c>
      <c r="BQ605" s="28"/>
      <c r="BR605" s="304" t="str">
        <f t="shared" si="467"/>
        <v/>
      </c>
      <c r="BS605" s="304" t="str">
        <f t="shared" si="467"/>
        <v/>
      </c>
      <c r="BT605" s="28"/>
      <c r="BU605" s="304" t="str">
        <f t="shared" si="468"/>
        <v/>
      </c>
      <c r="BV605" s="304" t="str">
        <f t="shared" si="468"/>
        <v/>
      </c>
      <c r="BW605" s="28"/>
      <c r="BX605" s="91"/>
    </row>
    <row r="606" spans="1:76" s="55" customFormat="1" x14ac:dyDescent="0.25">
      <c r="A606" s="195">
        <v>12</v>
      </c>
      <c r="B606" s="216" t="str">
        <f t="shared" si="456"/>
        <v xml:space="preserve">: </v>
      </c>
      <c r="C606" s="221"/>
      <c r="D606" s="221"/>
      <c r="E606" s="221"/>
      <c r="F606" s="221"/>
      <c r="G606" s="240"/>
      <c r="H606" s="221"/>
      <c r="I606" s="240"/>
      <c r="J606" s="241"/>
      <c r="K606" s="241"/>
      <c r="L606" s="241"/>
      <c r="M606" s="225" t="str">
        <f t="shared" si="457"/>
        <v>TWh/kg of protein</v>
      </c>
      <c r="N606" s="227"/>
      <c r="O606" s="241"/>
      <c r="P606" s="122"/>
      <c r="Q606" s="228"/>
      <c r="R606" s="231" t="str">
        <f t="shared" si="469"/>
        <v/>
      </c>
      <c r="S606" s="230" t="str">
        <f t="shared" si="458"/>
        <v/>
      </c>
      <c r="T606" s="231" t="str">
        <f>IF(OR(Q606="Y",IFERROR(R606&gt;R615+R619*$AA$35,0),IFERROR(R606&lt;R615-R619*$AA$35,0)),"",IFERROR(R606*N606,""))</f>
        <v/>
      </c>
      <c r="U606" s="232" t="str">
        <f t="shared" si="459"/>
        <v>TWh/kg of protein</v>
      </c>
      <c r="V606" s="28"/>
      <c r="W606" s="28"/>
      <c r="Y606" s="91"/>
      <c r="AO606" s="91"/>
      <c r="AP606" s="28"/>
      <c r="AQ606" s="28"/>
      <c r="AR606" s="237"/>
      <c r="AS606" s="28"/>
      <c r="AT606" s="304" t="str">
        <f t="shared" si="470"/>
        <v/>
      </c>
      <c r="AU606" s="304" t="str">
        <f t="shared" si="470"/>
        <v/>
      </c>
      <c r="AV606" s="28"/>
      <c r="AW606" s="304" t="str">
        <f t="shared" si="460"/>
        <v/>
      </c>
      <c r="AX606" s="304" t="str">
        <f t="shared" si="460"/>
        <v/>
      </c>
      <c r="AY606" s="28"/>
      <c r="AZ606" s="304" t="str">
        <f t="shared" si="461"/>
        <v/>
      </c>
      <c r="BA606" s="304" t="str">
        <f t="shared" si="461"/>
        <v/>
      </c>
      <c r="BB606" s="28"/>
      <c r="BC606" s="304" t="str">
        <f t="shared" si="462"/>
        <v/>
      </c>
      <c r="BD606" s="304" t="str">
        <f t="shared" si="462"/>
        <v/>
      </c>
      <c r="BE606" s="28"/>
      <c r="BF606" s="304" t="str">
        <f t="shared" si="463"/>
        <v/>
      </c>
      <c r="BG606" s="304" t="str">
        <f t="shared" si="463"/>
        <v/>
      </c>
      <c r="BH606" s="28"/>
      <c r="BI606" s="304" t="str">
        <f t="shared" si="464"/>
        <v/>
      </c>
      <c r="BJ606" s="304" t="str">
        <f t="shared" si="464"/>
        <v/>
      </c>
      <c r="BK606" s="28"/>
      <c r="BL606" s="304" t="str">
        <f t="shared" si="465"/>
        <v/>
      </c>
      <c r="BM606" s="304" t="str">
        <f t="shared" si="465"/>
        <v/>
      </c>
      <c r="BN606" s="28"/>
      <c r="BO606" s="304" t="str">
        <f t="shared" si="466"/>
        <v/>
      </c>
      <c r="BP606" s="304" t="str">
        <f t="shared" si="466"/>
        <v/>
      </c>
      <c r="BQ606" s="28"/>
      <c r="BR606" s="304" t="str">
        <f t="shared" si="467"/>
        <v/>
      </c>
      <c r="BS606" s="304" t="str">
        <f t="shared" si="467"/>
        <v/>
      </c>
      <c r="BT606" s="28"/>
      <c r="BU606" s="304" t="str">
        <f t="shared" si="468"/>
        <v/>
      </c>
      <c r="BV606" s="304" t="str">
        <f t="shared" si="468"/>
        <v/>
      </c>
      <c r="BW606" s="28"/>
      <c r="BX606" s="91"/>
    </row>
    <row r="607" spans="1:76" s="55" customFormat="1" x14ac:dyDescent="0.25">
      <c r="A607" s="195">
        <v>13</v>
      </c>
      <c r="B607" s="216" t="str">
        <f t="shared" si="456"/>
        <v xml:space="preserve">: </v>
      </c>
      <c r="C607" s="221"/>
      <c r="D607" s="221"/>
      <c r="E607" s="221"/>
      <c r="F607" s="221"/>
      <c r="G607" s="240"/>
      <c r="H607" s="221"/>
      <c r="I607" s="240"/>
      <c r="J607" s="241"/>
      <c r="K607" s="241"/>
      <c r="L607" s="241"/>
      <c r="M607" s="225" t="str">
        <f t="shared" si="457"/>
        <v>TWh/kg of protein</v>
      </c>
      <c r="N607" s="227"/>
      <c r="O607" s="241"/>
      <c r="P607" s="122"/>
      <c r="Q607" s="228"/>
      <c r="R607" s="231" t="str">
        <f t="shared" si="469"/>
        <v/>
      </c>
      <c r="S607" s="230" t="str">
        <f t="shared" si="458"/>
        <v/>
      </c>
      <c r="T607" s="231" t="str">
        <f>IF(OR(Q607="Y",IFERROR(R607&gt;R615+R619*$AA$35,0),IFERROR(R607&lt;R615-R619*$AA$35,0)),"",IFERROR(R607*N607,""))</f>
        <v/>
      </c>
      <c r="U607" s="232" t="str">
        <f t="shared" si="459"/>
        <v>TWh/kg of protein</v>
      </c>
      <c r="V607" s="28"/>
      <c r="W607" s="28"/>
      <c r="Y607" s="91"/>
      <c r="AO607" s="91"/>
      <c r="AP607" s="28"/>
      <c r="AQ607" s="28"/>
      <c r="AR607" s="237"/>
      <c r="AS607" s="28"/>
      <c r="AT607" s="304" t="str">
        <f t="shared" si="470"/>
        <v/>
      </c>
      <c r="AU607" s="304" t="str">
        <f t="shared" si="470"/>
        <v/>
      </c>
      <c r="AV607" s="28"/>
      <c r="AW607" s="304" t="str">
        <f t="shared" si="460"/>
        <v/>
      </c>
      <c r="AX607" s="304" t="str">
        <f t="shared" si="460"/>
        <v/>
      </c>
      <c r="AY607" s="28"/>
      <c r="AZ607" s="304" t="str">
        <f t="shared" si="461"/>
        <v/>
      </c>
      <c r="BA607" s="304" t="str">
        <f t="shared" si="461"/>
        <v/>
      </c>
      <c r="BB607" s="28"/>
      <c r="BC607" s="304" t="str">
        <f t="shared" si="462"/>
        <v/>
      </c>
      <c r="BD607" s="304" t="str">
        <f t="shared" si="462"/>
        <v/>
      </c>
      <c r="BE607" s="28"/>
      <c r="BF607" s="304" t="str">
        <f t="shared" si="463"/>
        <v/>
      </c>
      <c r="BG607" s="304" t="str">
        <f t="shared" si="463"/>
        <v/>
      </c>
      <c r="BH607" s="28"/>
      <c r="BI607" s="304" t="str">
        <f t="shared" si="464"/>
        <v/>
      </c>
      <c r="BJ607" s="304" t="str">
        <f t="shared" si="464"/>
        <v/>
      </c>
      <c r="BK607" s="28"/>
      <c r="BL607" s="304" t="str">
        <f t="shared" si="465"/>
        <v/>
      </c>
      <c r="BM607" s="304" t="str">
        <f t="shared" si="465"/>
        <v/>
      </c>
      <c r="BN607" s="28"/>
      <c r="BO607" s="304" t="str">
        <f t="shared" si="466"/>
        <v/>
      </c>
      <c r="BP607" s="304" t="str">
        <f t="shared" si="466"/>
        <v/>
      </c>
      <c r="BQ607" s="28"/>
      <c r="BR607" s="304" t="str">
        <f t="shared" si="467"/>
        <v/>
      </c>
      <c r="BS607" s="304" t="str">
        <f t="shared" si="467"/>
        <v/>
      </c>
      <c r="BT607" s="28"/>
      <c r="BU607" s="304" t="str">
        <f t="shared" si="468"/>
        <v/>
      </c>
      <c r="BV607" s="304" t="str">
        <f t="shared" si="468"/>
        <v/>
      </c>
      <c r="BW607" s="28"/>
      <c r="BX607" s="91"/>
    </row>
    <row r="608" spans="1:76" s="55" customFormat="1" x14ac:dyDescent="0.25">
      <c r="A608" s="195">
        <v>14</v>
      </c>
      <c r="B608" s="216" t="str">
        <f t="shared" si="456"/>
        <v xml:space="preserve">: </v>
      </c>
      <c r="C608" s="221"/>
      <c r="D608" s="221"/>
      <c r="E608" s="221"/>
      <c r="F608" s="221"/>
      <c r="G608" s="240"/>
      <c r="H608" s="221"/>
      <c r="I608" s="240"/>
      <c r="J608" s="241"/>
      <c r="K608" s="241"/>
      <c r="L608" s="241"/>
      <c r="M608" s="225" t="str">
        <f t="shared" si="457"/>
        <v>TWh/kg of protein</v>
      </c>
      <c r="N608" s="227"/>
      <c r="O608" s="241"/>
      <c r="P608" s="122"/>
      <c r="Q608" s="228"/>
      <c r="R608" s="231" t="str">
        <f t="shared" si="469"/>
        <v/>
      </c>
      <c r="S608" s="230" t="str">
        <f t="shared" si="458"/>
        <v/>
      </c>
      <c r="T608" s="231" t="str">
        <f>IF(OR(Q608="Y",IFERROR(R608&gt;R615+R619*$AA$35,0),IFERROR(R608&lt;R615-R619*$AA$35,0)),"",IFERROR(R608*N608,""))</f>
        <v/>
      </c>
      <c r="U608" s="232" t="str">
        <f t="shared" si="459"/>
        <v>TWh/kg of protein</v>
      </c>
      <c r="V608" s="28"/>
      <c r="W608" s="28"/>
      <c r="Y608" s="91"/>
      <c r="AO608" s="91"/>
      <c r="AP608" s="28"/>
      <c r="AQ608" s="28"/>
      <c r="AR608" s="237"/>
      <c r="AS608" s="28"/>
      <c r="AT608" s="304" t="str">
        <f t="shared" si="470"/>
        <v/>
      </c>
      <c r="AU608" s="304" t="str">
        <f t="shared" si="470"/>
        <v/>
      </c>
      <c r="AV608" s="28"/>
      <c r="AW608" s="304" t="str">
        <f t="shared" si="460"/>
        <v/>
      </c>
      <c r="AX608" s="304" t="str">
        <f t="shared" si="460"/>
        <v/>
      </c>
      <c r="AY608" s="28"/>
      <c r="AZ608" s="304" t="str">
        <f t="shared" si="461"/>
        <v/>
      </c>
      <c r="BA608" s="304" t="str">
        <f t="shared" si="461"/>
        <v/>
      </c>
      <c r="BB608" s="28"/>
      <c r="BC608" s="304" t="str">
        <f t="shared" si="462"/>
        <v/>
      </c>
      <c r="BD608" s="304" t="str">
        <f t="shared" si="462"/>
        <v/>
      </c>
      <c r="BE608" s="28"/>
      <c r="BF608" s="304" t="str">
        <f t="shared" si="463"/>
        <v/>
      </c>
      <c r="BG608" s="304" t="str">
        <f t="shared" si="463"/>
        <v/>
      </c>
      <c r="BH608" s="28"/>
      <c r="BI608" s="304" t="str">
        <f t="shared" si="464"/>
        <v/>
      </c>
      <c r="BJ608" s="304" t="str">
        <f t="shared" si="464"/>
        <v/>
      </c>
      <c r="BK608" s="28"/>
      <c r="BL608" s="304" t="str">
        <f t="shared" si="465"/>
        <v/>
      </c>
      <c r="BM608" s="304" t="str">
        <f t="shared" si="465"/>
        <v/>
      </c>
      <c r="BN608" s="28"/>
      <c r="BO608" s="304" t="str">
        <f t="shared" si="466"/>
        <v/>
      </c>
      <c r="BP608" s="304" t="str">
        <f t="shared" si="466"/>
        <v/>
      </c>
      <c r="BQ608" s="28"/>
      <c r="BR608" s="304" t="str">
        <f t="shared" si="467"/>
        <v/>
      </c>
      <c r="BS608" s="304" t="str">
        <f t="shared" si="467"/>
        <v/>
      </c>
      <c r="BT608" s="28"/>
      <c r="BU608" s="304" t="str">
        <f t="shared" si="468"/>
        <v/>
      </c>
      <c r="BV608" s="304" t="str">
        <f t="shared" si="468"/>
        <v/>
      </c>
      <c r="BW608" s="28"/>
      <c r="BX608" s="91"/>
    </row>
    <row r="609" spans="1:76" s="55" customFormat="1" x14ac:dyDescent="0.25">
      <c r="A609" s="195">
        <v>15</v>
      </c>
      <c r="B609" s="216" t="str">
        <f t="shared" si="456"/>
        <v xml:space="preserve">: </v>
      </c>
      <c r="C609" s="221"/>
      <c r="D609" s="221"/>
      <c r="E609" s="221"/>
      <c r="F609" s="221"/>
      <c r="G609" s="240"/>
      <c r="H609" s="221"/>
      <c r="I609" s="240"/>
      <c r="J609" s="241"/>
      <c r="K609" s="241"/>
      <c r="L609" s="241"/>
      <c r="M609" s="225" t="str">
        <f t="shared" si="457"/>
        <v>TWh/kg of protein</v>
      </c>
      <c r="N609" s="227"/>
      <c r="O609" s="241"/>
      <c r="P609" s="122"/>
      <c r="Q609" s="228"/>
      <c r="R609" s="231" t="str">
        <f t="shared" si="469"/>
        <v/>
      </c>
      <c r="S609" s="230" t="str">
        <f t="shared" si="458"/>
        <v/>
      </c>
      <c r="T609" s="231" t="str">
        <f>IF(OR(Q609="Y",IFERROR(R609&gt;R615+R619*$AA$35,0),IFERROR(R609&lt;R615-R619*$AA$35,0)),"",IFERROR(R609*N609,""))</f>
        <v/>
      </c>
      <c r="U609" s="232" t="str">
        <f t="shared" si="459"/>
        <v>TWh/kg of protein</v>
      </c>
      <c r="V609" s="28"/>
      <c r="W609" s="28"/>
      <c r="Y609" s="91"/>
      <c r="AO609" s="91"/>
      <c r="AP609" s="28"/>
      <c r="AQ609" s="28"/>
      <c r="AR609" s="237"/>
      <c r="AS609" s="28"/>
      <c r="AT609" s="304" t="str">
        <f t="shared" si="470"/>
        <v/>
      </c>
      <c r="AU609" s="304" t="str">
        <f t="shared" si="470"/>
        <v/>
      </c>
      <c r="AV609" s="28"/>
      <c r="AW609" s="304" t="str">
        <f t="shared" si="460"/>
        <v/>
      </c>
      <c r="AX609" s="304" t="str">
        <f t="shared" si="460"/>
        <v/>
      </c>
      <c r="AY609" s="28"/>
      <c r="AZ609" s="304" t="str">
        <f t="shared" si="461"/>
        <v/>
      </c>
      <c r="BA609" s="304" t="str">
        <f t="shared" si="461"/>
        <v/>
      </c>
      <c r="BB609" s="28"/>
      <c r="BC609" s="304" t="str">
        <f t="shared" si="462"/>
        <v/>
      </c>
      <c r="BD609" s="304" t="str">
        <f t="shared" si="462"/>
        <v/>
      </c>
      <c r="BE609" s="28"/>
      <c r="BF609" s="304" t="str">
        <f t="shared" si="463"/>
        <v/>
      </c>
      <c r="BG609" s="304" t="str">
        <f t="shared" si="463"/>
        <v/>
      </c>
      <c r="BH609" s="28"/>
      <c r="BI609" s="304" t="str">
        <f t="shared" si="464"/>
        <v/>
      </c>
      <c r="BJ609" s="304" t="str">
        <f t="shared" si="464"/>
        <v/>
      </c>
      <c r="BK609" s="28"/>
      <c r="BL609" s="304" t="str">
        <f t="shared" si="465"/>
        <v/>
      </c>
      <c r="BM609" s="304" t="str">
        <f t="shared" si="465"/>
        <v/>
      </c>
      <c r="BN609" s="28"/>
      <c r="BO609" s="304" t="str">
        <f t="shared" si="466"/>
        <v/>
      </c>
      <c r="BP609" s="304" t="str">
        <f t="shared" si="466"/>
        <v/>
      </c>
      <c r="BQ609" s="28"/>
      <c r="BR609" s="304" t="str">
        <f t="shared" si="467"/>
        <v/>
      </c>
      <c r="BS609" s="304" t="str">
        <f t="shared" si="467"/>
        <v/>
      </c>
      <c r="BT609" s="28"/>
      <c r="BU609" s="304" t="str">
        <f t="shared" si="468"/>
        <v/>
      </c>
      <c r="BV609" s="304" t="str">
        <f t="shared" si="468"/>
        <v/>
      </c>
      <c r="BW609" s="28"/>
      <c r="BX609" s="91"/>
    </row>
    <row r="610" spans="1:76" s="55" customFormat="1" x14ac:dyDescent="0.25">
      <c r="A610" s="195">
        <v>16</v>
      </c>
      <c r="B610" s="216" t="str">
        <f t="shared" si="456"/>
        <v xml:space="preserve">: </v>
      </c>
      <c r="C610" s="221"/>
      <c r="D610" s="221"/>
      <c r="E610" s="221"/>
      <c r="F610" s="221"/>
      <c r="G610" s="240"/>
      <c r="H610" s="221"/>
      <c r="I610" s="240"/>
      <c r="J610" s="241"/>
      <c r="K610" s="241"/>
      <c r="L610" s="241"/>
      <c r="M610" s="225" t="str">
        <f t="shared" si="457"/>
        <v>TWh/kg of protein</v>
      </c>
      <c r="N610" s="227"/>
      <c r="O610" s="241"/>
      <c r="P610" s="122"/>
      <c r="Q610" s="228"/>
      <c r="R610" s="231" t="str">
        <f t="shared" si="469"/>
        <v/>
      </c>
      <c r="S610" s="230" t="str">
        <f t="shared" si="458"/>
        <v/>
      </c>
      <c r="T610" s="231" t="str">
        <f>IF(OR(Q610="Y",IFERROR(R610&gt;R615+R619*$AA$35,0),IFERROR(R610&lt;R615-R619*$AA$35,0)),"",IFERROR(R610*N610,""))</f>
        <v/>
      </c>
      <c r="U610" s="232" t="str">
        <f t="shared" si="459"/>
        <v>TWh/kg of protein</v>
      </c>
      <c r="V610" s="28"/>
      <c r="W610" s="28"/>
      <c r="Y610" s="91"/>
      <c r="AO610" s="91"/>
      <c r="AP610" s="28"/>
      <c r="AQ610" s="28"/>
      <c r="AR610" s="237"/>
      <c r="AS610" s="28"/>
      <c r="AT610" s="304" t="str">
        <f t="shared" si="470"/>
        <v/>
      </c>
      <c r="AU610" s="304" t="str">
        <f t="shared" si="470"/>
        <v/>
      </c>
      <c r="AV610" s="28"/>
      <c r="AW610" s="304" t="str">
        <f t="shared" si="460"/>
        <v/>
      </c>
      <c r="AX610" s="304" t="str">
        <f t="shared" si="460"/>
        <v/>
      </c>
      <c r="AY610" s="28"/>
      <c r="AZ610" s="304" t="str">
        <f t="shared" si="461"/>
        <v/>
      </c>
      <c r="BA610" s="304" t="str">
        <f t="shared" si="461"/>
        <v/>
      </c>
      <c r="BB610" s="28"/>
      <c r="BC610" s="304" t="str">
        <f t="shared" si="462"/>
        <v/>
      </c>
      <c r="BD610" s="304" t="str">
        <f t="shared" si="462"/>
        <v/>
      </c>
      <c r="BE610" s="28"/>
      <c r="BF610" s="304" t="str">
        <f t="shared" si="463"/>
        <v/>
      </c>
      <c r="BG610" s="304" t="str">
        <f t="shared" si="463"/>
        <v/>
      </c>
      <c r="BH610" s="28"/>
      <c r="BI610" s="304" t="str">
        <f t="shared" si="464"/>
        <v/>
      </c>
      <c r="BJ610" s="304" t="str">
        <f t="shared" si="464"/>
        <v/>
      </c>
      <c r="BK610" s="28"/>
      <c r="BL610" s="304" t="str">
        <f t="shared" si="465"/>
        <v/>
      </c>
      <c r="BM610" s="304" t="str">
        <f t="shared" si="465"/>
        <v/>
      </c>
      <c r="BN610" s="28"/>
      <c r="BO610" s="304" t="str">
        <f t="shared" si="466"/>
        <v/>
      </c>
      <c r="BP610" s="304" t="str">
        <f t="shared" si="466"/>
        <v/>
      </c>
      <c r="BQ610" s="28"/>
      <c r="BR610" s="304" t="str">
        <f t="shared" si="467"/>
        <v/>
      </c>
      <c r="BS610" s="304" t="str">
        <f t="shared" si="467"/>
        <v/>
      </c>
      <c r="BT610" s="28"/>
      <c r="BU610" s="304" t="str">
        <f t="shared" si="468"/>
        <v/>
      </c>
      <c r="BV610" s="304" t="str">
        <f t="shared" si="468"/>
        <v/>
      </c>
      <c r="BW610" s="28"/>
      <c r="BX610" s="91"/>
    </row>
    <row r="611" spans="1:76" s="55" customFormat="1" x14ac:dyDescent="0.25">
      <c r="A611" s="195">
        <v>17</v>
      </c>
      <c r="B611" s="216" t="str">
        <f t="shared" si="456"/>
        <v xml:space="preserve">: </v>
      </c>
      <c r="C611" s="221"/>
      <c r="D611" s="221"/>
      <c r="E611" s="221"/>
      <c r="F611" s="221"/>
      <c r="G611" s="240"/>
      <c r="H611" s="221"/>
      <c r="I611" s="240"/>
      <c r="J611" s="241"/>
      <c r="K611" s="241"/>
      <c r="L611" s="241"/>
      <c r="M611" s="225" t="str">
        <f t="shared" si="457"/>
        <v>TWh/kg of protein</v>
      </c>
      <c r="N611" s="227"/>
      <c r="O611" s="241"/>
      <c r="P611" s="122"/>
      <c r="Q611" s="228"/>
      <c r="R611" s="231" t="str">
        <f t="shared" si="469"/>
        <v/>
      </c>
      <c r="S611" s="230" t="str">
        <f t="shared" si="458"/>
        <v/>
      </c>
      <c r="T611" s="231" t="str">
        <f>IF(OR(Q611="Y",IFERROR(R611&gt;R615+R619*$AA$35,0),IFERROR(R611&lt;R615-R619*$AA$35,0)),"",IFERROR(R611*N611,""))</f>
        <v/>
      </c>
      <c r="U611" s="232" t="str">
        <f t="shared" si="459"/>
        <v>TWh/kg of protein</v>
      </c>
      <c r="V611" s="28"/>
      <c r="W611" s="28"/>
      <c r="Y611" s="91"/>
      <c r="AO611" s="91"/>
      <c r="AP611" s="28"/>
      <c r="AQ611" s="28"/>
      <c r="AR611" s="237"/>
      <c r="AS611" s="28"/>
      <c r="AT611" s="304" t="str">
        <f t="shared" si="470"/>
        <v/>
      </c>
      <c r="AU611" s="304" t="str">
        <f t="shared" si="470"/>
        <v/>
      </c>
      <c r="AV611" s="28"/>
      <c r="AW611" s="304" t="str">
        <f t="shared" si="460"/>
        <v/>
      </c>
      <c r="AX611" s="304" t="str">
        <f t="shared" si="460"/>
        <v/>
      </c>
      <c r="AY611" s="28"/>
      <c r="AZ611" s="304" t="str">
        <f t="shared" si="461"/>
        <v/>
      </c>
      <c r="BA611" s="304" t="str">
        <f t="shared" si="461"/>
        <v/>
      </c>
      <c r="BB611" s="28"/>
      <c r="BC611" s="304" t="str">
        <f t="shared" si="462"/>
        <v/>
      </c>
      <c r="BD611" s="304" t="str">
        <f t="shared" si="462"/>
        <v/>
      </c>
      <c r="BE611" s="28"/>
      <c r="BF611" s="304" t="str">
        <f t="shared" si="463"/>
        <v/>
      </c>
      <c r="BG611" s="304" t="str">
        <f t="shared" si="463"/>
        <v/>
      </c>
      <c r="BH611" s="28"/>
      <c r="BI611" s="304" t="str">
        <f t="shared" si="464"/>
        <v/>
      </c>
      <c r="BJ611" s="304" t="str">
        <f t="shared" si="464"/>
        <v/>
      </c>
      <c r="BK611" s="28"/>
      <c r="BL611" s="304" t="str">
        <f t="shared" si="465"/>
        <v/>
      </c>
      <c r="BM611" s="304" t="str">
        <f t="shared" si="465"/>
        <v/>
      </c>
      <c r="BN611" s="28"/>
      <c r="BO611" s="304" t="str">
        <f t="shared" si="466"/>
        <v/>
      </c>
      <c r="BP611" s="304" t="str">
        <f t="shared" si="466"/>
        <v/>
      </c>
      <c r="BQ611" s="28"/>
      <c r="BR611" s="304" t="str">
        <f t="shared" si="467"/>
        <v/>
      </c>
      <c r="BS611" s="304" t="str">
        <f t="shared" si="467"/>
        <v/>
      </c>
      <c r="BT611" s="28"/>
      <c r="BU611" s="304" t="str">
        <f t="shared" si="468"/>
        <v/>
      </c>
      <c r="BV611" s="304" t="str">
        <f t="shared" si="468"/>
        <v/>
      </c>
      <c r="BW611" s="28"/>
      <c r="BX611" s="91"/>
    </row>
    <row r="612" spans="1:76" s="55" customFormat="1" x14ac:dyDescent="0.25">
      <c r="A612" s="195">
        <v>18</v>
      </c>
      <c r="B612" s="216" t="str">
        <f t="shared" si="456"/>
        <v xml:space="preserve">: </v>
      </c>
      <c r="C612" s="221"/>
      <c r="D612" s="221"/>
      <c r="E612" s="221"/>
      <c r="F612" s="221"/>
      <c r="G612" s="240"/>
      <c r="H612" s="221"/>
      <c r="I612" s="240"/>
      <c r="J612" s="241"/>
      <c r="K612" s="241"/>
      <c r="L612" s="241"/>
      <c r="M612" s="225" t="str">
        <f t="shared" si="457"/>
        <v>TWh/kg of protein</v>
      </c>
      <c r="N612" s="227"/>
      <c r="O612" s="241"/>
      <c r="P612" s="122"/>
      <c r="Q612" s="228"/>
      <c r="R612" s="231" t="str">
        <f t="shared" si="469"/>
        <v/>
      </c>
      <c r="S612" s="230" t="str">
        <f t="shared" si="458"/>
        <v/>
      </c>
      <c r="T612" s="231" t="str">
        <f>IF(OR(Q612="Y",IFERROR(R612&gt;R615+R619*$AA$35,0),IFERROR(R612&lt;R615-R619*$AA$35,0)),"",IFERROR(R612*N612,""))</f>
        <v/>
      </c>
      <c r="U612" s="232" t="str">
        <f t="shared" si="459"/>
        <v>TWh/kg of protein</v>
      </c>
      <c r="V612" s="28"/>
      <c r="W612" s="28"/>
      <c r="Y612" s="91"/>
      <c r="AO612" s="91"/>
      <c r="AP612" s="28"/>
      <c r="AQ612" s="28"/>
      <c r="AR612" s="237"/>
      <c r="AS612" s="28"/>
      <c r="AT612" s="304" t="str">
        <f t="shared" si="470"/>
        <v/>
      </c>
      <c r="AU612" s="304" t="str">
        <f t="shared" si="470"/>
        <v/>
      </c>
      <c r="AV612" s="28"/>
      <c r="AW612" s="304" t="str">
        <f t="shared" si="460"/>
        <v/>
      </c>
      <c r="AX612" s="304" t="str">
        <f t="shared" si="460"/>
        <v/>
      </c>
      <c r="AY612" s="28"/>
      <c r="AZ612" s="304" t="str">
        <f t="shared" si="461"/>
        <v/>
      </c>
      <c r="BA612" s="304" t="str">
        <f t="shared" si="461"/>
        <v/>
      </c>
      <c r="BB612" s="28"/>
      <c r="BC612" s="304" t="str">
        <f t="shared" si="462"/>
        <v/>
      </c>
      <c r="BD612" s="304" t="str">
        <f t="shared" si="462"/>
        <v/>
      </c>
      <c r="BE612" s="28"/>
      <c r="BF612" s="304" t="str">
        <f t="shared" si="463"/>
        <v/>
      </c>
      <c r="BG612" s="304" t="str">
        <f t="shared" si="463"/>
        <v/>
      </c>
      <c r="BH612" s="28"/>
      <c r="BI612" s="304" t="str">
        <f t="shared" si="464"/>
        <v/>
      </c>
      <c r="BJ612" s="304" t="str">
        <f t="shared" si="464"/>
        <v/>
      </c>
      <c r="BK612" s="28"/>
      <c r="BL612" s="304" t="str">
        <f t="shared" si="465"/>
        <v/>
      </c>
      <c r="BM612" s="304" t="str">
        <f t="shared" si="465"/>
        <v/>
      </c>
      <c r="BN612" s="28"/>
      <c r="BO612" s="304" t="str">
        <f t="shared" si="466"/>
        <v/>
      </c>
      <c r="BP612" s="304" t="str">
        <f t="shared" si="466"/>
        <v/>
      </c>
      <c r="BQ612" s="28"/>
      <c r="BR612" s="304" t="str">
        <f t="shared" si="467"/>
        <v/>
      </c>
      <c r="BS612" s="304" t="str">
        <f t="shared" si="467"/>
        <v/>
      </c>
      <c r="BT612" s="28"/>
      <c r="BU612" s="304" t="str">
        <f t="shared" si="468"/>
        <v/>
      </c>
      <c r="BV612" s="304" t="str">
        <f t="shared" si="468"/>
        <v/>
      </c>
      <c r="BW612" s="28"/>
      <c r="BX612" s="91"/>
    </row>
    <row r="613" spans="1:76" s="55" customFormat="1" x14ac:dyDescent="0.25">
      <c r="A613" s="195">
        <v>19</v>
      </c>
      <c r="B613" s="216" t="str">
        <f t="shared" si="456"/>
        <v xml:space="preserve">: </v>
      </c>
      <c r="C613" s="221"/>
      <c r="D613" s="221"/>
      <c r="E613" s="221"/>
      <c r="F613" s="221"/>
      <c r="G613" s="240"/>
      <c r="H613" s="221"/>
      <c r="I613" s="240"/>
      <c r="J613" s="241"/>
      <c r="K613" s="241"/>
      <c r="L613" s="241"/>
      <c r="M613" s="225" t="str">
        <f t="shared" si="457"/>
        <v>TWh/kg of protein</v>
      </c>
      <c r="N613" s="227"/>
      <c r="O613" s="241"/>
      <c r="P613" s="122"/>
      <c r="Q613" s="228"/>
      <c r="R613" s="231" t="str">
        <f t="shared" si="469"/>
        <v/>
      </c>
      <c r="S613" s="230" t="str">
        <f t="shared" si="458"/>
        <v/>
      </c>
      <c r="T613" s="231" t="str">
        <f>IF(OR(Q613="Y",IFERROR(R613&gt;R615+R619*$AA$35,0),IFERROR(R613&lt;R615-R619*$AA$35,0)),"",IFERROR(R613*N613,""))</f>
        <v/>
      </c>
      <c r="U613" s="232" t="str">
        <f t="shared" si="459"/>
        <v>TWh/kg of protein</v>
      </c>
      <c r="V613" s="28"/>
      <c r="W613" s="28"/>
      <c r="Y613" s="91"/>
      <c r="AO613" s="91"/>
      <c r="AP613" s="28"/>
      <c r="AQ613" s="28"/>
      <c r="AR613" s="237"/>
      <c r="AS613" s="28"/>
      <c r="AT613" s="304" t="str">
        <f t="shared" si="470"/>
        <v/>
      </c>
      <c r="AU613" s="304" t="str">
        <f t="shared" si="470"/>
        <v/>
      </c>
      <c r="AV613" s="28"/>
      <c r="AW613" s="304" t="str">
        <f t="shared" si="460"/>
        <v/>
      </c>
      <c r="AX613" s="304" t="str">
        <f t="shared" si="460"/>
        <v/>
      </c>
      <c r="AY613" s="28"/>
      <c r="AZ613" s="304" t="str">
        <f t="shared" si="461"/>
        <v/>
      </c>
      <c r="BA613" s="304" t="str">
        <f t="shared" si="461"/>
        <v/>
      </c>
      <c r="BB613" s="28"/>
      <c r="BC613" s="304" t="str">
        <f t="shared" si="462"/>
        <v/>
      </c>
      <c r="BD613" s="304" t="str">
        <f t="shared" si="462"/>
        <v/>
      </c>
      <c r="BE613" s="28"/>
      <c r="BF613" s="304" t="str">
        <f t="shared" si="463"/>
        <v/>
      </c>
      <c r="BG613" s="304" t="str">
        <f t="shared" si="463"/>
        <v/>
      </c>
      <c r="BH613" s="28"/>
      <c r="BI613" s="304" t="str">
        <f t="shared" si="464"/>
        <v/>
      </c>
      <c r="BJ613" s="304" t="str">
        <f t="shared" si="464"/>
        <v/>
      </c>
      <c r="BK613" s="28"/>
      <c r="BL613" s="304" t="str">
        <f t="shared" si="465"/>
        <v/>
      </c>
      <c r="BM613" s="304" t="str">
        <f t="shared" si="465"/>
        <v/>
      </c>
      <c r="BN613" s="28"/>
      <c r="BO613" s="304" t="str">
        <f t="shared" si="466"/>
        <v/>
      </c>
      <c r="BP613" s="304" t="str">
        <f t="shared" si="466"/>
        <v/>
      </c>
      <c r="BQ613" s="28"/>
      <c r="BR613" s="304" t="str">
        <f t="shared" si="467"/>
        <v/>
      </c>
      <c r="BS613" s="304" t="str">
        <f t="shared" si="467"/>
        <v/>
      </c>
      <c r="BT613" s="28"/>
      <c r="BU613" s="304" t="str">
        <f t="shared" si="468"/>
        <v/>
      </c>
      <c r="BV613" s="304" t="str">
        <f t="shared" si="468"/>
        <v/>
      </c>
      <c r="BW613" s="28"/>
      <c r="BX613" s="91"/>
    </row>
    <row r="614" spans="1:76" s="55" customFormat="1" x14ac:dyDescent="0.25">
      <c r="A614" s="195">
        <v>20</v>
      </c>
      <c r="B614" s="216" t="str">
        <f t="shared" si="456"/>
        <v xml:space="preserve">: </v>
      </c>
      <c r="C614" s="221"/>
      <c r="D614" s="221"/>
      <c r="E614" s="221"/>
      <c r="F614" s="221"/>
      <c r="G614" s="240"/>
      <c r="H614" s="221"/>
      <c r="I614" s="240"/>
      <c r="J614" s="241"/>
      <c r="K614" s="241"/>
      <c r="L614" s="241"/>
      <c r="M614" s="225" t="str">
        <f t="shared" si="457"/>
        <v>TWh/kg of protein</v>
      </c>
      <c r="N614" s="227"/>
      <c r="O614" s="241"/>
      <c r="P614" s="122"/>
      <c r="Q614" s="228"/>
      <c r="R614" s="231" t="str">
        <f t="shared" si="469"/>
        <v/>
      </c>
      <c r="S614" s="230" t="str">
        <f t="shared" si="458"/>
        <v/>
      </c>
      <c r="T614" s="231" t="str">
        <f>IF(OR(Q614="Y",IFERROR(R614&gt;R615+R619*$AA$35,0),IFERROR(R614&lt;R615-R619*$AA$35,0)),"",IFERROR(R614*N614,""))</f>
        <v/>
      </c>
      <c r="U614" s="232" t="str">
        <f t="shared" si="459"/>
        <v>TWh/kg of protein</v>
      </c>
      <c r="V614" s="28"/>
      <c r="W614" s="28"/>
      <c r="Y614" s="91"/>
      <c r="AO614" s="91"/>
      <c r="AP614" s="28"/>
      <c r="AQ614" s="28"/>
      <c r="AR614" s="237"/>
      <c r="AS614" s="28"/>
      <c r="AT614" s="304" t="str">
        <f t="shared" si="470"/>
        <v/>
      </c>
      <c r="AU614" s="304" t="str">
        <f t="shared" si="470"/>
        <v/>
      </c>
      <c r="AV614" s="28"/>
      <c r="AW614" s="304" t="str">
        <f t="shared" si="460"/>
        <v/>
      </c>
      <c r="AX614" s="304" t="str">
        <f t="shared" si="460"/>
        <v/>
      </c>
      <c r="AY614" s="28"/>
      <c r="AZ614" s="304" t="str">
        <f t="shared" si="461"/>
        <v/>
      </c>
      <c r="BA614" s="304" t="str">
        <f t="shared" si="461"/>
        <v/>
      </c>
      <c r="BB614" s="28"/>
      <c r="BC614" s="304" t="str">
        <f t="shared" si="462"/>
        <v/>
      </c>
      <c r="BD614" s="304" t="str">
        <f t="shared" si="462"/>
        <v/>
      </c>
      <c r="BE614" s="28"/>
      <c r="BF614" s="304" t="str">
        <f t="shared" si="463"/>
        <v/>
      </c>
      <c r="BG614" s="304" t="str">
        <f t="shared" si="463"/>
        <v/>
      </c>
      <c r="BH614" s="28"/>
      <c r="BI614" s="304" t="str">
        <f t="shared" si="464"/>
        <v/>
      </c>
      <c r="BJ614" s="304" t="str">
        <f t="shared" si="464"/>
        <v/>
      </c>
      <c r="BK614" s="28"/>
      <c r="BL614" s="304" t="str">
        <f t="shared" si="465"/>
        <v/>
      </c>
      <c r="BM614" s="304" t="str">
        <f t="shared" si="465"/>
        <v/>
      </c>
      <c r="BN614" s="28"/>
      <c r="BO614" s="304" t="str">
        <f t="shared" si="466"/>
        <v/>
      </c>
      <c r="BP614" s="304" t="str">
        <f t="shared" si="466"/>
        <v/>
      </c>
      <c r="BQ614" s="28"/>
      <c r="BR614" s="304" t="str">
        <f t="shared" si="467"/>
        <v/>
      </c>
      <c r="BS614" s="304" t="str">
        <f t="shared" si="467"/>
        <v/>
      </c>
      <c r="BT614" s="28"/>
      <c r="BU614" s="304" t="str">
        <f t="shared" si="468"/>
        <v/>
      </c>
      <c r="BV614" s="304" t="str">
        <f t="shared" si="468"/>
        <v/>
      </c>
      <c r="BW614" s="28"/>
      <c r="BX614" s="91"/>
    </row>
    <row r="615" spans="1:76" s="55" customFormat="1" x14ac:dyDescent="0.25">
      <c r="A615" s="195"/>
      <c r="B615" s="244" t="s">
        <v>163</v>
      </c>
      <c r="C615" s="199"/>
      <c r="D615" s="199"/>
      <c r="E615" s="199"/>
      <c r="F615" s="199"/>
      <c r="H615" s="28"/>
      <c r="I615" s="245"/>
      <c r="J615" s="122"/>
      <c r="K615" s="122"/>
      <c r="L615" s="122" t="s">
        <v>134</v>
      </c>
      <c r="M615" s="122"/>
      <c r="N615" s="122"/>
      <c r="O615" s="122"/>
      <c r="P615" s="122"/>
      <c r="Q615" s="305" t="s">
        <v>136</v>
      </c>
      <c r="R615" s="246" t="e">
        <f>AVERAGE(R595:R614)</f>
        <v>#DIV/0!</v>
      </c>
      <c r="S615" s="247" t="e">
        <f>IF(R623="Y",SUM(S595:S614)/SUMPRODUCT(N595:N614,--ISNUMBER(S595:S614)),AVERAGE(S595:S614))</f>
        <v>#DIV/0!</v>
      </c>
      <c r="T615" s="248" t="e">
        <f>SUM(T595:T614)/SUMPRODUCT(N595:N614,--ISNUMBER(T595:T614))</f>
        <v>#DIV/0!</v>
      </c>
      <c r="U615" s="28"/>
      <c r="V615" s="28"/>
      <c r="W615" s="28"/>
      <c r="Y615" s="249"/>
      <c r="AO615" s="91"/>
      <c r="AP615" s="28"/>
      <c r="AQ615" s="28"/>
      <c r="AR615" s="28"/>
      <c r="AS615" s="245" t="s">
        <v>136</v>
      </c>
      <c r="AT615" s="307" t="e">
        <f>AVERAGE(AT595:AT614)</f>
        <v>#DIV/0!</v>
      </c>
      <c r="AU615" s="307" t="e">
        <f>SUM(AU595:AU614)/COUNTIF(AU595:AU614,"&gt;0")</f>
        <v>#DIV/0!</v>
      </c>
      <c r="AV615" s="245"/>
      <c r="AW615" s="307" t="e">
        <f>AVERAGE(AW595:AW614)</f>
        <v>#DIV/0!</v>
      </c>
      <c r="AX615" s="307" t="e">
        <f>SUM(AX595:AX614)/COUNTIF(AX595:AX614,"&gt;0")</f>
        <v>#DIV/0!</v>
      </c>
      <c r="AY615" s="28"/>
      <c r="AZ615" s="307" t="e">
        <f>AVERAGE(AZ595:AZ614)</f>
        <v>#DIV/0!</v>
      </c>
      <c r="BA615" s="307" t="e">
        <f>SUM(BA595:BA614)/COUNTIF(BA595:BA614,"&gt;0")</f>
        <v>#DIV/0!</v>
      </c>
      <c r="BB615" s="28"/>
      <c r="BC615" s="307" t="e">
        <f>AVERAGE(BC595:BC614)</f>
        <v>#DIV/0!</v>
      </c>
      <c r="BD615" s="307" t="e">
        <f>SUM(BD595:BD614)/COUNTIF(BD595:BD614,"&gt;0")</f>
        <v>#DIV/0!</v>
      </c>
      <c r="BE615" s="28"/>
      <c r="BF615" s="307" t="e">
        <f>AVERAGE(BF595:BF614)</f>
        <v>#DIV/0!</v>
      </c>
      <c r="BG615" s="307" t="e">
        <f>SUM(BG595:BG614)/COUNTIF(BG595:BG614,"&gt;0")</f>
        <v>#DIV/0!</v>
      </c>
      <c r="BH615" s="28"/>
      <c r="BI615" s="307" t="e">
        <f>AVERAGE(BI595:BI614)</f>
        <v>#DIV/0!</v>
      </c>
      <c r="BJ615" s="307" t="e">
        <f>SUM(BJ595:BJ614)/COUNTIF(BJ595:BJ614,"&gt;0")</f>
        <v>#DIV/0!</v>
      </c>
      <c r="BK615" s="245"/>
      <c r="BL615" s="307" t="e">
        <f>AVERAGE(BL595:BL614)</f>
        <v>#DIV/0!</v>
      </c>
      <c r="BM615" s="307" t="e">
        <f>SUM(BM595:BM614)/COUNTIF(BM595:BM614,"&gt;0")</f>
        <v>#DIV/0!</v>
      </c>
      <c r="BN615" s="28"/>
      <c r="BO615" s="307" t="e">
        <f>AVERAGE(BO595:BO614)</f>
        <v>#DIV/0!</v>
      </c>
      <c r="BP615" s="307" t="e">
        <f>SUM(BP595:BP614)/COUNTIF(BP595:BP614,"&gt;0")</f>
        <v>#DIV/0!</v>
      </c>
      <c r="BQ615" s="28"/>
      <c r="BR615" s="307" t="e">
        <f>AVERAGE(BR595:BR614)</f>
        <v>#DIV/0!</v>
      </c>
      <c r="BS615" s="307" t="e">
        <f>SUM(BS595:BS614)/COUNTIF(BS595:BS614,"&gt;0")</f>
        <v>#DIV/0!</v>
      </c>
      <c r="BT615" s="28"/>
      <c r="BU615" s="307" t="e">
        <f>AVERAGE(BU595:BU614)</f>
        <v>#DIV/0!</v>
      </c>
      <c r="BV615" s="307" t="e">
        <f>SUM(BV595:BV614)/COUNTIF(BV595:BV614,"&gt;0")</f>
        <v>#DIV/0!</v>
      </c>
      <c r="BW615" s="28"/>
      <c r="BX615" s="91"/>
    </row>
    <row r="616" spans="1:76" s="55" customFormat="1" x14ac:dyDescent="0.25">
      <c r="A616" s="195"/>
      <c r="B616" s="244" t="s">
        <v>164</v>
      </c>
      <c r="C616" s="199" t="s">
        <v>139</v>
      </c>
      <c r="D616" s="252"/>
      <c r="E616" s="253"/>
      <c r="F616" s="253"/>
      <c r="G616" s="253"/>
      <c r="H616" s="253"/>
      <c r="I616" s="253"/>
      <c r="J616" s="254"/>
      <c r="K616" s="122"/>
      <c r="L616" s="122"/>
      <c r="M616" s="122"/>
      <c r="N616" s="122"/>
      <c r="O616" s="122"/>
      <c r="P616" s="122"/>
      <c r="Q616" s="306" t="s">
        <v>144</v>
      </c>
      <c r="R616" s="257" t="e">
        <f>R615+U616*R619</f>
        <v>#DIV/0!</v>
      </c>
      <c r="S616" s="257" t="e">
        <f>S615+U616*S619</f>
        <v>#DIV/0!</v>
      </c>
      <c r="T616" s="257" t="e">
        <f>T615+U616*T619</f>
        <v>#DIV/0!</v>
      </c>
      <c r="U616" s="258">
        <v>1</v>
      </c>
      <c r="V616" s="122" t="s">
        <v>142</v>
      </c>
      <c r="W616" s="28"/>
      <c r="X616" s="259" t="s">
        <v>143</v>
      </c>
      <c r="Y616" s="260"/>
      <c r="AO616" s="91"/>
      <c r="AP616" s="28"/>
      <c r="AQ616" s="28"/>
      <c r="AR616" s="28"/>
      <c r="AS616" s="256" t="s">
        <v>144</v>
      </c>
      <c r="AT616" s="261" t="e">
        <f>AT615+(AT621*AT618)</f>
        <v>#DIV/0!</v>
      </c>
      <c r="AU616" s="261" t="e">
        <f>AU615+(AU621*AT618)</f>
        <v>#DIV/0!</v>
      </c>
      <c r="AV616" s="256"/>
      <c r="AW616" s="261" t="e">
        <f>AW615+(AW621*AW618)</f>
        <v>#DIV/0!</v>
      </c>
      <c r="AX616" s="261" t="e">
        <f>AX615+(AX621*AW618)</f>
        <v>#DIV/0!</v>
      </c>
      <c r="AY616" s="28"/>
      <c r="AZ616" s="261" t="e">
        <f>AZ615+(AZ621*AZ618)</f>
        <v>#DIV/0!</v>
      </c>
      <c r="BA616" s="261" t="e">
        <f>BA615+(BA621*AZ618)</f>
        <v>#DIV/0!</v>
      </c>
      <c r="BB616" s="28"/>
      <c r="BC616" s="261" t="e">
        <f>BC615+(BC621*BC618)</f>
        <v>#DIV/0!</v>
      </c>
      <c r="BD616" s="261" t="e">
        <f>BD615+(BD621*BC618)</f>
        <v>#DIV/0!</v>
      </c>
      <c r="BE616" s="28"/>
      <c r="BF616" s="261" t="e">
        <f>BF615+(BF621*BF618)</f>
        <v>#DIV/0!</v>
      </c>
      <c r="BG616" s="261" t="e">
        <f>BG615+(BG621*BF618)</f>
        <v>#DIV/0!</v>
      </c>
      <c r="BH616" s="28"/>
      <c r="BI616" s="261" t="e">
        <f>BI615+(BI621*BI618)</f>
        <v>#DIV/0!</v>
      </c>
      <c r="BJ616" s="261" t="e">
        <f>BJ615+(BJ621*BI618)</f>
        <v>#DIV/0!</v>
      </c>
      <c r="BK616" s="256"/>
      <c r="BL616" s="261" t="e">
        <f>BL615+(BL621*BL618)</f>
        <v>#DIV/0!</v>
      </c>
      <c r="BM616" s="261" t="e">
        <f>BM615+(BM621*BL618)</f>
        <v>#DIV/0!</v>
      </c>
      <c r="BN616" s="28"/>
      <c r="BO616" s="261" t="e">
        <f>BO615+(BO621*BO618)</f>
        <v>#DIV/0!</v>
      </c>
      <c r="BP616" s="261" t="e">
        <f>BP615+(BP621*BO618)</f>
        <v>#DIV/0!</v>
      </c>
      <c r="BQ616" s="28"/>
      <c r="BR616" s="261" t="e">
        <f>BR615+(BR621*BR618)</f>
        <v>#DIV/0!</v>
      </c>
      <c r="BS616" s="261" t="e">
        <f>BS615+(BS621*BR618)</f>
        <v>#DIV/0!</v>
      </c>
      <c r="BT616" s="28"/>
      <c r="BU616" s="261" t="e">
        <f>BU615+(BU621*BU618)</f>
        <v>#DIV/0!</v>
      </c>
      <c r="BV616" s="261" t="e">
        <f>BV615+(BV621*BU618)</f>
        <v>#DIV/0!</v>
      </c>
      <c r="BW616" s="28"/>
      <c r="BX616" s="91"/>
    </row>
    <row r="617" spans="1:76" s="55" customFormat="1" x14ac:dyDescent="0.25">
      <c r="A617" s="195"/>
      <c r="B617" s="244" t="s">
        <v>165</v>
      </c>
      <c r="C617" s="195"/>
      <c r="D617" s="263"/>
      <c r="E617" s="264"/>
      <c r="F617" s="264"/>
      <c r="G617" s="264"/>
      <c r="H617" s="264"/>
      <c r="I617" s="264"/>
      <c r="J617" s="265"/>
      <c r="K617" s="28"/>
      <c r="L617" s="28"/>
      <c r="M617" s="122"/>
      <c r="N617" s="122"/>
      <c r="O617" s="122"/>
      <c r="P617" s="122"/>
      <c r="Q617" s="306" t="s">
        <v>150</v>
      </c>
      <c r="R617" s="257" t="e">
        <f>IF($X617="Y",MIN(R595:R614),R615-$U617*R619)</f>
        <v>#DIV/0!</v>
      </c>
      <c r="S617" s="257" t="e">
        <f t="shared" ref="S617:T617" si="471">IF($X617="Y",MIN(S595:S614),S615-$U617*S619)</f>
        <v>#DIV/0!</v>
      </c>
      <c r="T617" s="257" t="e">
        <f t="shared" si="471"/>
        <v>#DIV/0!</v>
      </c>
      <c r="U617" s="258">
        <v>1</v>
      </c>
      <c r="V617" s="122" t="s">
        <v>148</v>
      </c>
      <c r="W617" s="28"/>
      <c r="X617" s="266" t="s">
        <v>149</v>
      </c>
      <c r="Y617" s="260"/>
      <c r="AO617" s="91"/>
      <c r="AP617" s="28"/>
      <c r="AQ617" s="28"/>
      <c r="AR617" s="28"/>
      <c r="AS617" s="256" t="s">
        <v>150</v>
      </c>
      <c r="AT617" s="261" t="e">
        <f>AT615-(AT621*AT619)</f>
        <v>#DIV/0!</v>
      </c>
      <c r="AU617" s="261" t="e">
        <f>AU615-(AU621*AT619)</f>
        <v>#DIV/0!</v>
      </c>
      <c r="AV617" s="256"/>
      <c r="AW617" s="261" t="e">
        <f>AW615-(AW621*AW619)</f>
        <v>#DIV/0!</v>
      </c>
      <c r="AX617" s="261" t="e">
        <f>AX615-(AX621*AW619)</f>
        <v>#DIV/0!</v>
      </c>
      <c r="AY617" s="28"/>
      <c r="AZ617" s="261" t="e">
        <f>AZ615-(AZ621*AZ619)</f>
        <v>#DIV/0!</v>
      </c>
      <c r="BA617" s="261" t="e">
        <f>BA615-(BA621*AZ619)</f>
        <v>#DIV/0!</v>
      </c>
      <c r="BB617" s="28"/>
      <c r="BC617" s="261" t="e">
        <f>BC615-(BC621*BC619)</f>
        <v>#DIV/0!</v>
      </c>
      <c r="BD617" s="261" t="e">
        <f>BD615-(BD621*BC619)</f>
        <v>#DIV/0!</v>
      </c>
      <c r="BE617" s="28"/>
      <c r="BF617" s="261" t="e">
        <f>BF615-(BF621*BF619)</f>
        <v>#DIV/0!</v>
      </c>
      <c r="BG617" s="261" t="e">
        <f>BG615-(BG621*BF619)</f>
        <v>#DIV/0!</v>
      </c>
      <c r="BH617" s="28"/>
      <c r="BI617" s="261" t="e">
        <f>BI615-(BI621*BI619)</f>
        <v>#DIV/0!</v>
      </c>
      <c r="BJ617" s="261" t="e">
        <f>BJ615-(BJ621*BI619)</f>
        <v>#DIV/0!</v>
      </c>
      <c r="BK617" s="256"/>
      <c r="BL617" s="261" t="e">
        <f>BL615-(BL621*BL619)</f>
        <v>#DIV/0!</v>
      </c>
      <c r="BM617" s="261" t="e">
        <f>BM615-(BM621*BL619)</f>
        <v>#DIV/0!</v>
      </c>
      <c r="BN617" s="28"/>
      <c r="BO617" s="261" t="e">
        <f>BO615-(BO621*BO619)</f>
        <v>#DIV/0!</v>
      </c>
      <c r="BP617" s="261" t="e">
        <f>BP615-(BP621*BO619)</f>
        <v>#DIV/0!</v>
      </c>
      <c r="BQ617" s="28"/>
      <c r="BR617" s="261" t="e">
        <f>BR615-(BR621*BR619)</f>
        <v>#DIV/0!</v>
      </c>
      <c r="BS617" s="261" t="e">
        <f>BS615-(BS621*BR619)</f>
        <v>#DIV/0!</v>
      </c>
      <c r="BT617" s="28"/>
      <c r="BU617" s="261" t="e">
        <f>BU615-(BU621*BU619)</f>
        <v>#DIV/0!</v>
      </c>
      <c r="BV617" s="261" t="e">
        <f>BV615-(BV621*BU619)</f>
        <v>#DIV/0!</v>
      </c>
      <c r="BW617" s="28"/>
      <c r="BX617" s="91"/>
    </row>
    <row r="618" spans="1:76" s="55" customFormat="1" ht="14.25" x14ac:dyDescent="0.2">
      <c r="A618" s="195"/>
      <c r="B618" s="196"/>
      <c r="C618" s="195"/>
      <c r="D618" s="263"/>
      <c r="E618" s="264"/>
      <c r="F618" s="264"/>
      <c r="G618" s="264"/>
      <c r="H618" s="264"/>
      <c r="I618" s="264"/>
      <c r="J618" s="265"/>
      <c r="K618" s="122"/>
      <c r="L618" s="122"/>
      <c r="M618" s="122"/>
      <c r="N618" s="122"/>
      <c r="O618" s="122"/>
      <c r="P618" s="122"/>
      <c r="Q618" s="306" t="s">
        <v>151</v>
      </c>
      <c r="R618" s="257" t="e">
        <f>IF((0.67*R619)&gt;R615,"no","yes")</f>
        <v>#DIV/0!</v>
      </c>
      <c r="S618" s="257" t="e">
        <f>IF((0.67*S619)&gt;S615,"no","yes")</f>
        <v>#DIV/0!</v>
      </c>
      <c r="T618" s="257" t="e">
        <f>IF((0.67*T619)&gt;T615,"no","yes")</f>
        <v>#DIV/0!</v>
      </c>
      <c r="U618" s="122"/>
      <c r="V618" s="122"/>
      <c r="W618" s="122"/>
      <c r="Y618" s="260"/>
      <c r="AO618" s="91"/>
      <c r="AP618" s="122"/>
      <c r="AQ618" s="122"/>
      <c r="AR618" s="267" t="s">
        <v>152</v>
      </c>
      <c r="AS618" s="268"/>
      <c r="AT618" s="258">
        <v>1</v>
      </c>
      <c r="AU618" s="122"/>
      <c r="AV618" s="308"/>
      <c r="AW618" s="258">
        <v>1</v>
      </c>
      <c r="AX618" s="122"/>
      <c r="AY618" s="122"/>
      <c r="AZ618" s="258">
        <v>1</v>
      </c>
      <c r="BA618" s="122"/>
      <c r="BB618" s="122"/>
      <c r="BC618" s="258">
        <v>1</v>
      </c>
      <c r="BD618" s="122"/>
      <c r="BE618" s="122"/>
      <c r="BF618" s="258">
        <v>1</v>
      </c>
      <c r="BG618" s="122"/>
      <c r="BH618" s="122"/>
      <c r="BI618" s="258">
        <v>1</v>
      </c>
      <c r="BJ618" s="122"/>
      <c r="BK618" s="256"/>
      <c r="BL618" s="258">
        <v>1</v>
      </c>
      <c r="BM618" s="122"/>
      <c r="BN618" s="122"/>
      <c r="BO618" s="258">
        <v>1</v>
      </c>
      <c r="BP618" s="122"/>
      <c r="BQ618" s="122"/>
      <c r="BR618" s="258">
        <v>1</v>
      </c>
      <c r="BS618" s="122"/>
      <c r="BT618" s="122"/>
      <c r="BU618" s="258">
        <v>1</v>
      </c>
      <c r="BV618" s="122"/>
      <c r="BW618" s="122"/>
      <c r="BX618" s="91"/>
    </row>
    <row r="619" spans="1:76" s="55" customFormat="1" ht="28.5" x14ac:dyDescent="0.2">
      <c r="A619" s="195"/>
      <c r="B619" s="196"/>
      <c r="C619" s="195"/>
      <c r="D619" s="263"/>
      <c r="E619" s="264"/>
      <c r="F619" s="264"/>
      <c r="G619" s="264"/>
      <c r="H619" s="264"/>
      <c r="I619" s="264"/>
      <c r="J619" s="265"/>
      <c r="K619" s="122"/>
      <c r="L619" s="122"/>
      <c r="M619" s="122"/>
      <c r="N619" s="122"/>
      <c r="O619" s="122"/>
      <c r="P619" s="122"/>
      <c r="Q619" s="306" t="s">
        <v>157</v>
      </c>
      <c r="R619" s="257">
        <f>IF(COUNT(R595:R614)&gt;1,_xlfn.STDEV.S(R595:R614),0)</f>
        <v>0</v>
      </c>
      <c r="S619" s="257" t="e">
        <f t="array" ref="S619">IF(R623="Y",SQRT(SUM(IFERROR(N595:N614*(R595:R614-(S615))^2,0))/((COUNT(S595:S614)-1)/COUNT(S595:S614)*SUMPRODUCT(N595:N614,--ISNUMBER(S595:S614)))),_xlfn.STDEV.S(S595:S614))</f>
        <v>#DIV/0!</v>
      </c>
      <c r="T619" s="257" t="e">
        <f t="array" ref="T619">SQRT(SUM(IFERROR(N595:N614*(R595:R614-(T615))^2,0))/((COUNT(T595:T614)-1)/COUNT(T595:T614)*SUMPRODUCT(N595:N614,--ISNUMBER(T595:T614))))</f>
        <v>#DIV/0!</v>
      </c>
      <c r="U619" s="122"/>
      <c r="V619" s="122"/>
      <c r="W619" s="122"/>
      <c r="Y619" s="260"/>
      <c r="AO619" s="91"/>
      <c r="AP619" s="122"/>
      <c r="AQ619" s="122"/>
      <c r="AR619" s="267"/>
      <c r="AS619" s="268"/>
      <c r="AT619" s="258">
        <v>1</v>
      </c>
      <c r="AU619" s="122"/>
      <c r="AV619" s="308"/>
      <c r="AW619" s="258">
        <v>1</v>
      </c>
      <c r="AX619" s="122"/>
      <c r="AY619" s="122"/>
      <c r="AZ619" s="258">
        <v>1</v>
      </c>
      <c r="BA619" s="122"/>
      <c r="BB619" s="122"/>
      <c r="BC619" s="258">
        <v>1</v>
      </c>
      <c r="BD619" s="122"/>
      <c r="BE619" s="122"/>
      <c r="BF619" s="258">
        <v>1</v>
      </c>
      <c r="BG619" s="122"/>
      <c r="BH619" s="122"/>
      <c r="BI619" s="258">
        <v>1</v>
      </c>
      <c r="BJ619" s="122"/>
      <c r="BK619" s="256"/>
      <c r="BL619" s="258">
        <v>1</v>
      </c>
      <c r="BM619" s="122"/>
      <c r="BN619" s="122"/>
      <c r="BO619" s="258">
        <v>1</v>
      </c>
      <c r="BP619" s="122"/>
      <c r="BQ619" s="122"/>
      <c r="BR619" s="258">
        <v>1</v>
      </c>
      <c r="BS619" s="122"/>
      <c r="BT619" s="122"/>
      <c r="BU619" s="258">
        <v>1</v>
      </c>
      <c r="BV619" s="122"/>
      <c r="BW619" s="122"/>
      <c r="BX619" s="91"/>
    </row>
    <row r="620" spans="1:76" s="55" customFormat="1" ht="15" customHeight="1" x14ac:dyDescent="0.25">
      <c r="A620" s="122"/>
      <c r="B620" s="118"/>
      <c r="C620" s="195"/>
      <c r="D620" s="263"/>
      <c r="E620" s="264"/>
      <c r="F620" s="264"/>
      <c r="G620" s="264"/>
      <c r="H620" s="264"/>
      <c r="I620" s="264"/>
      <c r="J620" s="265"/>
      <c r="K620" s="122"/>
      <c r="L620" s="122"/>
      <c r="M620" s="122"/>
      <c r="N620" s="122"/>
      <c r="O620" s="122"/>
      <c r="P620" s="122"/>
      <c r="Q620" s="309" t="s">
        <v>159</v>
      </c>
      <c r="R620" s="310">
        <f>COUNT(R595:R614)</f>
        <v>0</v>
      </c>
      <c r="S620" s="310">
        <f>COUNT(S595:S614)</f>
        <v>0</v>
      </c>
      <c r="T620" s="118"/>
      <c r="U620" s="273" t="s">
        <v>155</v>
      </c>
      <c r="V620" s="122"/>
      <c r="W620" s="122"/>
      <c r="Y620" s="91"/>
      <c r="AO620" s="91"/>
      <c r="AP620" s="122"/>
      <c r="AQ620" s="122"/>
      <c r="AR620" s="122"/>
      <c r="AS620" s="256" t="s">
        <v>151</v>
      </c>
      <c r="AT620" s="261" t="e">
        <f>IF((0.67*AT621)&gt;AT615,"no","yes")</f>
        <v>#DIV/0!</v>
      </c>
      <c r="AU620" s="261" t="e">
        <f>IF((0.67*AU621)&gt;AU615,"no","yes")</f>
        <v>#DIV/0!</v>
      </c>
      <c r="AV620" s="256"/>
      <c r="AW620" s="261" t="e">
        <f>IF((0.67*AW621)&gt;AW615,"no","yes")</f>
        <v>#DIV/0!</v>
      </c>
      <c r="AX620" s="261" t="e">
        <f>IF((0.67*AX621)&gt;AX615,"no","yes")</f>
        <v>#DIV/0!</v>
      </c>
      <c r="AY620" s="122"/>
      <c r="AZ620" s="261" t="e">
        <f>IF((0.67*AZ621)&gt;AZ615,"no","yes")</f>
        <v>#DIV/0!</v>
      </c>
      <c r="BA620" s="261" t="e">
        <f>IF((0.67*BA621)&gt;BA615,"no","yes")</f>
        <v>#DIV/0!</v>
      </c>
      <c r="BB620" s="122"/>
      <c r="BC620" s="261" t="e">
        <f>IF((0.67*BC621)&gt;BC615,"no","yes")</f>
        <v>#DIV/0!</v>
      </c>
      <c r="BD620" s="261" t="e">
        <f>IF((0.67*BD621)&gt;BD615,"no","yes")</f>
        <v>#DIV/0!</v>
      </c>
      <c r="BE620" s="122"/>
      <c r="BF620" s="261" t="e">
        <f>IF((0.67*BF621)&gt;BF615,"no","yes")</f>
        <v>#DIV/0!</v>
      </c>
      <c r="BG620" s="261" t="e">
        <f>IF((0.67*BG621)&gt;BG615,"no","yes")</f>
        <v>#DIV/0!</v>
      </c>
      <c r="BH620" s="122"/>
      <c r="BI620" s="261" t="e">
        <f>IF((0.67*BI621)&gt;BI615,"no","yes")</f>
        <v>#DIV/0!</v>
      </c>
      <c r="BJ620" s="261" t="e">
        <f>IF((0.67*BJ621)&gt;BJ615,"no","yes")</f>
        <v>#DIV/0!</v>
      </c>
      <c r="BK620" s="133"/>
      <c r="BL620" s="261" t="e">
        <f>IF((0.67*BL621)&gt;BL615,"no","yes")</f>
        <v>#DIV/0!</v>
      </c>
      <c r="BM620" s="261" t="e">
        <f>IF((0.67*BM621)&gt;BM615,"no","yes")</f>
        <v>#DIV/0!</v>
      </c>
      <c r="BN620" s="122"/>
      <c r="BO620" s="261" t="e">
        <f>IF((0.67*BO621)&gt;BO615,"no","yes")</f>
        <v>#DIV/0!</v>
      </c>
      <c r="BP620" s="261" t="e">
        <f>IF((0.67*BP621)&gt;BP615,"no","yes")</f>
        <v>#DIV/0!</v>
      </c>
      <c r="BQ620" s="122"/>
      <c r="BR620" s="261" t="e">
        <f>IF((0.67*BR621)&gt;BR615,"no","yes")</f>
        <v>#DIV/0!</v>
      </c>
      <c r="BS620" s="261" t="e">
        <f>IF((0.67*BS621)&gt;BS615,"no","yes")</f>
        <v>#DIV/0!</v>
      </c>
      <c r="BT620" s="122"/>
      <c r="BU620" s="261" t="e">
        <f>IF((0.67*BU621)&gt;BU615,"no","yes")</f>
        <v>#DIV/0!</v>
      </c>
      <c r="BV620" s="261" t="e">
        <f>IF((0.67*BV621)&gt;BV615,"no","yes")</f>
        <v>#DIV/0!</v>
      </c>
      <c r="BW620" s="122"/>
      <c r="BX620" s="91"/>
    </row>
    <row r="621" spans="1:76" s="55" customFormat="1" ht="14.25" x14ac:dyDescent="0.2">
      <c r="B621" s="23"/>
      <c r="C621" s="195"/>
      <c r="D621" s="263"/>
      <c r="E621" s="264"/>
      <c r="F621" s="264"/>
      <c r="G621" s="264"/>
      <c r="H621" s="264"/>
      <c r="I621" s="264"/>
      <c r="J621" s="265"/>
      <c r="K621" s="122"/>
      <c r="L621" s="122"/>
      <c r="M621" s="122"/>
      <c r="N621" s="122"/>
      <c r="O621" s="122"/>
      <c r="P621" s="122"/>
      <c r="Q621" s="311"/>
      <c r="R621" s="359"/>
      <c r="S621" s="122"/>
      <c r="T621" s="122"/>
      <c r="U621" s="274"/>
      <c r="V621" s="275"/>
      <c r="W621" s="276"/>
      <c r="Y621" s="91"/>
      <c r="AO621" s="91"/>
      <c r="AP621" s="122"/>
      <c r="AQ621" s="122"/>
      <c r="AR621" s="122"/>
      <c r="AS621" s="256" t="s">
        <v>157</v>
      </c>
      <c r="AT621" s="261">
        <f>IF(AT622&gt;1,_xlfn.STDEV.S(AT595:AT614),0)</f>
        <v>0</v>
      </c>
      <c r="AU621" s="261">
        <f>IF(AU622&gt;1,_xlfn.STDEV.S(AU595:AU614),0)</f>
        <v>0</v>
      </c>
      <c r="AV621" s="122"/>
      <c r="AW621" s="261">
        <f t="shared" ref="AW621:AX621" si="472">IF(AW622&gt;1,_xlfn.STDEV.S(AW595:AW614),0)</f>
        <v>0</v>
      </c>
      <c r="AX621" s="261">
        <f t="shared" si="472"/>
        <v>0</v>
      </c>
      <c r="AY621" s="122"/>
      <c r="AZ621" s="261">
        <f t="shared" ref="AZ621:BA621" si="473">IF(AZ622&gt;1,_xlfn.STDEV.S(AZ595:AZ614),0)</f>
        <v>0</v>
      </c>
      <c r="BA621" s="261">
        <f t="shared" si="473"/>
        <v>0</v>
      </c>
      <c r="BB621" s="122"/>
      <c r="BC621" s="261">
        <f t="shared" ref="BC621:BD621" si="474">IF(BC622&gt;1,_xlfn.STDEV.S(BC595:BC614),0)</f>
        <v>0</v>
      </c>
      <c r="BD621" s="261">
        <f t="shared" si="474"/>
        <v>0</v>
      </c>
      <c r="BE621" s="122"/>
      <c r="BF621" s="261">
        <f t="shared" ref="BF621:BG621" si="475">IF(BF622&gt;1,_xlfn.STDEV.S(BF595:BF614),0)</f>
        <v>0</v>
      </c>
      <c r="BG621" s="261">
        <f t="shared" si="475"/>
        <v>0</v>
      </c>
      <c r="BH621" s="122"/>
      <c r="BI621" s="261">
        <f t="shared" ref="BI621:BJ621" si="476">IF(BI622&gt;1,_xlfn.STDEV.S(BI595:BI614),0)</f>
        <v>0</v>
      </c>
      <c r="BJ621" s="261">
        <f t="shared" si="476"/>
        <v>0</v>
      </c>
      <c r="BK621" s="122"/>
      <c r="BL621" s="261">
        <f t="shared" ref="BL621:BM621" si="477">IF(BL622&gt;1,_xlfn.STDEV.S(BL595:BL614),0)</f>
        <v>0</v>
      </c>
      <c r="BM621" s="261">
        <f t="shared" si="477"/>
        <v>0</v>
      </c>
      <c r="BN621" s="122"/>
      <c r="BO621" s="261">
        <f t="shared" ref="BO621:BP621" si="478">IF(BO622&gt;1,_xlfn.STDEV.S(BO595:BO614),0)</f>
        <v>0</v>
      </c>
      <c r="BP621" s="261">
        <f t="shared" si="478"/>
        <v>0</v>
      </c>
      <c r="BQ621" s="122"/>
      <c r="BR621" s="261">
        <f t="shared" ref="BR621:BS621" si="479">IF(BR622&gt;1,_xlfn.STDEV.S(BR595:BR614),0)</f>
        <v>0</v>
      </c>
      <c r="BS621" s="261">
        <f t="shared" si="479"/>
        <v>0</v>
      </c>
      <c r="BT621" s="122"/>
      <c r="BU621" s="261">
        <f t="shared" ref="BU621:BV621" si="480">IF(BU622&gt;1,_xlfn.STDEV.S(BU595:BU614),0)</f>
        <v>0</v>
      </c>
      <c r="BV621" s="261">
        <f t="shared" si="480"/>
        <v>0</v>
      </c>
      <c r="BW621" s="122"/>
      <c r="BX621" s="91"/>
    </row>
    <row r="622" spans="1:76" s="55" customFormat="1" x14ac:dyDescent="0.2">
      <c r="A622" s="270" t="e">
        <f ca="1">HYPERLINK("#"&amp;"'"&amp;A$1&amp;"'!a1","Back to top")</f>
        <v>#VALUE!</v>
      </c>
      <c r="B622" s="271"/>
      <c r="C622" s="122"/>
      <c r="D622" s="277"/>
      <c r="E622" s="278"/>
      <c r="F622" s="278"/>
      <c r="G622" s="278"/>
      <c r="H622" s="278"/>
      <c r="I622" s="278"/>
      <c r="J622" s="279"/>
      <c r="Q622" s="81"/>
      <c r="R622" s="362" t="s">
        <v>158</v>
      </c>
      <c r="T622" s="122"/>
      <c r="U622" s="281"/>
      <c r="V622" s="282"/>
      <c r="W622" s="283"/>
      <c r="Y622" s="91"/>
      <c r="AO622" s="91"/>
      <c r="AP622" s="122"/>
      <c r="AQ622" s="122"/>
      <c r="AR622" s="122"/>
      <c r="AS622" s="133" t="s">
        <v>159</v>
      </c>
      <c r="AT622" s="284">
        <f>COUNT(AT595:AT614)</f>
        <v>0</v>
      </c>
      <c r="AU622" s="284">
        <f>COUNT(AU595:AU614)</f>
        <v>0</v>
      </c>
      <c r="AV622" s="122"/>
      <c r="AW622" s="284">
        <f t="shared" ref="AW622:AX622" si="481">COUNT(AW595:AW614)</f>
        <v>0</v>
      </c>
      <c r="AX622" s="284">
        <f t="shared" si="481"/>
        <v>0</v>
      </c>
      <c r="AY622" s="122"/>
      <c r="AZ622" s="284">
        <f t="shared" ref="AZ622:BA622" si="482">COUNT(AZ595:AZ614)</f>
        <v>0</v>
      </c>
      <c r="BA622" s="284">
        <f t="shared" si="482"/>
        <v>0</v>
      </c>
      <c r="BB622" s="122"/>
      <c r="BC622" s="284">
        <f t="shared" ref="BC622:BD622" si="483">COUNT(BC595:BC614)</f>
        <v>0</v>
      </c>
      <c r="BD622" s="284">
        <f t="shared" si="483"/>
        <v>0</v>
      </c>
      <c r="BE622" s="122"/>
      <c r="BF622" s="284">
        <f t="shared" ref="BF622:BG622" si="484">COUNT(BF595:BF614)</f>
        <v>0</v>
      </c>
      <c r="BG622" s="284">
        <f t="shared" si="484"/>
        <v>0</v>
      </c>
      <c r="BH622" s="122"/>
      <c r="BI622" s="284">
        <f t="shared" ref="BI622:BJ622" si="485">COUNT(BI595:BI614)</f>
        <v>0</v>
      </c>
      <c r="BJ622" s="284">
        <f t="shared" si="485"/>
        <v>0</v>
      </c>
      <c r="BK622" s="122"/>
      <c r="BL622" s="284">
        <f t="shared" ref="BL622:BM622" si="486">COUNT(BL595:BL614)</f>
        <v>0</v>
      </c>
      <c r="BM622" s="284">
        <f t="shared" si="486"/>
        <v>0</v>
      </c>
      <c r="BN622" s="122"/>
      <c r="BO622" s="284">
        <f t="shared" ref="BO622:BP622" si="487">COUNT(BO595:BO614)</f>
        <v>0</v>
      </c>
      <c r="BP622" s="284">
        <f t="shared" si="487"/>
        <v>0</v>
      </c>
      <c r="BQ622" s="122"/>
      <c r="BR622" s="284">
        <f t="shared" ref="BR622:BS622" si="488">COUNT(BR595:BR614)</f>
        <v>0</v>
      </c>
      <c r="BS622" s="284">
        <f t="shared" si="488"/>
        <v>0</v>
      </c>
      <c r="BT622" s="122"/>
      <c r="BU622" s="284">
        <f t="shared" ref="BU622:BV622" si="489">COUNT(BU595:BU614)</f>
        <v>0</v>
      </c>
      <c r="BV622" s="284">
        <f t="shared" si="489"/>
        <v>0</v>
      </c>
      <c r="BW622" s="122"/>
      <c r="BX622" s="91"/>
    </row>
    <row r="623" spans="1:76" s="55" customFormat="1" x14ac:dyDescent="0.25">
      <c r="B623" s="23"/>
      <c r="Q623" s="81"/>
      <c r="R623" s="287" t="s">
        <v>149</v>
      </c>
      <c r="T623" s="122"/>
      <c r="U623" s="281"/>
      <c r="V623" s="282"/>
      <c r="W623" s="283"/>
      <c r="Y623" s="91"/>
      <c r="AO623" s="91"/>
      <c r="AS623" s="28"/>
      <c r="AT623" s="28"/>
      <c r="AU623" s="28"/>
      <c r="AV623" s="28"/>
      <c r="AW623" s="198"/>
      <c r="AX623" s="198"/>
      <c r="AY623" s="198"/>
      <c r="AZ623" s="28"/>
      <c r="BA623" s="28"/>
      <c r="BB623" s="198"/>
      <c r="BC623" s="198"/>
      <c r="BD623" s="198"/>
      <c r="BE623" s="28"/>
      <c r="BF623" s="28"/>
      <c r="BG623" s="198"/>
      <c r="BH623" s="198"/>
      <c r="BI623" s="198"/>
      <c r="BJ623" s="28"/>
      <c r="BK623" s="28"/>
      <c r="BL623" s="198"/>
      <c r="BM623" s="198"/>
      <c r="BN623" s="198"/>
      <c r="BO623" s="28"/>
      <c r="BP623" s="28"/>
      <c r="BQ623" s="198"/>
      <c r="BR623" s="198"/>
      <c r="BS623" s="198"/>
      <c r="BT623" s="28"/>
      <c r="BU623" s="28"/>
      <c r="BV623" s="198"/>
      <c r="BW623" s="28"/>
      <c r="BX623" s="91"/>
    </row>
    <row r="624" spans="1:76" s="55" customFormat="1" x14ac:dyDescent="0.25">
      <c r="B624" s="23"/>
      <c r="Q624" s="81"/>
      <c r="T624" s="122"/>
      <c r="U624" s="288"/>
      <c r="V624" s="289"/>
      <c r="W624" s="290"/>
      <c r="Y624" s="91"/>
      <c r="AO624" s="91"/>
      <c r="AS624" s="28"/>
      <c r="AT624" s="28"/>
      <c r="AU624" s="28"/>
      <c r="AV624" s="28"/>
      <c r="AW624" s="198"/>
      <c r="AX624" s="198"/>
      <c r="AY624" s="198"/>
      <c r="AZ624" s="28"/>
      <c r="BA624" s="28"/>
      <c r="BB624" s="198"/>
      <c r="BC624" s="198"/>
      <c r="BD624" s="198"/>
      <c r="BE624" s="28"/>
      <c r="BF624" s="28"/>
      <c r="BG624" s="198"/>
      <c r="BH624" s="198"/>
      <c r="BI624" s="198"/>
      <c r="BJ624" s="28"/>
      <c r="BK624" s="28"/>
      <c r="BL624" s="198"/>
      <c r="BM624" s="198"/>
      <c r="BN624" s="198"/>
      <c r="BO624" s="28"/>
      <c r="BP624" s="28"/>
      <c r="BQ624" s="198"/>
      <c r="BR624" s="198"/>
      <c r="BS624" s="198"/>
      <c r="BT624" s="28"/>
      <c r="BU624" s="28"/>
      <c r="BV624" s="198"/>
      <c r="BW624" s="28"/>
      <c r="BX624" s="91"/>
    </row>
    <row r="625" spans="1:76" s="55" customFormat="1" x14ac:dyDescent="0.25">
      <c r="B625" s="23"/>
      <c r="Q625" s="81"/>
      <c r="Y625" s="91"/>
      <c r="AO625" s="91"/>
      <c r="AS625" s="28"/>
      <c r="AT625" s="28"/>
      <c r="AU625" s="28"/>
      <c r="AV625" s="28"/>
      <c r="AW625" s="198"/>
      <c r="AX625" s="198"/>
      <c r="AY625" s="198"/>
      <c r="AZ625" s="28"/>
      <c r="BA625" s="28"/>
      <c r="BB625" s="198"/>
      <c r="BC625" s="198"/>
      <c r="BD625" s="198"/>
      <c r="BE625" s="28"/>
      <c r="BF625" s="28"/>
      <c r="BG625" s="198"/>
      <c r="BH625" s="198"/>
      <c r="BI625" s="198"/>
      <c r="BJ625" s="28"/>
      <c r="BK625" s="28"/>
      <c r="BL625" s="198"/>
      <c r="BM625" s="198"/>
      <c r="BN625" s="198"/>
      <c r="BO625" s="28"/>
      <c r="BP625" s="28"/>
      <c r="BQ625" s="198"/>
      <c r="BR625" s="198"/>
      <c r="BS625" s="198"/>
      <c r="BT625" s="28"/>
      <c r="BU625" s="28"/>
      <c r="BV625" s="198"/>
      <c r="BW625" s="28"/>
      <c r="BX625" s="91"/>
    </row>
    <row r="626" spans="1:76" s="9" customFormat="1" ht="18" x14ac:dyDescent="0.25">
      <c r="A626" s="188">
        <f>A592+1</f>
        <v>15</v>
      </c>
      <c r="B626" s="189"/>
      <c r="C626" s="16" t="s">
        <v>367</v>
      </c>
      <c r="D626" s="191"/>
      <c r="E626" s="191"/>
      <c r="F626" s="191"/>
      <c r="G626" s="191"/>
      <c r="J626" s="191"/>
      <c r="K626" s="191"/>
      <c r="L626" s="192"/>
      <c r="M626" s="192"/>
      <c r="N626" s="192"/>
      <c r="Q626" s="193"/>
      <c r="R626" s="194" t="s">
        <v>93</v>
      </c>
      <c r="S626" s="194"/>
      <c r="T626" s="194"/>
      <c r="U626" s="194"/>
      <c r="AP626" s="175">
        <f>A626</f>
        <v>15</v>
      </c>
      <c r="AQ626" s="175" t="str">
        <f>C626</f>
        <v>Fuel Consumed per Functional Unit - CONVENTIONAL</v>
      </c>
    </row>
    <row r="627" spans="1:76" s="55" customFormat="1" x14ac:dyDescent="0.25">
      <c r="A627" s="195"/>
      <c r="B627" s="196"/>
      <c r="C627" s="195"/>
      <c r="D627" s="120"/>
      <c r="E627" s="120"/>
      <c r="F627" s="120"/>
      <c r="G627" s="120"/>
      <c r="J627" s="120"/>
      <c r="K627" s="120"/>
      <c r="L627" s="122"/>
      <c r="M627" s="122"/>
      <c r="N627" s="122"/>
      <c r="Q627" s="81"/>
      <c r="Y627" s="91"/>
      <c r="AO627" s="91"/>
      <c r="AP627" s="28"/>
      <c r="AQ627" s="28"/>
      <c r="AR627" s="28"/>
      <c r="AS627" s="28"/>
      <c r="AT627" s="198" t="s">
        <v>171</v>
      </c>
      <c r="AU627" s="198"/>
      <c r="AV627" s="28"/>
      <c r="AW627" s="198" t="s">
        <v>96</v>
      </c>
      <c r="AX627" s="198"/>
      <c r="AY627" s="28"/>
      <c r="AZ627" s="198" t="s">
        <v>97</v>
      </c>
      <c r="BA627" s="198"/>
      <c r="BB627" s="28"/>
      <c r="BC627" s="198" t="s">
        <v>98</v>
      </c>
      <c r="BD627" s="198"/>
      <c r="BE627" s="28"/>
      <c r="BF627" s="198" t="s">
        <v>99</v>
      </c>
      <c r="BG627" s="198"/>
      <c r="BH627" s="28"/>
      <c r="BI627" s="198" t="s">
        <v>100</v>
      </c>
      <c r="BJ627" s="198"/>
      <c r="BK627" s="28"/>
      <c r="BL627" s="198" t="s">
        <v>101</v>
      </c>
      <c r="BM627" s="198"/>
      <c r="BN627" s="28"/>
      <c r="BO627" s="198" t="s">
        <v>102</v>
      </c>
      <c r="BP627" s="198"/>
      <c r="BQ627" s="28"/>
      <c r="BR627" s="198" t="s">
        <v>103</v>
      </c>
      <c r="BS627" s="198"/>
      <c r="BT627" s="28"/>
      <c r="BU627" s="198" t="s">
        <v>104</v>
      </c>
      <c r="BV627" s="198"/>
      <c r="BW627" s="28"/>
      <c r="BX627" s="91"/>
    </row>
    <row r="628" spans="1:76" s="55" customFormat="1" ht="30.75" thickBot="1" x14ac:dyDescent="0.3">
      <c r="A628" s="199" t="s">
        <v>105</v>
      </c>
      <c r="B628" s="200" t="s">
        <v>106</v>
      </c>
      <c r="C628" s="201" t="s">
        <v>107</v>
      </c>
      <c r="D628" s="202" t="s">
        <v>108</v>
      </c>
      <c r="E628" s="202" t="s">
        <v>109</v>
      </c>
      <c r="F628" s="201" t="s">
        <v>110</v>
      </c>
      <c r="G628" s="201" t="s">
        <v>111</v>
      </c>
      <c r="H628" s="202" t="s">
        <v>112</v>
      </c>
      <c r="I628" s="203" t="s">
        <v>113</v>
      </c>
      <c r="J628" s="204" t="s">
        <v>114</v>
      </c>
      <c r="K628" s="205" t="s">
        <v>115</v>
      </c>
      <c r="L628" s="206" t="s">
        <v>116</v>
      </c>
      <c r="M628" s="207" t="s">
        <v>117</v>
      </c>
      <c r="N628" s="208" t="s">
        <v>118</v>
      </c>
      <c r="O628" s="207" t="s">
        <v>119</v>
      </c>
      <c r="P628" s="210"/>
      <c r="Q628" s="211" t="s">
        <v>120</v>
      </c>
      <c r="R628" s="212" t="s">
        <v>121</v>
      </c>
      <c r="S628" s="212" t="s">
        <v>122</v>
      </c>
      <c r="T628" s="212" t="s">
        <v>123</v>
      </c>
      <c r="U628" s="213" t="s">
        <v>124</v>
      </c>
      <c r="V628" s="210"/>
      <c r="W628" s="210"/>
      <c r="Y628" s="91"/>
      <c r="AO628" s="91"/>
      <c r="AP628" s="210"/>
      <c r="AQ628" s="210"/>
      <c r="AR628" s="213" t="s">
        <v>125</v>
      </c>
      <c r="AS628" s="210"/>
      <c r="AT628" s="215" t="s">
        <v>121</v>
      </c>
      <c r="AU628" s="215" t="s">
        <v>122</v>
      </c>
      <c r="AV628" s="210"/>
      <c r="AW628" s="215" t="s">
        <v>121</v>
      </c>
      <c r="AX628" s="215" t="s">
        <v>122</v>
      </c>
      <c r="AY628" s="210"/>
      <c r="AZ628" s="215" t="s">
        <v>121</v>
      </c>
      <c r="BA628" s="215" t="s">
        <v>122</v>
      </c>
      <c r="BB628" s="210"/>
      <c r="BC628" s="215" t="s">
        <v>121</v>
      </c>
      <c r="BD628" s="215" t="s">
        <v>122</v>
      </c>
      <c r="BE628" s="210"/>
      <c r="BF628" s="215" t="s">
        <v>121</v>
      </c>
      <c r="BG628" s="215" t="s">
        <v>122</v>
      </c>
      <c r="BH628" s="210"/>
      <c r="BI628" s="215" t="s">
        <v>121</v>
      </c>
      <c r="BJ628" s="215" t="s">
        <v>122</v>
      </c>
      <c r="BK628" s="210"/>
      <c r="BL628" s="215" t="s">
        <v>121</v>
      </c>
      <c r="BM628" s="215" t="s">
        <v>122</v>
      </c>
      <c r="BN628" s="210"/>
      <c r="BO628" s="215" t="s">
        <v>121</v>
      </c>
      <c r="BP628" s="215" t="s">
        <v>122</v>
      </c>
      <c r="BQ628" s="210"/>
      <c r="BR628" s="215" t="s">
        <v>121</v>
      </c>
      <c r="BS628" s="215" t="s">
        <v>122</v>
      </c>
      <c r="BT628" s="210"/>
      <c r="BU628" s="215" t="s">
        <v>121</v>
      </c>
      <c r="BV628" s="215" t="s">
        <v>122</v>
      </c>
      <c r="BW628" s="210"/>
      <c r="BX628" s="91"/>
    </row>
    <row r="629" spans="1:76" s="55" customFormat="1" x14ac:dyDescent="0.25">
      <c r="A629" s="195">
        <v>1</v>
      </c>
      <c r="B629" s="216" t="str">
        <f t="shared" ref="B629:B648" si="490">CONCATENATE(E629,": ",C629)</f>
        <v xml:space="preserve">: </v>
      </c>
      <c r="C629" s="219"/>
      <c r="D629" s="219"/>
      <c r="E629" s="219"/>
      <c r="F629" s="219"/>
      <c r="G629" s="220"/>
      <c r="H629" s="221"/>
      <c r="I629" s="220"/>
      <c r="J629" s="227"/>
      <c r="K629" s="226"/>
      <c r="L629" s="241"/>
      <c r="M629" s="225" t="str">
        <f>IFERROR(CONCATENATE(VLOOKUP('[1]Advanced Controls'!$H$144,'[1]Emissions Factors'!$Q$20:$U$38,5,FALSE),"/ ",FunctionalUnitOfMeasure),"Select Fuel on Adv. Controls")</f>
        <v>Select Fuel on Adv. Controls</v>
      </c>
      <c r="N629" s="227"/>
      <c r="O629" s="241"/>
      <c r="P629" s="122"/>
      <c r="Q629" s="228"/>
      <c r="R629" s="231" t="str">
        <f>IF(Q629="Y","",IF(AND(L629="",J629=""),"",IF(L629="",J629,L629)))</f>
        <v/>
      </c>
      <c r="S629" s="230" t="str">
        <f t="shared" ref="S629:S648" si="491">IF(R629="","",IF($R$657="Y",T629,IF(R629&gt;=$R$649-$AA$35*$R$653,IF(R629&lt;=$R$649+$AA$35*$R$653,R629,""),"")))</f>
        <v/>
      </c>
      <c r="T629" s="231" t="str">
        <f>IF(OR(Q629="Y",IFERROR(R629&gt;R649+R653*$AA$35,0),IFERROR(R629&lt;R649-R653*$AA$35,0)),"",IFERROR(R629*N629,""))</f>
        <v/>
      </c>
      <c r="U629" s="232" t="str">
        <f t="shared" ref="U629:U648" si="492">IF(AND(M629="",K629=""),"",IF(M629="",K629,M629))</f>
        <v>Select Fuel on Adv. Controls</v>
      </c>
      <c r="V629" s="28"/>
      <c r="W629" s="28"/>
      <c r="Y629" s="91"/>
      <c r="AO629" s="91"/>
      <c r="AP629" s="28"/>
      <c r="AQ629" s="28"/>
      <c r="AR629" s="233" t="str">
        <f>$U629</f>
        <v>Select Fuel on Adv. Controls</v>
      </c>
      <c r="AS629" s="28"/>
      <c r="AT629" s="304" t="str">
        <f>IF($E629=$AT$47,R629,"")</f>
        <v/>
      </c>
      <c r="AU629" s="304" t="str">
        <f>IF($E629=$AT$47,S629,"")</f>
        <v/>
      </c>
      <c r="AV629" s="28"/>
      <c r="AW629" s="304" t="str">
        <f t="shared" ref="AW629:AX648" si="493">IF($E629=$AW$83,R629,"")</f>
        <v/>
      </c>
      <c r="AX629" s="304" t="str">
        <f t="shared" si="493"/>
        <v/>
      </c>
      <c r="AY629" s="28"/>
      <c r="AZ629" s="304" t="str">
        <f t="shared" ref="AZ629:BA648" si="494">IF($E629=$AZ$83,R629,"")</f>
        <v/>
      </c>
      <c r="BA629" s="304" t="str">
        <f t="shared" si="494"/>
        <v/>
      </c>
      <c r="BB629" s="28"/>
      <c r="BC629" s="304" t="str">
        <f t="shared" ref="BC629:BD648" si="495">IF($E629=$BC$83,R629,"")</f>
        <v/>
      </c>
      <c r="BD629" s="304" t="str">
        <f t="shared" si="495"/>
        <v/>
      </c>
      <c r="BE629" s="28"/>
      <c r="BF629" s="304" t="str">
        <f t="shared" ref="BF629:BG648" si="496">IF($E629=$BF$83,R629,"")</f>
        <v/>
      </c>
      <c r="BG629" s="304" t="str">
        <f t="shared" si="496"/>
        <v/>
      </c>
      <c r="BH629" s="28"/>
      <c r="BI629" s="304" t="str">
        <f t="shared" ref="BI629:BJ648" si="497">IF($E629=$BI$83,R629,"")</f>
        <v/>
      </c>
      <c r="BJ629" s="304" t="str">
        <f t="shared" si="497"/>
        <v/>
      </c>
      <c r="BK629" s="28"/>
      <c r="BL629" s="304" t="str">
        <f t="shared" ref="BL629:BM648" si="498">IF($E629=$BL$83,R629,"")</f>
        <v/>
      </c>
      <c r="BM629" s="304" t="str">
        <f t="shared" si="498"/>
        <v/>
      </c>
      <c r="BN629" s="28"/>
      <c r="BO629" s="304" t="str">
        <f t="shared" ref="BO629:BP648" si="499">IF($E629=$BO$83,R629,"")</f>
        <v/>
      </c>
      <c r="BP629" s="304" t="str">
        <f t="shared" si="499"/>
        <v/>
      </c>
      <c r="BQ629" s="28"/>
      <c r="BR629" s="304" t="str">
        <f t="shared" ref="BR629:BS648" si="500">IF($E629=$BR$83,R629,"")</f>
        <v/>
      </c>
      <c r="BS629" s="304" t="str">
        <f t="shared" si="500"/>
        <v/>
      </c>
      <c r="BT629" s="28"/>
      <c r="BU629" s="304" t="str">
        <f t="shared" ref="BU629:BV648" si="501">IF($E629=$BU$83,R629,"")</f>
        <v/>
      </c>
      <c r="BV629" s="304" t="str">
        <f t="shared" si="501"/>
        <v/>
      </c>
      <c r="BW629" s="28"/>
      <c r="BX629" s="91"/>
    </row>
    <row r="630" spans="1:76" s="55" customFormat="1" x14ac:dyDescent="0.25">
      <c r="A630" s="195">
        <v>2</v>
      </c>
      <c r="B630" s="216" t="str">
        <f t="shared" si="490"/>
        <v xml:space="preserve">: </v>
      </c>
      <c r="C630" s="219"/>
      <c r="D630" s="219"/>
      <c r="E630" s="219"/>
      <c r="F630" s="219"/>
      <c r="G630" s="220"/>
      <c r="H630" s="221"/>
      <c r="I630" s="220"/>
      <c r="J630" s="227"/>
      <c r="K630" s="227"/>
      <c r="L630" s="241"/>
      <c r="M630" s="225" t="str">
        <f>IFERROR(CONCATENATE(VLOOKUP('[1]Advanced Controls'!$H$144,'[1]Emissions Factors'!$Q$20:$U$38,5,FALSE),"/ ",FunctionalUnitOfMeasure),"Select Fuel on Adv. Controls")</f>
        <v>Select Fuel on Adv. Controls</v>
      </c>
      <c r="N630" s="227"/>
      <c r="O630" s="241"/>
      <c r="P630" s="122"/>
      <c r="Q630" s="228"/>
      <c r="R630" s="231" t="str">
        <f t="shared" ref="R630:R648" si="502">IF(Q630="Y","",IF(AND(L630="",J630=""),"",IF(L630="",J630,L630)))</f>
        <v/>
      </c>
      <c r="S630" s="230" t="str">
        <f t="shared" si="491"/>
        <v/>
      </c>
      <c r="T630" s="231" t="str">
        <f>IF(OR(Q630="Y",IFERROR(R630&gt;R649+R653*$AA$35,0),IFERROR(R630&lt;R649-R653*$AA$35,0)),"",IFERROR(R630*N630,""))</f>
        <v/>
      </c>
      <c r="U630" s="232" t="str">
        <f t="shared" si="492"/>
        <v>Select Fuel on Adv. Controls</v>
      </c>
      <c r="V630" s="28"/>
      <c r="W630" s="28"/>
      <c r="Y630" s="91"/>
      <c r="AO630" s="91"/>
      <c r="AP630" s="28"/>
      <c r="AQ630" s="28"/>
      <c r="AR630" s="237"/>
      <c r="AS630" s="28"/>
      <c r="AT630" s="304" t="str">
        <f t="shared" ref="AT630:AU648" si="503">IF($E630=$AT$47,R630,"")</f>
        <v/>
      </c>
      <c r="AU630" s="304" t="str">
        <f t="shared" si="503"/>
        <v/>
      </c>
      <c r="AV630" s="28"/>
      <c r="AW630" s="304" t="str">
        <f t="shared" si="493"/>
        <v/>
      </c>
      <c r="AX630" s="304" t="str">
        <f t="shared" si="493"/>
        <v/>
      </c>
      <c r="AY630" s="28"/>
      <c r="AZ630" s="304" t="str">
        <f t="shared" si="494"/>
        <v/>
      </c>
      <c r="BA630" s="304" t="str">
        <f t="shared" si="494"/>
        <v/>
      </c>
      <c r="BB630" s="28"/>
      <c r="BC630" s="304" t="str">
        <f t="shared" si="495"/>
        <v/>
      </c>
      <c r="BD630" s="304" t="str">
        <f t="shared" si="495"/>
        <v/>
      </c>
      <c r="BE630" s="28"/>
      <c r="BF630" s="304" t="str">
        <f t="shared" si="496"/>
        <v/>
      </c>
      <c r="BG630" s="304" t="str">
        <f t="shared" si="496"/>
        <v/>
      </c>
      <c r="BH630" s="28"/>
      <c r="BI630" s="304" t="str">
        <f t="shared" si="497"/>
        <v/>
      </c>
      <c r="BJ630" s="304" t="str">
        <f t="shared" si="497"/>
        <v/>
      </c>
      <c r="BK630" s="28"/>
      <c r="BL630" s="304" t="str">
        <f t="shared" si="498"/>
        <v/>
      </c>
      <c r="BM630" s="304" t="str">
        <f t="shared" si="498"/>
        <v/>
      </c>
      <c r="BN630" s="28"/>
      <c r="BO630" s="304" t="str">
        <f t="shared" si="499"/>
        <v/>
      </c>
      <c r="BP630" s="304" t="str">
        <f t="shared" si="499"/>
        <v/>
      </c>
      <c r="BQ630" s="28"/>
      <c r="BR630" s="304" t="str">
        <f t="shared" si="500"/>
        <v/>
      </c>
      <c r="BS630" s="304" t="str">
        <f t="shared" si="500"/>
        <v/>
      </c>
      <c r="BT630" s="28"/>
      <c r="BU630" s="304" t="str">
        <f t="shared" si="501"/>
        <v/>
      </c>
      <c r="BV630" s="304" t="str">
        <f t="shared" si="501"/>
        <v/>
      </c>
      <c r="BW630" s="28"/>
      <c r="BX630" s="91"/>
    </row>
    <row r="631" spans="1:76" s="55" customFormat="1" x14ac:dyDescent="0.25">
      <c r="A631" s="195">
        <v>3</v>
      </c>
      <c r="B631" s="216" t="str">
        <f>CONCATENATE(E631,": ",C631)</f>
        <v xml:space="preserve">: </v>
      </c>
      <c r="C631" s="221"/>
      <c r="D631" s="221"/>
      <c r="E631" s="221"/>
      <c r="F631" s="221"/>
      <c r="G631" s="240"/>
      <c r="H631" s="221"/>
      <c r="I631" s="240"/>
      <c r="J631" s="241"/>
      <c r="K631" s="227"/>
      <c r="L631" s="241"/>
      <c r="M631" s="225" t="str">
        <f>IFERROR(CONCATENATE(VLOOKUP('[1]Advanced Controls'!$H$144,'[1]Emissions Factors'!$Q$20:$U$38,5,FALSE),"/ ",FunctionalUnitOfMeasure),"Select Fuel on Adv. Controls")</f>
        <v>Select Fuel on Adv. Controls</v>
      </c>
      <c r="N631" s="227"/>
      <c r="O631" s="241"/>
      <c r="P631" s="122"/>
      <c r="Q631" s="228"/>
      <c r="R631" s="231" t="str">
        <f t="shared" si="502"/>
        <v/>
      </c>
      <c r="S631" s="230" t="str">
        <f t="shared" si="491"/>
        <v/>
      </c>
      <c r="T631" s="231" t="str">
        <f>IF(OR(Q631="Y",IFERROR(R631&gt;R649+R653*$AA$35,0),IFERROR(R631&lt;R649-R653*$AA$35,0)),"",IFERROR(R631*N631,""))</f>
        <v/>
      </c>
      <c r="U631" s="232" t="str">
        <f t="shared" si="492"/>
        <v>Select Fuel on Adv. Controls</v>
      </c>
      <c r="V631" s="28"/>
      <c r="W631" s="28"/>
      <c r="Y631" s="91"/>
      <c r="AO631" s="91"/>
      <c r="AP631" s="28"/>
      <c r="AQ631" s="28"/>
      <c r="AR631" s="237"/>
      <c r="AS631" s="28"/>
      <c r="AT631" s="304" t="str">
        <f t="shared" si="503"/>
        <v/>
      </c>
      <c r="AU631" s="304" t="str">
        <f t="shared" si="503"/>
        <v/>
      </c>
      <c r="AV631" s="28"/>
      <c r="AW631" s="304" t="str">
        <f t="shared" si="493"/>
        <v/>
      </c>
      <c r="AX631" s="304" t="str">
        <f t="shared" si="493"/>
        <v/>
      </c>
      <c r="AY631" s="28"/>
      <c r="AZ631" s="304" t="str">
        <f t="shared" si="494"/>
        <v/>
      </c>
      <c r="BA631" s="304" t="str">
        <f t="shared" si="494"/>
        <v/>
      </c>
      <c r="BB631" s="28"/>
      <c r="BC631" s="304" t="str">
        <f t="shared" si="495"/>
        <v/>
      </c>
      <c r="BD631" s="304" t="str">
        <f t="shared" si="495"/>
        <v/>
      </c>
      <c r="BE631" s="28"/>
      <c r="BF631" s="304" t="str">
        <f t="shared" si="496"/>
        <v/>
      </c>
      <c r="BG631" s="304" t="str">
        <f t="shared" si="496"/>
        <v/>
      </c>
      <c r="BH631" s="28"/>
      <c r="BI631" s="304" t="str">
        <f t="shared" si="497"/>
        <v/>
      </c>
      <c r="BJ631" s="304" t="str">
        <f t="shared" si="497"/>
        <v/>
      </c>
      <c r="BK631" s="28"/>
      <c r="BL631" s="304" t="str">
        <f t="shared" si="498"/>
        <v/>
      </c>
      <c r="BM631" s="304" t="str">
        <f t="shared" si="498"/>
        <v/>
      </c>
      <c r="BN631" s="28"/>
      <c r="BO631" s="304" t="str">
        <f t="shared" si="499"/>
        <v/>
      </c>
      <c r="BP631" s="304" t="str">
        <f t="shared" si="499"/>
        <v/>
      </c>
      <c r="BQ631" s="28"/>
      <c r="BR631" s="304" t="str">
        <f t="shared" si="500"/>
        <v/>
      </c>
      <c r="BS631" s="304" t="str">
        <f t="shared" si="500"/>
        <v/>
      </c>
      <c r="BT631" s="28"/>
      <c r="BU631" s="304" t="str">
        <f t="shared" si="501"/>
        <v/>
      </c>
      <c r="BV631" s="304" t="str">
        <f t="shared" si="501"/>
        <v/>
      </c>
      <c r="BW631" s="28"/>
      <c r="BX631" s="91"/>
    </row>
    <row r="632" spans="1:76" s="55" customFormat="1" x14ac:dyDescent="0.25">
      <c r="A632" s="195">
        <v>4</v>
      </c>
      <c r="B632" s="216" t="str">
        <f t="shared" si="490"/>
        <v xml:space="preserve">: </v>
      </c>
      <c r="C632" s="221"/>
      <c r="D632" s="221"/>
      <c r="E632" s="221"/>
      <c r="F632" s="221"/>
      <c r="G632" s="240"/>
      <c r="H632" s="221"/>
      <c r="I632" s="240"/>
      <c r="J632" s="241"/>
      <c r="K632" s="227"/>
      <c r="L632" s="241"/>
      <c r="M632" s="225" t="str">
        <f>IFERROR(CONCATENATE(VLOOKUP('[1]Advanced Controls'!$H$144,'[1]Emissions Factors'!$Q$20:$U$38,5,FALSE),"/ ",FunctionalUnitOfMeasure),"Select Fuel on Adv. Controls")</f>
        <v>Select Fuel on Adv. Controls</v>
      </c>
      <c r="N632" s="227"/>
      <c r="O632" s="241"/>
      <c r="P632" s="122"/>
      <c r="Q632" s="228"/>
      <c r="R632" s="231" t="str">
        <f t="shared" si="502"/>
        <v/>
      </c>
      <c r="S632" s="230" t="str">
        <f t="shared" si="491"/>
        <v/>
      </c>
      <c r="T632" s="231" t="str">
        <f>IF(OR(Q632="Y",IFERROR(R632&gt;R649+R653*$AA$35,0),IFERROR(R632&lt;R649-R653*$AA$35,0)),"",IFERROR(R632*N632,""))</f>
        <v/>
      </c>
      <c r="U632" s="232" t="str">
        <f t="shared" si="492"/>
        <v>Select Fuel on Adv. Controls</v>
      </c>
      <c r="V632" s="28"/>
      <c r="W632" s="28"/>
      <c r="Y632" s="91"/>
      <c r="AO632" s="91"/>
      <c r="AP632" s="28"/>
      <c r="AQ632" s="28"/>
      <c r="AR632" s="237"/>
      <c r="AS632" s="28"/>
      <c r="AT632" s="304" t="str">
        <f t="shared" si="503"/>
        <v/>
      </c>
      <c r="AU632" s="304" t="str">
        <f t="shared" si="503"/>
        <v/>
      </c>
      <c r="AV632" s="28"/>
      <c r="AW632" s="304" t="str">
        <f t="shared" si="493"/>
        <v/>
      </c>
      <c r="AX632" s="304" t="str">
        <f t="shared" si="493"/>
        <v/>
      </c>
      <c r="AY632" s="28"/>
      <c r="AZ632" s="304" t="str">
        <f t="shared" si="494"/>
        <v/>
      </c>
      <c r="BA632" s="304" t="str">
        <f t="shared" si="494"/>
        <v/>
      </c>
      <c r="BB632" s="28"/>
      <c r="BC632" s="304" t="str">
        <f t="shared" si="495"/>
        <v/>
      </c>
      <c r="BD632" s="304" t="str">
        <f t="shared" si="495"/>
        <v/>
      </c>
      <c r="BE632" s="28"/>
      <c r="BF632" s="304" t="str">
        <f t="shared" si="496"/>
        <v/>
      </c>
      <c r="BG632" s="304" t="str">
        <f t="shared" si="496"/>
        <v/>
      </c>
      <c r="BH632" s="28"/>
      <c r="BI632" s="304" t="str">
        <f t="shared" si="497"/>
        <v/>
      </c>
      <c r="BJ632" s="304" t="str">
        <f t="shared" si="497"/>
        <v/>
      </c>
      <c r="BK632" s="28"/>
      <c r="BL632" s="304" t="str">
        <f t="shared" si="498"/>
        <v/>
      </c>
      <c r="BM632" s="304" t="str">
        <f t="shared" si="498"/>
        <v/>
      </c>
      <c r="BN632" s="28"/>
      <c r="BO632" s="304" t="str">
        <f t="shared" si="499"/>
        <v/>
      </c>
      <c r="BP632" s="304" t="str">
        <f t="shared" si="499"/>
        <v/>
      </c>
      <c r="BQ632" s="28"/>
      <c r="BR632" s="304" t="str">
        <f t="shared" si="500"/>
        <v/>
      </c>
      <c r="BS632" s="304" t="str">
        <f t="shared" si="500"/>
        <v/>
      </c>
      <c r="BT632" s="28"/>
      <c r="BU632" s="304" t="str">
        <f t="shared" si="501"/>
        <v/>
      </c>
      <c r="BV632" s="304" t="str">
        <f t="shared" si="501"/>
        <v/>
      </c>
      <c r="BW632" s="28"/>
      <c r="BX632" s="91"/>
    </row>
    <row r="633" spans="1:76" s="55" customFormat="1" x14ac:dyDescent="0.25">
      <c r="A633" s="195">
        <v>5</v>
      </c>
      <c r="B633" s="216" t="str">
        <f t="shared" si="490"/>
        <v xml:space="preserve">: </v>
      </c>
      <c r="C633" s="221"/>
      <c r="D633" s="221"/>
      <c r="E633" s="221"/>
      <c r="F633" s="221"/>
      <c r="G633" s="240"/>
      <c r="H633" s="221"/>
      <c r="I633" s="240"/>
      <c r="J633" s="363"/>
      <c r="K633" s="241"/>
      <c r="L633" s="241"/>
      <c r="M633" s="225" t="str">
        <f>IFERROR(CONCATENATE(VLOOKUP('[1]Advanced Controls'!$H$144,'[1]Emissions Factors'!$Q$20:$U$38,5,FALSE),"/ ",FunctionalUnitOfMeasure),"Select Fuel on Adv. Controls")</f>
        <v>Select Fuel on Adv. Controls</v>
      </c>
      <c r="N633" s="227"/>
      <c r="O633" s="241"/>
      <c r="P633" s="122"/>
      <c r="Q633" s="228"/>
      <c r="R633" s="231" t="str">
        <f t="shared" si="502"/>
        <v/>
      </c>
      <c r="S633" s="230" t="str">
        <f t="shared" si="491"/>
        <v/>
      </c>
      <c r="T633" s="231" t="str">
        <f>IF(OR(Q633="Y",IFERROR(R633&gt;R649+R653*$AA$35,0),IFERROR(R633&lt;R649-R653*$AA$35,0)),"",IFERROR(R633*N633,""))</f>
        <v/>
      </c>
      <c r="U633" s="232" t="str">
        <f t="shared" si="492"/>
        <v>Select Fuel on Adv. Controls</v>
      </c>
      <c r="V633" s="28"/>
      <c r="W633" s="28"/>
      <c r="Y633" s="91"/>
      <c r="AO633" s="91"/>
      <c r="AP633" s="28"/>
      <c r="AQ633" s="28"/>
      <c r="AR633" s="237"/>
      <c r="AS633" s="28"/>
      <c r="AT633" s="304" t="str">
        <f t="shared" si="503"/>
        <v/>
      </c>
      <c r="AU633" s="304" t="str">
        <f t="shared" si="503"/>
        <v/>
      </c>
      <c r="AV633" s="28"/>
      <c r="AW633" s="304" t="str">
        <f t="shared" si="493"/>
        <v/>
      </c>
      <c r="AX633" s="304" t="str">
        <f t="shared" si="493"/>
        <v/>
      </c>
      <c r="AY633" s="28"/>
      <c r="AZ633" s="304" t="str">
        <f t="shared" si="494"/>
        <v/>
      </c>
      <c r="BA633" s="304" t="str">
        <f t="shared" si="494"/>
        <v/>
      </c>
      <c r="BB633" s="28"/>
      <c r="BC633" s="304" t="str">
        <f t="shared" si="495"/>
        <v/>
      </c>
      <c r="BD633" s="304" t="str">
        <f t="shared" si="495"/>
        <v/>
      </c>
      <c r="BE633" s="28"/>
      <c r="BF633" s="304" t="str">
        <f t="shared" si="496"/>
        <v/>
      </c>
      <c r="BG633" s="304" t="str">
        <f t="shared" si="496"/>
        <v/>
      </c>
      <c r="BH633" s="28"/>
      <c r="BI633" s="304" t="str">
        <f t="shared" si="497"/>
        <v/>
      </c>
      <c r="BJ633" s="304" t="str">
        <f t="shared" si="497"/>
        <v/>
      </c>
      <c r="BK633" s="28"/>
      <c r="BL633" s="304" t="str">
        <f t="shared" si="498"/>
        <v/>
      </c>
      <c r="BM633" s="304" t="str">
        <f t="shared" si="498"/>
        <v/>
      </c>
      <c r="BN633" s="28"/>
      <c r="BO633" s="304" t="str">
        <f t="shared" si="499"/>
        <v/>
      </c>
      <c r="BP633" s="304" t="str">
        <f t="shared" si="499"/>
        <v/>
      </c>
      <c r="BQ633" s="28"/>
      <c r="BR633" s="304" t="str">
        <f t="shared" si="500"/>
        <v/>
      </c>
      <c r="BS633" s="304" t="str">
        <f t="shared" si="500"/>
        <v/>
      </c>
      <c r="BT633" s="28"/>
      <c r="BU633" s="304" t="str">
        <f t="shared" si="501"/>
        <v/>
      </c>
      <c r="BV633" s="304" t="str">
        <f t="shared" si="501"/>
        <v/>
      </c>
      <c r="BW633" s="28"/>
      <c r="BX633" s="91"/>
    </row>
    <row r="634" spans="1:76" s="55" customFormat="1" x14ac:dyDescent="0.25">
      <c r="A634" s="195">
        <v>6</v>
      </c>
      <c r="B634" s="216" t="str">
        <f t="shared" si="490"/>
        <v xml:space="preserve">: </v>
      </c>
      <c r="C634" s="221"/>
      <c r="D634" s="221"/>
      <c r="E634" s="221"/>
      <c r="F634" s="221"/>
      <c r="G634" s="240"/>
      <c r="H634" s="221"/>
      <c r="I634" s="240"/>
      <c r="J634" s="241"/>
      <c r="K634" s="241"/>
      <c r="L634" s="241"/>
      <c r="M634" s="225" t="str">
        <f>IFERROR(CONCATENATE(VLOOKUP('[1]Advanced Controls'!$H$144,'[1]Emissions Factors'!$Q$20:$U$38,5,FALSE),"/ ",FunctionalUnitOfMeasure),"Select Fuel on Adv. Controls")</f>
        <v>Select Fuel on Adv. Controls</v>
      </c>
      <c r="N634" s="227"/>
      <c r="O634" s="241"/>
      <c r="P634" s="122"/>
      <c r="Q634" s="228"/>
      <c r="R634" s="231" t="str">
        <f t="shared" si="502"/>
        <v/>
      </c>
      <c r="S634" s="230" t="str">
        <f t="shared" si="491"/>
        <v/>
      </c>
      <c r="T634" s="231" t="str">
        <f>IF(OR(Q634="Y",IFERROR(R634&gt;R649+R653*$AA$35,0),IFERROR(R634&lt;R649-R653*$AA$35,0)),"",IFERROR(R634*N634,""))</f>
        <v/>
      </c>
      <c r="U634" s="232" t="str">
        <f t="shared" si="492"/>
        <v>Select Fuel on Adv. Controls</v>
      </c>
      <c r="V634" s="28"/>
      <c r="W634" s="28"/>
      <c r="Y634" s="91"/>
      <c r="AO634" s="91"/>
      <c r="AP634" s="28"/>
      <c r="AQ634" s="28"/>
      <c r="AR634" s="237"/>
      <c r="AS634" s="28"/>
      <c r="AT634" s="304" t="str">
        <f t="shared" si="503"/>
        <v/>
      </c>
      <c r="AU634" s="304" t="str">
        <f t="shared" si="503"/>
        <v/>
      </c>
      <c r="AV634" s="28"/>
      <c r="AW634" s="304" t="str">
        <f t="shared" si="493"/>
        <v/>
      </c>
      <c r="AX634" s="304" t="str">
        <f t="shared" si="493"/>
        <v/>
      </c>
      <c r="AY634" s="28"/>
      <c r="AZ634" s="304" t="str">
        <f t="shared" si="494"/>
        <v/>
      </c>
      <c r="BA634" s="304" t="str">
        <f t="shared" si="494"/>
        <v/>
      </c>
      <c r="BB634" s="28"/>
      <c r="BC634" s="304" t="str">
        <f t="shared" si="495"/>
        <v/>
      </c>
      <c r="BD634" s="304" t="str">
        <f t="shared" si="495"/>
        <v/>
      </c>
      <c r="BE634" s="28"/>
      <c r="BF634" s="304" t="str">
        <f t="shared" si="496"/>
        <v/>
      </c>
      <c r="BG634" s="304" t="str">
        <f t="shared" si="496"/>
        <v/>
      </c>
      <c r="BH634" s="28"/>
      <c r="BI634" s="304" t="str">
        <f t="shared" si="497"/>
        <v/>
      </c>
      <c r="BJ634" s="304" t="str">
        <f t="shared" si="497"/>
        <v/>
      </c>
      <c r="BK634" s="28"/>
      <c r="BL634" s="304" t="str">
        <f t="shared" si="498"/>
        <v/>
      </c>
      <c r="BM634" s="304" t="str">
        <f t="shared" si="498"/>
        <v/>
      </c>
      <c r="BN634" s="28"/>
      <c r="BO634" s="304" t="str">
        <f t="shared" si="499"/>
        <v/>
      </c>
      <c r="BP634" s="304" t="str">
        <f t="shared" si="499"/>
        <v/>
      </c>
      <c r="BQ634" s="28"/>
      <c r="BR634" s="304" t="str">
        <f t="shared" si="500"/>
        <v/>
      </c>
      <c r="BS634" s="304" t="str">
        <f t="shared" si="500"/>
        <v/>
      </c>
      <c r="BT634" s="28"/>
      <c r="BU634" s="304" t="str">
        <f t="shared" si="501"/>
        <v/>
      </c>
      <c r="BV634" s="304" t="str">
        <f t="shared" si="501"/>
        <v/>
      </c>
      <c r="BW634" s="28"/>
      <c r="BX634" s="91"/>
    </row>
    <row r="635" spans="1:76" s="55" customFormat="1" x14ac:dyDescent="0.25">
      <c r="A635" s="195">
        <v>7</v>
      </c>
      <c r="B635" s="216" t="str">
        <f t="shared" si="490"/>
        <v xml:space="preserve">: </v>
      </c>
      <c r="C635" s="221"/>
      <c r="D635" s="221"/>
      <c r="E635" s="221"/>
      <c r="F635" s="221"/>
      <c r="G635" s="240"/>
      <c r="H635" s="221"/>
      <c r="I635" s="240"/>
      <c r="J635" s="241"/>
      <c r="K635" s="241"/>
      <c r="L635" s="241"/>
      <c r="M635" s="225" t="str">
        <f>IFERROR(CONCATENATE(VLOOKUP('[1]Advanced Controls'!$H$144,'[1]Emissions Factors'!$Q$20:$U$38,5,FALSE),"/ ",FunctionalUnitOfMeasure),"Select Fuel on Adv. Controls")</f>
        <v>Select Fuel on Adv. Controls</v>
      </c>
      <c r="N635" s="227"/>
      <c r="O635" s="241"/>
      <c r="P635" s="122"/>
      <c r="Q635" s="228"/>
      <c r="R635" s="231" t="str">
        <f t="shared" si="502"/>
        <v/>
      </c>
      <c r="S635" s="230" t="str">
        <f t="shared" si="491"/>
        <v/>
      </c>
      <c r="T635" s="231" t="str">
        <f>IF(OR(Q635="Y",IFERROR(R635&gt;R649+R653*$AA$35,0),IFERROR(R635&lt;R649-R653*$AA$35,0)),"",IFERROR(R635*N635,""))</f>
        <v/>
      </c>
      <c r="U635" s="232" t="str">
        <f t="shared" si="492"/>
        <v>Select Fuel on Adv. Controls</v>
      </c>
      <c r="V635" s="28"/>
      <c r="W635" s="28"/>
      <c r="Y635" s="91"/>
      <c r="AO635" s="91"/>
      <c r="AP635" s="28"/>
      <c r="AQ635" s="28"/>
      <c r="AR635" s="237"/>
      <c r="AS635" s="28"/>
      <c r="AT635" s="304" t="str">
        <f t="shared" si="503"/>
        <v/>
      </c>
      <c r="AU635" s="304" t="str">
        <f t="shared" si="503"/>
        <v/>
      </c>
      <c r="AV635" s="28"/>
      <c r="AW635" s="304" t="str">
        <f t="shared" si="493"/>
        <v/>
      </c>
      <c r="AX635" s="304" t="str">
        <f t="shared" si="493"/>
        <v/>
      </c>
      <c r="AY635" s="28"/>
      <c r="AZ635" s="304" t="str">
        <f t="shared" si="494"/>
        <v/>
      </c>
      <c r="BA635" s="304" t="str">
        <f t="shared" si="494"/>
        <v/>
      </c>
      <c r="BB635" s="28"/>
      <c r="BC635" s="304" t="str">
        <f t="shared" si="495"/>
        <v/>
      </c>
      <c r="BD635" s="304" t="str">
        <f t="shared" si="495"/>
        <v/>
      </c>
      <c r="BE635" s="28"/>
      <c r="BF635" s="304" t="str">
        <f t="shared" si="496"/>
        <v/>
      </c>
      <c r="BG635" s="304" t="str">
        <f t="shared" si="496"/>
        <v/>
      </c>
      <c r="BH635" s="28"/>
      <c r="BI635" s="304" t="str">
        <f t="shared" si="497"/>
        <v/>
      </c>
      <c r="BJ635" s="304" t="str">
        <f t="shared" si="497"/>
        <v/>
      </c>
      <c r="BK635" s="28"/>
      <c r="BL635" s="304" t="str">
        <f t="shared" si="498"/>
        <v/>
      </c>
      <c r="BM635" s="304" t="str">
        <f t="shared" si="498"/>
        <v/>
      </c>
      <c r="BN635" s="28"/>
      <c r="BO635" s="304" t="str">
        <f t="shared" si="499"/>
        <v/>
      </c>
      <c r="BP635" s="304" t="str">
        <f t="shared" si="499"/>
        <v/>
      </c>
      <c r="BQ635" s="28"/>
      <c r="BR635" s="304" t="str">
        <f t="shared" si="500"/>
        <v/>
      </c>
      <c r="BS635" s="304" t="str">
        <f t="shared" si="500"/>
        <v/>
      </c>
      <c r="BT635" s="28"/>
      <c r="BU635" s="304" t="str">
        <f t="shared" si="501"/>
        <v/>
      </c>
      <c r="BV635" s="304" t="str">
        <f t="shared" si="501"/>
        <v/>
      </c>
      <c r="BW635" s="28"/>
      <c r="BX635" s="91"/>
    </row>
    <row r="636" spans="1:76" s="55" customFormat="1" x14ac:dyDescent="0.25">
      <c r="A636" s="195">
        <v>8</v>
      </c>
      <c r="B636" s="216" t="str">
        <f t="shared" si="490"/>
        <v xml:space="preserve">: </v>
      </c>
      <c r="C636" s="221"/>
      <c r="D636" s="221"/>
      <c r="E636" s="221"/>
      <c r="F636" s="221"/>
      <c r="G636" s="240"/>
      <c r="H636" s="221"/>
      <c r="I636" s="240"/>
      <c r="J636" s="241"/>
      <c r="K636" s="241"/>
      <c r="L636" s="241"/>
      <c r="M636" s="225" t="str">
        <f>IFERROR(CONCATENATE(VLOOKUP('[1]Advanced Controls'!$H$144,'[1]Emissions Factors'!$Q$20:$U$38,5,FALSE),"/ ",FunctionalUnitOfMeasure),"Select Fuel on Adv. Controls")</f>
        <v>Select Fuel on Adv. Controls</v>
      </c>
      <c r="N636" s="227"/>
      <c r="O636" s="241"/>
      <c r="P636" s="122"/>
      <c r="Q636" s="228"/>
      <c r="R636" s="231" t="str">
        <f t="shared" si="502"/>
        <v/>
      </c>
      <c r="S636" s="230" t="str">
        <f t="shared" si="491"/>
        <v/>
      </c>
      <c r="T636" s="231" t="str">
        <f>IF(OR(Q636="Y",IFERROR(R636&gt;R649+R653*$AA$35,0),IFERROR(R636&lt;R649-R653*$AA$35,0)),"",IFERROR(R636*N636,""))</f>
        <v/>
      </c>
      <c r="U636" s="232" t="str">
        <f t="shared" si="492"/>
        <v>Select Fuel on Adv. Controls</v>
      </c>
      <c r="V636" s="28"/>
      <c r="W636" s="28"/>
      <c r="Y636" s="91"/>
      <c r="AO636" s="91"/>
      <c r="AP636" s="28"/>
      <c r="AQ636" s="28"/>
      <c r="AR636" s="237"/>
      <c r="AS636" s="28"/>
      <c r="AT636" s="304" t="str">
        <f t="shared" si="503"/>
        <v/>
      </c>
      <c r="AU636" s="304" t="str">
        <f t="shared" si="503"/>
        <v/>
      </c>
      <c r="AV636" s="28"/>
      <c r="AW636" s="304" t="str">
        <f t="shared" si="493"/>
        <v/>
      </c>
      <c r="AX636" s="304" t="str">
        <f t="shared" si="493"/>
        <v/>
      </c>
      <c r="AY636" s="28"/>
      <c r="AZ636" s="304" t="str">
        <f t="shared" si="494"/>
        <v/>
      </c>
      <c r="BA636" s="304" t="str">
        <f t="shared" si="494"/>
        <v/>
      </c>
      <c r="BB636" s="28"/>
      <c r="BC636" s="304" t="str">
        <f t="shared" si="495"/>
        <v/>
      </c>
      <c r="BD636" s="304" t="str">
        <f t="shared" si="495"/>
        <v/>
      </c>
      <c r="BE636" s="28"/>
      <c r="BF636" s="304" t="str">
        <f t="shared" si="496"/>
        <v/>
      </c>
      <c r="BG636" s="304" t="str">
        <f t="shared" si="496"/>
        <v/>
      </c>
      <c r="BH636" s="28"/>
      <c r="BI636" s="304" t="str">
        <f t="shared" si="497"/>
        <v/>
      </c>
      <c r="BJ636" s="304" t="str">
        <f t="shared" si="497"/>
        <v/>
      </c>
      <c r="BK636" s="28"/>
      <c r="BL636" s="304" t="str">
        <f t="shared" si="498"/>
        <v/>
      </c>
      <c r="BM636" s="304" t="str">
        <f t="shared" si="498"/>
        <v/>
      </c>
      <c r="BN636" s="28"/>
      <c r="BO636" s="304" t="str">
        <f t="shared" si="499"/>
        <v/>
      </c>
      <c r="BP636" s="304" t="str">
        <f t="shared" si="499"/>
        <v/>
      </c>
      <c r="BQ636" s="28"/>
      <c r="BR636" s="304" t="str">
        <f t="shared" si="500"/>
        <v/>
      </c>
      <c r="BS636" s="304" t="str">
        <f t="shared" si="500"/>
        <v/>
      </c>
      <c r="BT636" s="28"/>
      <c r="BU636" s="304" t="str">
        <f t="shared" si="501"/>
        <v/>
      </c>
      <c r="BV636" s="304" t="str">
        <f t="shared" si="501"/>
        <v/>
      </c>
      <c r="BW636" s="28"/>
      <c r="BX636" s="91"/>
    </row>
    <row r="637" spans="1:76" s="55" customFormat="1" x14ac:dyDescent="0.25">
      <c r="A637" s="195">
        <v>9</v>
      </c>
      <c r="B637" s="216" t="str">
        <f t="shared" si="490"/>
        <v xml:space="preserve">: </v>
      </c>
      <c r="C637" s="221"/>
      <c r="D637" s="221"/>
      <c r="E637" s="221"/>
      <c r="F637" s="221"/>
      <c r="G637" s="240"/>
      <c r="H637" s="221"/>
      <c r="I637" s="240"/>
      <c r="J637" s="241"/>
      <c r="K637" s="241"/>
      <c r="L637" s="241"/>
      <c r="M637" s="225" t="str">
        <f>IFERROR(CONCATENATE(VLOOKUP('[1]Advanced Controls'!$H$144,'[1]Emissions Factors'!$Q$20:$U$38,5,FALSE),"/ ",FunctionalUnitOfMeasure),"Select Fuel on Adv. Controls")</f>
        <v>Select Fuel on Adv. Controls</v>
      </c>
      <c r="N637" s="227"/>
      <c r="O637" s="241"/>
      <c r="P637" s="122"/>
      <c r="Q637" s="228"/>
      <c r="R637" s="231" t="str">
        <f t="shared" si="502"/>
        <v/>
      </c>
      <c r="S637" s="230" t="str">
        <f t="shared" si="491"/>
        <v/>
      </c>
      <c r="T637" s="231" t="str">
        <f>IF(OR(Q637="Y",IFERROR(R637&gt;R649+R653*$AA$35,0),IFERROR(R637&lt;R649-R653*$AA$35,0)),"",IFERROR(R637*N637,""))</f>
        <v/>
      </c>
      <c r="U637" s="232" t="str">
        <f t="shared" si="492"/>
        <v>Select Fuel on Adv. Controls</v>
      </c>
      <c r="V637" s="28"/>
      <c r="W637" s="28"/>
      <c r="Y637" s="91"/>
      <c r="AO637" s="91"/>
      <c r="AP637" s="28"/>
      <c r="AQ637" s="28"/>
      <c r="AR637" s="237"/>
      <c r="AS637" s="28"/>
      <c r="AT637" s="304" t="str">
        <f t="shared" si="503"/>
        <v/>
      </c>
      <c r="AU637" s="304" t="str">
        <f t="shared" si="503"/>
        <v/>
      </c>
      <c r="AV637" s="28"/>
      <c r="AW637" s="304" t="str">
        <f t="shared" si="493"/>
        <v/>
      </c>
      <c r="AX637" s="304" t="str">
        <f t="shared" si="493"/>
        <v/>
      </c>
      <c r="AY637" s="28"/>
      <c r="AZ637" s="304" t="str">
        <f t="shared" si="494"/>
        <v/>
      </c>
      <c r="BA637" s="304" t="str">
        <f t="shared" si="494"/>
        <v/>
      </c>
      <c r="BB637" s="28"/>
      <c r="BC637" s="304" t="str">
        <f t="shared" si="495"/>
        <v/>
      </c>
      <c r="BD637" s="304" t="str">
        <f t="shared" si="495"/>
        <v/>
      </c>
      <c r="BE637" s="28"/>
      <c r="BF637" s="304" t="str">
        <f t="shared" si="496"/>
        <v/>
      </c>
      <c r="BG637" s="304" t="str">
        <f t="shared" si="496"/>
        <v/>
      </c>
      <c r="BH637" s="28"/>
      <c r="BI637" s="304" t="str">
        <f t="shared" si="497"/>
        <v/>
      </c>
      <c r="BJ637" s="304" t="str">
        <f t="shared" si="497"/>
        <v/>
      </c>
      <c r="BK637" s="28"/>
      <c r="BL637" s="304" t="str">
        <f t="shared" si="498"/>
        <v/>
      </c>
      <c r="BM637" s="304" t="str">
        <f t="shared" si="498"/>
        <v/>
      </c>
      <c r="BN637" s="28"/>
      <c r="BO637" s="304" t="str">
        <f t="shared" si="499"/>
        <v/>
      </c>
      <c r="BP637" s="304" t="str">
        <f t="shared" si="499"/>
        <v/>
      </c>
      <c r="BQ637" s="28"/>
      <c r="BR637" s="304" t="str">
        <f t="shared" si="500"/>
        <v/>
      </c>
      <c r="BS637" s="304" t="str">
        <f t="shared" si="500"/>
        <v/>
      </c>
      <c r="BT637" s="28"/>
      <c r="BU637" s="304" t="str">
        <f t="shared" si="501"/>
        <v/>
      </c>
      <c r="BV637" s="304" t="str">
        <f t="shared" si="501"/>
        <v/>
      </c>
      <c r="BW637" s="28"/>
      <c r="BX637" s="91"/>
    </row>
    <row r="638" spans="1:76" s="55" customFormat="1" x14ac:dyDescent="0.25">
      <c r="A638" s="195">
        <v>10</v>
      </c>
      <c r="B638" s="216" t="str">
        <f t="shared" si="490"/>
        <v xml:space="preserve">: </v>
      </c>
      <c r="C638" s="221"/>
      <c r="D638" s="221"/>
      <c r="E638" s="221"/>
      <c r="F638" s="221"/>
      <c r="G638" s="240"/>
      <c r="H638" s="221"/>
      <c r="I638" s="240"/>
      <c r="J638" s="241"/>
      <c r="K638" s="241"/>
      <c r="L638" s="241"/>
      <c r="M638" s="225" t="str">
        <f>IFERROR(CONCATENATE(VLOOKUP('[1]Advanced Controls'!$H$144,'[1]Emissions Factors'!$Q$20:$U$38,5,FALSE),"/ ",FunctionalUnitOfMeasure),"Select Fuel on Adv. Controls")</f>
        <v>Select Fuel on Adv. Controls</v>
      </c>
      <c r="N638" s="227"/>
      <c r="O638" s="241"/>
      <c r="P638" s="122"/>
      <c r="Q638" s="228"/>
      <c r="R638" s="231" t="str">
        <f t="shared" si="502"/>
        <v/>
      </c>
      <c r="S638" s="230" t="str">
        <f t="shared" si="491"/>
        <v/>
      </c>
      <c r="T638" s="231" t="str">
        <f>IF(OR(Q638="Y",IFERROR(R638&gt;R649+R653*$AA$35,0),IFERROR(R638&lt;R649-R653*$AA$35,0)),"",IFERROR(R638*N638,""))</f>
        <v/>
      </c>
      <c r="U638" s="232" t="str">
        <f t="shared" si="492"/>
        <v>Select Fuel on Adv. Controls</v>
      </c>
      <c r="V638" s="28"/>
      <c r="W638" s="28"/>
      <c r="Y638" s="91"/>
      <c r="AO638" s="91"/>
      <c r="AP638" s="28"/>
      <c r="AQ638" s="28"/>
      <c r="AR638" s="237"/>
      <c r="AS638" s="28"/>
      <c r="AT638" s="304" t="str">
        <f t="shared" si="503"/>
        <v/>
      </c>
      <c r="AU638" s="304" t="str">
        <f t="shared" si="503"/>
        <v/>
      </c>
      <c r="AV638" s="28"/>
      <c r="AW638" s="304" t="str">
        <f t="shared" si="493"/>
        <v/>
      </c>
      <c r="AX638" s="304" t="str">
        <f t="shared" si="493"/>
        <v/>
      </c>
      <c r="AY638" s="28"/>
      <c r="AZ638" s="304" t="str">
        <f t="shared" si="494"/>
        <v/>
      </c>
      <c r="BA638" s="304" t="str">
        <f t="shared" si="494"/>
        <v/>
      </c>
      <c r="BB638" s="28"/>
      <c r="BC638" s="304" t="str">
        <f t="shared" si="495"/>
        <v/>
      </c>
      <c r="BD638" s="304" t="str">
        <f t="shared" si="495"/>
        <v/>
      </c>
      <c r="BE638" s="28"/>
      <c r="BF638" s="304" t="str">
        <f t="shared" si="496"/>
        <v/>
      </c>
      <c r="BG638" s="304" t="str">
        <f t="shared" si="496"/>
        <v/>
      </c>
      <c r="BH638" s="28"/>
      <c r="BI638" s="304" t="str">
        <f t="shared" si="497"/>
        <v/>
      </c>
      <c r="BJ638" s="304" t="str">
        <f t="shared" si="497"/>
        <v/>
      </c>
      <c r="BK638" s="28"/>
      <c r="BL638" s="304" t="str">
        <f t="shared" si="498"/>
        <v/>
      </c>
      <c r="BM638" s="304" t="str">
        <f t="shared" si="498"/>
        <v/>
      </c>
      <c r="BN638" s="28"/>
      <c r="BO638" s="304" t="str">
        <f t="shared" si="499"/>
        <v/>
      </c>
      <c r="BP638" s="304" t="str">
        <f t="shared" si="499"/>
        <v/>
      </c>
      <c r="BQ638" s="28"/>
      <c r="BR638" s="304" t="str">
        <f t="shared" si="500"/>
        <v/>
      </c>
      <c r="BS638" s="304" t="str">
        <f t="shared" si="500"/>
        <v/>
      </c>
      <c r="BT638" s="28"/>
      <c r="BU638" s="304" t="str">
        <f t="shared" si="501"/>
        <v/>
      </c>
      <c r="BV638" s="304" t="str">
        <f t="shared" si="501"/>
        <v/>
      </c>
      <c r="BW638" s="28"/>
      <c r="BX638" s="91"/>
    </row>
    <row r="639" spans="1:76" s="55" customFormat="1" x14ac:dyDescent="0.25">
      <c r="A639" s="195">
        <v>11</v>
      </c>
      <c r="B639" s="216" t="str">
        <f t="shared" si="490"/>
        <v xml:space="preserve">: </v>
      </c>
      <c r="C639" s="221"/>
      <c r="D639" s="221"/>
      <c r="E639" s="221"/>
      <c r="F639" s="221"/>
      <c r="G639" s="240"/>
      <c r="H639" s="221"/>
      <c r="I639" s="240"/>
      <c r="J639" s="241"/>
      <c r="K639" s="227"/>
      <c r="L639" s="241"/>
      <c r="M639" s="225" t="str">
        <f>IFERROR(CONCATENATE(VLOOKUP('[1]Advanced Controls'!$H$144,'[1]Emissions Factors'!$Q$20:$U$38,5,FALSE),"/ ",FunctionalUnitOfMeasure),"Select Fuel on Adv. Controls")</f>
        <v>Select Fuel on Adv. Controls</v>
      </c>
      <c r="N639" s="227"/>
      <c r="O639" s="241"/>
      <c r="P639" s="122"/>
      <c r="Q639" s="228"/>
      <c r="R639" s="231" t="str">
        <f t="shared" si="502"/>
        <v/>
      </c>
      <c r="S639" s="230" t="str">
        <f t="shared" si="491"/>
        <v/>
      </c>
      <c r="T639" s="231" t="str">
        <f>IF(OR(Q639="Y",IFERROR(R639&gt;R649+R653*$AA$35,0),IFERROR(R639&lt;R649-R653*$AA$35,0)),"",IFERROR(R639*N639,""))</f>
        <v/>
      </c>
      <c r="U639" s="232" t="str">
        <f t="shared" si="492"/>
        <v>Select Fuel on Adv. Controls</v>
      </c>
      <c r="V639" s="28"/>
      <c r="W639" s="28"/>
      <c r="Y639" s="91"/>
      <c r="AO639" s="91"/>
      <c r="AP639" s="28"/>
      <c r="AQ639" s="28"/>
      <c r="AR639" s="237"/>
      <c r="AS639" s="28"/>
      <c r="AT639" s="304" t="str">
        <f t="shared" si="503"/>
        <v/>
      </c>
      <c r="AU639" s="304" t="str">
        <f t="shared" si="503"/>
        <v/>
      </c>
      <c r="AV639" s="28"/>
      <c r="AW639" s="304" t="str">
        <f t="shared" si="493"/>
        <v/>
      </c>
      <c r="AX639" s="304" t="str">
        <f t="shared" si="493"/>
        <v/>
      </c>
      <c r="AY639" s="28"/>
      <c r="AZ639" s="304" t="str">
        <f t="shared" si="494"/>
        <v/>
      </c>
      <c r="BA639" s="304" t="str">
        <f t="shared" si="494"/>
        <v/>
      </c>
      <c r="BB639" s="28"/>
      <c r="BC639" s="304" t="str">
        <f t="shared" si="495"/>
        <v/>
      </c>
      <c r="BD639" s="304" t="str">
        <f t="shared" si="495"/>
        <v/>
      </c>
      <c r="BE639" s="28"/>
      <c r="BF639" s="304" t="str">
        <f t="shared" si="496"/>
        <v/>
      </c>
      <c r="BG639" s="304" t="str">
        <f t="shared" si="496"/>
        <v/>
      </c>
      <c r="BH639" s="28"/>
      <c r="BI639" s="304" t="str">
        <f t="shared" si="497"/>
        <v/>
      </c>
      <c r="BJ639" s="304" t="str">
        <f t="shared" si="497"/>
        <v/>
      </c>
      <c r="BK639" s="28"/>
      <c r="BL639" s="304" t="str">
        <f t="shared" si="498"/>
        <v/>
      </c>
      <c r="BM639" s="304" t="str">
        <f t="shared" si="498"/>
        <v/>
      </c>
      <c r="BN639" s="28"/>
      <c r="BO639" s="304" t="str">
        <f t="shared" si="499"/>
        <v/>
      </c>
      <c r="BP639" s="304" t="str">
        <f t="shared" si="499"/>
        <v/>
      </c>
      <c r="BQ639" s="28"/>
      <c r="BR639" s="304" t="str">
        <f t="shared" si="500"/>
        <v/>
      </c>
      <c r="BS639" s="304" t="str">
        <f t="shared" si="500"/>
        <v/>
      </c>
      <c r="BT639" s="28"/>
      <c r="BU639" s="304" t="str">
        <f t="shared" si="501"/>
        <v/>
      </c>
      <c r="BV639" s="304" t="str">
        <f t="shared" si="501"/>
        <v/>
      </c>
      <c r="BW639" s="28"/>
      <c r="BX639" s="91"/>
    </row>
    <row r="640" spans="1:76" s="55" customFormat="1" x14ac:dyDescent="0.25">
      <c r="A640" s="195">
        <v>12</v>
      </c>
      <c r="B640" s="216" t="str">
        <f t="shared" si="490"/>
        <v xml:space="preserve">: </v>
      </c>
      <c r="C640" s="221"/>
      <c r="D640" s="221"/>
      <c r="E640" s="221"/>
      <c r="F640" s="221"/>
      <c r="G640" s="240"/>
      <c r="H640" s="221"/>
      <c r="I640" s="240"/>
      <c r="J640" s="241"/>
      <c r="K640" s="241"/>
      <c r="L640" s="241"/>
      <c r="M640" s="225" t="str">
        <f>IFERROR(CONCATENATE(VLOOKUP('[1]Advanced Controls'!$H$144,'[1]Emissions Factors'!$Q$20:$U$38,5,FALSE),"/ ",FunctionalUnitOfMeasure),"Select Fuel on Adv. Controls")</f>
        <v>Select Fuel on Adv. Controls</v>
      </c>
      <c r="N640" s="227"/>
      <c r="O640" s="241"/>
      <c r="P640" s="122"/>
      <c r="Q640" s="228"/>
      <c r="R640" s="231" t="str">
        <f t="shared" si="502"/>
        <v/>
      </c>
      <c r="S640" s="230" t="str">
        <f t="shared" si="491"/>
        <v/>
      </c>
      <c r="T640" s="231" t="str">
        <f>IF(OR(Q640="Y",IFERROR(R640&gt;R649+R653*$AA$35,0),IFERROR(R640&lt;R649-R653*$AA$35,0)),"",IFERROR(R640*N640,""))</f>
        <v/>
      </c>
      <c r="U640" s="232" t="str">
        <f t="shared" si="492"/>
        <v>Select Fuel on Adv. Controls</v>
      </c>
      <c r="V640" s="28"/>
      <c r="W640" s="28"/>
      <c r="Y640" s="91"/>
      <c r="AO640" s="91"/>
      <c r="AP640" s="28"/>
      <c r="AQ640" s="28"/>
      <c r="AR640" s="237"/>
      <c r="AS640" s="28"/>
      <c r="AT640" s="304" t="str">
        <f t="shared" si="503"/>
        <v/>
      </c>
      <c r="AU640" s="304" t="str">
        <f t="shared" si="503"/>
        <v/>
      </c>
      <c r="AV640" s="28"/>
      <c r="AW640" s="304" t="str">
        <f t="shared" si="493"/>
        <v/>
      </c>
      <c r="AX640" s="304" t="str">
        <f t="shared" si="493"/>
        <v/>
      </c>
      <c r="AY640" s="28"/>
      <c r="AZ640" s="304" t="str">
        <f t="shared" si="494"/>
        <v/>
      </c>
      <c r="BA640" s="304" t="str">
        <f t="shared" si="494"/>
        <v/>
      </c>
      <c r="BB640" s="28"/>
      <c r="BC640" s="304" t="str">
        <f t="shared" si="495"/>
        <v/>
      </c>
      <c r="BD640" s="304" t="str">
        <f t="shared" si="495"/>
        <v/>
      </c>
      <c r="BE640" s="28"/>
      <c r="BF640" s="304" t="str">
        <f t="shared" si="496"/>
        <v/>
      </c>
      <c r="BG640" s="304" t="str">
        <f t="shared" si="496"/>
        <v/>
      </c>
      <c r="BH640" s="28"/>
      <c r="BI640" s="304" t="str">
        <f t="shared" si="497"/>
        <v/>
      </c>
      <c r="BJ640" s="304" t="str">
        <f t="shared" si="497"/>
        <v/>
      </c>
      <c r="BK640" s="28"/>
      <c r="BL640" s="304" t="str">
        <f t="shared" si="498"/>
        <v/>
      </c>
      <c r="BM640" s="304" t="str">
        <f t="shared" si="498"/>
        <v/>
      </c>
      <c r="BN640" s="28"/>
      <c r="BO640" s="304" t="str">
        <f t="shared" si="499"/>
        <v/>
      </c>
      <c r="BP640" s="304" t="str">
        <f t="shared" si="499"/>
        <v/>
      </c>
      <c r="BQ640" s="28"/>
      <c r="BR640" s="304" t="str">
        <f t="shared" si="500"/>
        <v/>
      </c>
      <c r="BS640" s="304" t="str">
        <f t="shared" si="500"/>
        <v/>
      </c>
      <c r="BT640" s="28"/>
      <c r="BU640" s="304" t="str">
        <f t="shared" si="501"/>
        <v/>
      </c>
      <c r="BV640" s="304" t="str">
        <f t="shared" si="501"/>
        <v/>
      </c>
      <c r="BW640" s="28"/>
      <c r="BX640" s="91"/>
    </row>
    <row r="641" spans="1:76" s="55" customFormat="1" x14ac:dyDescent="0.25">
      <c r="A641" s="195">
        <v>13</v>
      </c>
      <c r="B641" s="216" t="str">
        <f t="shared" si="490"/>
        <v xml:space="preserve">: </v>
      </c>
      <c r="C641" s="221"/>
      <c r="D641" s="221"/>
      <c r="E641" s="221"/>
      <c r="F641" s="221"/>
      <c r="G641" s="240"/>
      <c r="H641" s="221"/>
      <c r="I641" s="240"/>
      <c r="J641" s="241"/>
      <c r="K641" s="226"/>
      <c r="L641" s="241"/>
      <c r="M641" s="225" t="str">
        <f>IFERROR(CONCATENATE(VLOOKUP('[1]Advanced Controls'!$H$144,'[1]Emissions Factors'!$Q$20:$U$38,5,FALSE),"/ ",FunctionalUnitOfMeasure),"Select Fuel on Adv. Controls")</f>
        <v>Select Fuel on Adv. Controls</v>
      </c>
      <c r="N641" s="227"/>
      <c r="O641" s="241"/>
      <c r="P641" s="122"/>
      <c r="Q641" s="228"/>
      <c r="R641" s="231" t="str">
        <f t="shared" si="502"/>
        <v/>
      </c>
      <c r="S641" s="230" t="str">
        <f t="shared" si="491"/>
        <v/>
      </c>
      <c r="T641" s="231" t="str">
        <f>IF(OR(Q641="Y",IFERROR(R641&gt;R649+R653*$AA$35,0),IFERROR(R641&lt;R649-R653*$AA$35,0)),"",IFERROR(R641*N641,""))</f>
        <v/>
      </c>
      <c r="U641" s="232" t="str">
        <f t="shared" si="492"/>
        <v>Select Fuel on Adv. Controls</v>
      </c>
      <c r="V641" s="28"/>
      <c r="W641" s="28"/>
      <c r="Y641" s="91"/>
      <c r="AO641" s="91"/>
      <c r="AP641" s="28"/>
      <c r="AQ641" s="28"/>
      <c r="AR641" s="237"/>
      <c r="AS641" s="28"/>
      <c r="AT641" s="304" t="str">
        <f t="shared" si="503"/>
        <v/>
      </c>
      <c r="AU641" s="304" t="str">
        <f t="shared" si="503"/>
        <v/>
      </c>
      <c r="AV641" s="28"/>
      <c r="AW641" s="304" t="str">
        <f t="shared" si="493"/>
        <v/>
      </c>
      <c r="AX641" s="304" t="str">
        <f t="shared" si="493"/>
        <v/>
      </c>
      <c r="AY641" s="28"/>
      <c r="AZ641" s="304" t="str">
        <f t="shared" si="494"/>
        <v/>
      </c>
      <c r="BA641" s="304" t="str">
        <f t="shared" si="494"/>
        <v/>
      </c>
      <c r="BB641" s="28"/>
      <c r="BC641" s="304" t="str">
        <f t="shared" si="495"/>
        <v/>
      </c>
      <c r="BD641" s="304" t="str">
        <f t="shared" si="495"/>
        <v/>
      </c>
      <c r="BE641" s="28"/>
      <c r="BF641" s="304" t="str">
        <f t="shared" si="496"/>
        <v/>
      </c>
      <c r="BG641" s="304" t="str">
        <f t="shared" si="496"/>
        <v/>
      </c>
      <c r="BH641" s="28"/>
      <c r="BI641" s="304" t="str">
        <f t="shared" si="497"/>
        <v/>
      </c>
      <c r="BJ641" s="304" t="str">
        <f t="shared" si="497"/>
        <v/>
      </c>
      <c r="BK641" s="28"/>
      <c r="BL641" s="304" t="str">
        <f t="shared" si="498"/>
        <v/>
      </c>
      <c r="BM641" s="304" t="str">
        <f t="shared" si="498"/>
        <v/>
      </c>
      <c r="BN641" s="28"/>
      <c r="BO641" s="304" t="str">
        <f t="shared" si="499"/>
        <v/>
      </c>
      <c r="BP641" s="304" t="str">
        <f t="shared" si="499"/>
        <v/>
      </c>
      <c r="BQ641" s="28"/>
      <c r="BR641" s="304" t="str">
        <f t="shared" si="500"/>
        <v/>
      </c>
      <c r="BS641" s="304" t="str">
        <f t="shared" si="500"/>
        <v/>
      </c>
      <c r="BT641" s="28"/>
      <c r="BU641" s="304" t="str">
        <f t="shared" si="501"/>
        <v/>
      </c>
      <c r="BV641" s="304" t="str">
        <f t="shared" si="501"/>
        <v/>
      </c>
      <c r="BW641" s="28"/>
      <c r="BX641" s="91"/>
    </row>
    <row r="642" spans="1:76" s="55" customFormat="1" x14ac:dyDescent="0.25">
      <c r="A642" s="195">
        <v>14</v>
      </c>
      <c r="B642" s="216" t="str">
        <f t="shared" si="490"/>
        <v xml:space="preserve">: </v>
      </c>
      <c r="C642" s="221"/>
      <c r="D642" s="221"/>
      <c r="E642" s="221"/>
      <c r="F642" s="221"/>
      <c r="G642" s="240"/>
      <c r="H642" s="221"/>
      <c r="I642" s="240"/>
      <c r="J642" s="241"/>
      <c r="K642" s="241"/>
      <c r="L642" s="241"/>
      <c r="M642" s="225" t="str">
        <f>IFERROR(CONCATENATE(VLOOKUP('[1]Advanced Controls'!$H$144,'[1]Emissions Factors'!$Q$20:$U$38,5,FALSE),"/ ",FunctionalUnitOfMeasure),"Select Fuel on Adv. Controls")</f>
        <v>Select Fuel on Adv. Controls</v>
      </c>
      <c r="N642" s="227"/>
      <c r="O642" s="241"/>
      <c r="P642" s="122"/>
      <c r="Q642" s="228"/>
      <c r="R642" s="231" t="str">
        <f t="shared" si="502"/>
        <v/>
      </c>
      <c r="S642" s="230" t="str">
        <f t="shared" si="491"/>
        <v/>
      </c>
      <c r="T642" s="231" t="str">
        <f>IF(OR(Q642="Y",IFERROR(R642&gt;R649+R653*$AA$35,0),IFERROR(R642&lt;R649-R653*$AA$35,0)),"",IFERROR(R642*N642,""))</f>
        <v/>
      </c>
      <c r="U642" s="232" t="str">
        <f t="shared" si="492"/>
        <v>Select Fuel on Adv. Controls</v>
      </c>
      <c r="V642" s="28"/>
      <c r="W642" s="28"/>
      <c r="Y642" s="91"/>
      <c r="AO642" s="91"/>
      <c r="AP642" s="28"/>
      <c r="AQ642" s="28"/>
      <c r="AR642" s="237"/>
      <c r="AS642" s="28"/>
      <c r="AT642" s="304" t="str">
        <f t="shared" si="503"/>
        <v/>
      </c>
      <c r="AU642" s="304" t="str">
        <f t="shared" si="503"/>
        <v/>
      </c>
      <c r="AV642" s="28"/>
      <c r="AW642" s="304" t="str">
        <f t="shared" si="493"/>
        <v/>
      </c>
      <c r="AX642" s="304" t="str">
        <f t="shared" si="493"/>
        <v/>
      </c>
      <c r="AY642" s="28"/>
      <c r="AZ642" s="304" t="str">
        <f t="shared" si="494"/>
        <v/>
      </c>
      <c r="BA642" s="304" t="str">
        <f t="shared" si="494"/>
        <v/>
      </c>
      <c r="BB642" s="28"/>
      <c r="BC642" s="304" t="str">
        <f t="shared" si="495"/>
        <v/>
      </c>
      <c r="BD642" s="304" t="str">
        <f t="shared" si="495"/>
        <v/>
      </c>
      <c r="BE642" s="28"/>
      <c r="BF642" s="304" t="str">
        <f t="shared" si="496"/>
        <v/>
      </c>
      <c r="BG642" s="304" t="str">
        <f t="shared" si="496"/>
        <v/>
      </c>
      <c r="BH642" s="28"/>
      <c r="BI642" s="304" t="str">
        <f t="shared" si="497"/>
        <v/>
      </c>
      <c r="BJ642" s="304" t="str">
        <f t="shared" si="497"/>
        <v/>
      </c>
      <c r="BK642" s="28"/>
      <c r="BL642" s="304" t="str">
        <f t="shared" si="498"/>
        <v/>
      </c>
      <c r="BM642" s="304" t="str">
        <f t="shared" si="498"/>
        <v/>
      </c>
      <c r="BN642" s="28"/>
      <c r="BO642" s="304" t="str">
        <f t="shared" si="499"/>
        <v/>
      </c>
      <c r="BP642" s="304" t="str">
        <f t="shared" si="499"/>
        <v/>
      </c>
      <c r="BQ642" s="28"/>
      <c r="BR642" s="304" t="str">
        <f t="shared" si="500"/>
        <v/>
      </c>
      <c r="BS642" s="304" t="str">
        <f t="shared" si="500"/>
        <v/>
      </c>
      <c r="BT642" s="28"/>
      <c r="BU642" s="304" t="str">
        <f t="shared" si="501"/>
        <v/>
      </c>
      <c r="BV642" s="304" t="str">
        <f t="shared" si="501"/>
        <v/>
      </c>
      <c r="BW642" s="28"/>
      <c r="BX642" s="91"/>
    </row>
    <row r="643" spans="1:76" s="55" customFormat="1" x14ac:dyDescent="0.25">
      <c r="A643" s="195">
        <v>15</v>
      </c>
      <c r="B643" s="216" t="str">
        <f t="shared" si="490"/>
        <v xml:space="preserve">: </v>
      </c>
      <c r="C643" s="221"/>
      <c r="D643" s="221"/>
      <c r="E643" s="221"/>
      <c r="F643" s="221"/>
      <c r="G643" s="240"/>
      <c r="H643" s="221"/>
      <c r="I643" s="240"/>
      <c r="J643" s="241"/>
      <c r="K643" s="241"/>
      <c r="L643" s="241"/>
      <c r="M643" s="225" t="str">
        <f>IFERROR(CONCATENATE(VLOOKUP('[1]Advanced Controls'!$H$144,'[1]Emissions Factors'!$Q$20:$U$38,5,FALSE),"/ ",FunctionalUnitOfMeasure),"Select Fuel on Adv. Controls")</f>
        <v>Select Fuel on Adv. Controls</v>
      </c>
      <c r="N643" s="227"/>
      <c r="O643" s="241"/>
      <c r="P643" s="122"/>
      <c r="Q643" s="228"/>
      <c r="R643" s="231" t="str">
        <f t="shared" si="502"/>
        <v/>
      </c>
      <c r="S643" s="230" t="str">
        <f t="shared" si="491"/>
        <v/>
      </c>
      <c r="T643" s="231" t="str">
        <f>IF(OR(Q643="Y",IFERROR(R643&gt;R649+R653*$AA$35,0),IFERROR(R643&lt;R649-R653*$AA$35,0)),"",IFERROR(R643*N643,""))</f>
        <v/>
      </c>
      <c r="U643" s="232" t="str">
        <f t="shared" si="492"/>
        <v>Select Fuel on Adv. Controls</v>
      </c>
      <c r="V643" s="28"/>
      <c r="W643" s="28"/>
      <c r="Y643" s="91"/>
      <c r="AO643" s="91"/>
      <c r="AP643" s="28"/>
      <c r="AQ643" s="28"/>
      <c r="AR643" s="237"/>
      <c r="AS643" s="28"/>
      <c r="AT643" s="304" t="str">
        <f t="shared" si="503"/>
        <v/>
      </c>
      <c r="AU643" s="304" t="str">
        <f t="shared" si="503"/>
        <v/>
      </c>
      <c r="AV643" s="28"/>
      <c r="AW643" s="304" t="str">
        <f t="shared" si="493"/>
        <v/>
      </c>
      <c r="AX643" s="304" t="str">
        <f t="shared" si="493"/>
        <v/>
      </c>
      <c r="AY643" s="28"/>
      <c r="AZ643" s="304" t="str">
        <f t="shared" si="494"/>
        <v/>
      </c>
      <c r="BA643" s="304" t="str">
        <f t="shared" si="494"/>
        <v/>
      </c>
      <c r="BB643" s="28"/>
      <c r="BC643" s="304" t="str">
        <f t="shared" si="495"/>
        <v/>
      </c>
      <c r="BD643" s="304" t="str">
        <f t="shared" si="495"/>
        <v/>
      </c>
      <c r="BE643" s="28"/>
      <c r="BF643" s="304" t="str">
        <f t="shared" si="496"/>
        <v/>
      </c>
      <c r="BG643" s="304" t="str">
        <f t="shared" si="496"/>
        <v/>
      </c>
      <c r="BH643" s="28"/>
      <c r="BI643" s="304" t="str">
        <f t="shared" si="497"/>
        <v/>
      </c>
      <c r="BJ643" s="304" t="str">
        <f t="shared" si="497"/>
        <v/>
      </c>
      <c r="BK643" s="28"/>
      <c r="BL643" s="304" t="str">
        <f t="shared" si="498"/>
        <v/>
      </c>
      <c r="BM643" s="304" t="str">
        <f t="shared" si="498"/>
        <v/>
      </c>
      <c r="BN643" s="28"/>
      <c r="BO643" s="304" t="str">
        <f t="shared" si="499"/>
        <v/>
      </c>
      <c r="BP643" s="304" t="str">
        <f t="shared" si="499"/>
        <v/>
      </c>
      <c r="BQ643" s="28"/>
      <c r="BR643" s="304" t="str">
        <f t="shared" si="500"/>
        <v/>
      </c>
      <c r="BS643" s="304" t="str">
        <f t="shared" si="500"/>
        <v/>
      </c>
      <c r="BT643" s="28"/>
      <c r="BU643" s="304" t="str">
        <f t="shared" si="501"/>
        <v/>
      </c>
      <c r="BV643" s="304" t="str">
        <f t="shared" si="501"/>
        <v/>
      </c>
      <c r="BW643" s="28"/>
      <c r="BX643" s="91"/>
    </row>
    <row r="644" spans="1:76" s="55" customFormat="1" x14ac:dyDescent="0.25">
      <c r="A644" s="195">
        <v>16</v>
      </c>
      <c r="B644" s="216" t="str">
        <f t="shared" si="490"/>
        <v xml:space="preserve">: </v>
      </c>
      <c r="C644" s="221"/>
      <c r="D644" s="221"/>
      <c r="E644" s="221"/>
      <c r="F644" s="221"/>
      <c r="G644" s="240"/>
      <c r="H644" s="221"/>
      <c r="I644" s="240"/>
      <c r="J644" s="241"/>
      <c r="K644" s="241"/>
      <c r="L644" s="241"/>
      <c r="M644" s="225" t="str">
        <f>IFERROR(CONCATENATE(VLOOKUP('[1]Advanced Controls'!$H$144,'[1]Emissions Factors'!$Q$20:$U$38,5,FALSE),"/ ",FunctionalUnitOfMeasure),"Select Fuel on Adv. Controls")</f>
        <v>Select Fuel on Adv. Controls</v>
      </c>
      <c r="N644" s="227"/>
      <c r="O644" s="241"/>
      <c r="P644" s="122"/>
      <c r="Q644" s="228"/>
      <c r="R644" s="231" t="str">
        <f t="shared" si="502"/>
        <v/>
      </c>
      <c r="S644" s="230" t="str">
        <f t="shared" si="491"/>
        <v/>
      </c>
      <c r="T644" s="231" t="str">
        <f>IF(OR(Q644="Y",IFERROR(R644&gt;R649+R653*$AA$35,0),IFERROR(R644&lt;R649-R653*$AA$35,0)),"",IFERROR(R644*N644,""))</f>
        <v/>
      </c>
      <c r="U644" s="232" t="str">
        <f t="shared" si="492"/>
        <v>Select Fuel on Adv. Controls</v>
      </c>
      <c r="V644" s="28"/>
      <c r="W644" s="28"/>
      <c r="Y644" s="91"/>
      <c r="AO644" s="91"/>
      <c r="AP644" s="28"/>
      <c r="AQ644" s="28"/>
      <c r="AR644" s="237"/>
      <c r="AS644" s="28"/>
      <c r="AT644" s="304" t="str">
        <f t="shared" si="503"/>
        <v/>
      </c>
      <c r="AU644" s="304" t="str">
        <f t="shared" si="503"/>
        <v/>
      </c>
      <c r="AV644" s="28"/>
      <c r="AW644" s="304" t="str">
        <f t="shared" si="493"/>
        <v/>
      </c>
      <c r="AX644" s="304" t="str">
        <f t="shared" si="493"/>
        <v/>
      </c>
      <c r="AY644" s="28"/>
      <c r="AZ644" s="304" t="str">
        <f t="shared" si="494"/>
        <v/>
      </c>
      <c r="BA644" s="304" t="str">
        <f t="shared" si="494"/>
        <v/>
      </c>
      <c r="BB644" s="28"/>
      <c r="BC644" s="304" t="str">
        <f t="shared" si="495"/>
        <v/>
      </c>
      <c r="BD644" s="304" t="str">
        <f t="shared" si="495"/>
        <v/>
      </c>
      <c r="BE644" s="28"/>
      <c r="BF644" s="304" t="str">
        <f t="shared" si="496"/>
        <v/>
      </c>
      <c r="BG644" s="304" t="str">
        <f t="shared" si="496"/>
        <v/>
      </c>
      <c r="BH644" s="28"/>
      <c r="BI644" s="304" t="str">
        <f t="shared" si="497"/>
        <v/>
      </c>
      <c r="BJ644" s="304" t="str">
        <f t="shared" si="497"/>
        <v/>
      </c>
      <c r="BK644" s="28"/>
      <c r="BL644" s="304" t="str">
        <f t="shared" si="498"/>
        <v/>
      </c>
      <c r="BM644" s="304" t="str">
        <f t="shared" si="498"/>
        <v/>
      </c>
      <c r="BN644" s="28"/>
      <c r="BO644" s="304" t="str">
        <f t="shared" si="499"/>
        <v/>
      </c>
      <c r="BP644" s="304" t="str">
        <f t="shared" si="499"/>
        <v/>
      </c>
      <c r="BQ644" s="28"/>
      <c r="BR644" s="304" t="str">
        <f t="shared" si="500"/>
        <v/>
      </c>
      <c r="BS644" s="304" t="str">
        <f t="shared" si="500"/>
        <v/>
      </c>
      <c r="BT644" s="28"/>
      <c r="BU644" s="304" t="str">
        <f t="shared" si="501"/>
        <v/>
      </c>
      <c r="BV644" s="304" t="str">
        <f t="shared" si="501"/>
        <v/>
      </c>
      <c r="BW644" s="28"/>
      <c r="BX644" s="91"/>
    </row>
    <row r="645" spans="1:76" s="55" customFormat="1" x14ac:dyDescent="0.25">
      <c r="A645" s="195">
        <v>17</v>
      </c>
      <c r="B645" s="216" t="str">
        <f t="shared" si="490"/>
        <v xml:space="preserve">: </v>
      </c>
      <c r="C645" s="221"/>
      <c r="D645" s="221"/>
      <c r="E645" s="221"/>
      <c r="F645" s="221"/>
      <c r="G645" s="240"/>
      <c r="H645" s="221"/>
      <c r="I645" s="240"/>
      <c r="J645" s="241"/>
      <c r="K645" s="241"/>
      <c r="L645" s="241"/>
      <c r="M645" s="225" t="str">
        <f>IFERROR(CONCATENATE(VLOOKUP('[1]Advanced Controls'!$H$144,'[1]Emissions Factors'!$Q$20:$U$38,5,FALSE),"/ ",FunctionalUnitOfMeasure),"Select Fuel on Adv. Controls")</f>
        <v>Select Fuel on Adv. Controls</v>
      </c>
      <c r="N645" s="227"/>
      <c r="O645" s="241"/>
      <c r="P645" s="122"/>
      <c r="Q645" s="228"/>
      <c r="R645" s="231" t="str">
        <f t="shared" si="502"/>
        <v/>
      </c>
      <c r="S645" s="230" t="str">
        <f t="shared" si="491"/>
        <v/>
      </c>
      <c r="T645" s="231" t="str">
        <f>IF(OR(Q645="Y",IFERROR(R645&gt;R649+R653*$AA$35,0),IFERROR(R645&lt;R649-R653*$AA$35,0)),"",IFERROR(R645*N645,""))</f>
        <v/>
      </c>
      <c r="U645" s="232" t="str">
        <f t="shared" si="492"/>
        <v>Select Fuel on Adv. Controls</v>
      </c>
      <c r="V645" s="28"/>
      <c r="W645" s="28"/>
      <c r="Y645" s="91"/>
      <c r="AO645" s="91"/>
      <c r="AP645" s="28"/>
      <c r="AQ645" s="28"/>
      <c r="AR645" s="237"/>
      <c r="AS645" s="28"/>
      <c r="AT645" s="304" t="str">
        <f t="shared" si="503"/>
        <v/>
      </c>
      <c r="AU645" s="304" t="str">
        <f t="shared" si="503"/>
        <v/>
      </c>
      <c r="AV645" s="28"/>
      <c r="AW645" s="304" t="str">
        <f t="shared" si="493"/>
        <v/>
      </c>
      <c r="AX645" s="304" t="str">
        <f t="shared" si="493"/>
        <v/>
      </c>
      <c r="AY645" s="28"/>
      <c r="AZ645" s="304" t="str">
        <f t="shared" si="494"/>
        <v/>
      </c>
      <c r="BA645" s="304" t="str">
        <f t="shared" si="494"/>
        <v/>
      </c>
      <c r="BB645" s="28"/>
      <c r="BC645" s="304" t="str">
        <f t="shared" si="495"/>
        <v/>
      </c>
      <c r="BD645" s="304" t="str">
        <f t="shared" si="495"/>
        <v/>
      </c>
      <c r="BE645" s="28"/>
      <c r="BF645" s="304" t="str">
        <f t="shared" si="496"/>
        <v/>
      </c>
      <c r="BG645" s="304" t="str">
        <f t="shared" si="496"/>
        <v/>
      </c>
      <c r="BH645" s="28"/>
      <c r="BI645" s="304" t="str">
        <f t="shared" si="497"/>
        <v/>
      </c>
      <c r="BJ645" s="304" t="str">
        <f t="shared" si="497"/>
        <v/>
      </c>
      <c r="BK645" s="28"/>
      <c r="BL645" s="304" t="str">
        <f t="shared" si="498"/>
        <v/>
      </c>
      <c r="BM645" s="304" t="str">
        <f t="shared" si="498"/>
        <v/>
      </c>
      <c r="BN645" s="28"/>
      <c r="BO645" s="304" t="str">
        <f t="shared" si="499"/>
        <v/>
      </c>
      <c r="BP645" s="304" t="str">
        <f t="shared" si="499"/>
        <v/>
      </c>
      <c r="BQ645" s="28"/>
      <c r="BR645" s="304" t="str">
        <f t="shared" si="500"/>
        <v/>
      </c>
      <c r="BS645" s="304" t="str">
        <f t="shared" si="500"/>
        <v/>
      </c>
      <c r="BT645" s="28"/>
      <c r="BU645" s="304" t="str">
        <f t="shared" si="501"/>
        <v/>
      </c>
      <c r="BV645" s="304" t="str">
        <f t="shared" si="501"/>
        <v/>
      </c>
      <c r="BW645" s="28"/>
      <c r="BX645" s="91"/>
    </row>
    <row r="646" spans="1:76" s="55" customFormat="1" x14ac:dyDescent="0.25">
      <c r="A646" s="195">
        <v>18</v>
      </c>
      <c r="B646" s="216" t="str">
        <f t="shared" si="490"/>
        <v xml:space="preserve">: </v>
      </c>
      <c r="C646" s="221"/>
      <c r="D646" s="221"/>
      <c r="E646" s="221"/>
      <c r="F646" s="221"/>
      <c r="G646" s="240"/>
      <c r="H646" s="221"/>
      <c r="I646" s="240"/>
      <c r="J646" s="241"/>
      <c r="K646" s="241"/>
      <c r="L646" s="241"/>
      <c r="M646" s="225" t="str">
        <f>IFERROR(CONCATENATE(VLOOKUP('[1]Advanced Controls'!$H$144,'[1]Emissions Factors'!$Q$20:$U$38,5,FALSE),"/ ",FunctionalUnitOfMeasure),"Select Fuel on Adv. Controls")</f>
        <v>Select Fuel on Adv. Controls</v>
      </c>
      <c r="N646" s="227"/>
      <c r="O646" s="241"/>
      <c r="P646" s="122"/>
      <c r="Q646" s="228"/>
      <c r="R646" s="231" t="str">
        <f t="shared" si="502"/>
        <v/>
      </c>
      <c r="S646" s="230" t="str">
        <f t="shared" si="491"/>
        <v/>
      </c>
      <c r="T646" s="231" t="str">
        <f>IF(OR(Q646="Y",IFERROR(R646&gt;R649+R653*$AA$35,0),IFERROR(R646&lt;R649-R653*$AA$35,0)),"",IFERROR(R646*N646,""))</f>
        <v/>
      </c>
      <c r="U646" s="232" t="str">
        <f t="shared" si="492"/>
        <v>Select Fuel on Adv. Controls</v>
      </c>
      <c r="V646" s="28"/>
      <c r="W646" s="28"/>
      <c r="Y646" s="91"/>
      <c r="AO646" s="91"/>
      <c r="AP646" s="28"/>
      <c r="AQ646" s="28"/>
      <c r="AR646" s="237"/>
      <c r="AS646" s="28"/>
      <c r="AT646" s="304" t="str">
        <f t="shared" si="503"/>
        <v/>
      </c>
      <c r="AU646" s="304" t="str">
        <f t="shared" si="503"/>
        <v/>
      </c>
      <c r="AV646" s="28"/>
      <c r="AW646" s="304" t="str">
        <f t="shared" si="493"/>
        <v/>
      </c>
      <c r="AX646" s="304" t="str">
        <f t="shared" si="493"/>
        <v/>
      </c>
      <c r="AY646" s="28"/>
      <c r="AZ646" s="304" t="str">
        <f t="shared" si="494"/>
        <v/>
      </c>
      <c r="BA646" s="304" t="str">
        <f t="shared" si="494"/>
        <v/>
      </c>
      <c r="BB646" s="28"/>
      <c r="BC646" s="304" t="str">
        <f t="shared" si="495"/>
        <v/>
      </c>
      <c r="BD646" s="304" t="str">
        <f t="shared" si="495"/>
        <v/>
      </c>
      <c r="BE646" s="28"/>
      <c r="BF646" s="304" t="str">
        <f t="shared" si="496"/>
        <v/>
      </c>
      <c r="BG646" s="304" t="str">
        <f t="shared" si="496"/>
        <v/>
      </c>
      <c r="BH646" s="28"/>
      <c r="BI646" s="304" t="str">
        <f t="shared" si="497"/>
        <v/>
      </c>
      <c r="BJ646" s="304" t="str">
        <f t="shared" si="497"/>
        <v/>
      </c>
      <c r="BK646" s="28"/>
      <c r="BL646" s="304" t="str">
        <f t="shared" si="498"/>
        <v/>
      </c>
      <c r="BM646" s="304" t="str">
        <f t="shared" si="498"/>
        <v/>
      </c>
      <c r="BN646" s="28"/>
      <c r="BO646" s="304" t="str">
        <f t="shared" si="499"/>
        <v/>
      </c>
      <c r="BP646" s="304" t="str">
        <f t="shared" si="499"/>
        <v/>
      </c>
      <c r="BQ646" s="28"/>
      <c r="BR646" s="304" t="str">
        <f t="shared" si="500"/>
        <v/>
      </c>
      <c r="BS646" s="304" t="str">
        <f t="shared" si="500"/>
        <v/>
      </c>
      <c r="BT646" s="28"/>
      <c r="BU646" s="304" t="str">
        <f t="shared" si="501"/>
        <v/>
      </c>
      <c r="BV646" s="304" t="str">
        <f t="shared" si="501"/>
        <v/>
      </c>
      <c r="BW646" s="28"/>
      <c r="BX646" s="91"/>
    </row>
    <row r="647" spans="1:76" s="55" customFormat="1" x14ac:dyDescent="0.25">
      <c r="A647" s="195">
        <v>19</v>
      </c>
      <c r="B647" s="216" t="str">
        <f t="shared" si="490"/>
        <v xml:space="preserve">: </v>
      </c>
      <c r="C647" s="221"/>
      <c r="D647" s="221"/>
      <c r="E647" s="221"/>
      <c r="F647" s="221"/>
      <c r="G647" s="240"/>
      <c r="H647" s="221"/>
      <c r="I647" s="240"/>
      <c r="J647" s="241"/>
      <c r="K647" s="241"/>
      <c r="L647" s="241"/>
      <c r="M647" s="225" t="str">
        <f>IFERROR(CONCATENATE(VLOOKUP('[1]Advanced Controls'!$H$144,'[1]Emissions Factors'!$Q$20:$U$38,5,FALSE),"/ ",FunctionalUnitOfMeasure),"Select Fuel on Adv. Controls")</f>
        <v>Select Fuel on Adv. Controls</v>
      </c>
      <c r="N647" s="227"/>
      <c r="O647" s="241"/>
      <c r="P647" s="122"/>
      <c r="Q647" s="228"/>
      <c r="R647" s="231" t="str">
        <f t="shared" si="502"/>
        <v/>
      </c>
      <c r="S647" s="230" t="str">
        <f t="shared" si="491"/>
        <v/>
      </c>
      <c r="T647" s="231" t="str">
        <f>IF(OR(Q647="Y",IFERROR(R647&gt;R649+R653*$AA$35,0),IFERROR(R647&lt;R649-R653*$AA$35,0)),"",IFERROR(R647*N647,""))</f>
        <v/>
      </c>
      <c r="U647" s="232" t="str">
        <f t="shared" si="492"/>
        <v>Select Fuel on Adv. Controls</v>
      </c>
      <c r="V647" s="28"/>
      <c r="W647" s="28"/>
      <c r="Y647" s="91"/>
      <c r="AO647" s="91"/>
      <c r="AP647" s="28"/>
      <c r="AQ647" s="28"/>
      <c r="AR647" s="237"/>
      <c r="AS647" s="28"/>
      <c r="AT647" s="304" t="str">
        <f t="shared" si="503"/>
        <v/>
      </c>
      <c r="AU647" s="304" t="str">
        <f t="shared" si="503"/>
        <v/>
      </c>
      <c r="AV647" s="28"/>
      <c r="AW647" s="304" t="str">
        <f t="shared" si="493"/>
        <v/>
      </c>
      <c r="AX647" s="304" t="str">
        <f t="shared" si="493"/>
        <v/>
      </c>
      <c r="AY647" s="28"/>
      <c r="AZ647" s="304" t="str">
        <f t="shared" si="494"/>
        <v/>
      </c>
      <c r="BA647" s="304" t="str">
        <f t="shared" si="494"/>
        <v/>
      </c>
      <c r="BB647" s="28"/>
      <c r="BC647" s="304" t="str">
        <f t="shared" si="495"/>
        <v/>
      </c>
      <c r="BD647" s="304" t="str">
        <f t="shared" si="495"/>
        <v/>
      </c>
      <c r="BE647" s="28"/>
      <c r="BF647" s="304" t="str">
        <f t="shared" si="496"/>
        <v/>
      </c>
      <c r="BG647" s="304" t="str">
        <f t="shared" si="496"/>
        <v/>
      </c>
      <c r="BH647" s="28"/>
      <c r="BI647" s="304" t="str">
        <f t="shared" si="497"/>
        <v/>
      </c>
      <c r="BJ647" s="304" t="str">
        <f t="shared" si="497"/>
        <v/>
      </c>
      <c r="BK647" s="28"/>
      <c r="BL647" s="304" t="str">
        <f t="shared" si="498"/>
        <v/>
      </c>
      <c r="BM647" s="304" t="str">
        <f t="shared" si="498"/>
        <v/>
      </c>
      <c r="BN647" s="28"/>
      <c r="BO647" s="304" t="str">
        <f t="shared" si="499"/>
        <v/>
      </c>
      <c r="BP647" s="304" t="str">
        <f t="shared" si="499"/>
        <v/>
      </c>
      <c r="BQ647" s="28"/>
      <c r="BR647" s="304" t="str">
        <f t="shared" si="500"/>
        <v/>
      </c>
      <c r="BS647" s="304" t="str">
        <f t="shared" si="500"/>
        <v/>
      </c>
      <c r="BT647" s="28"/>
      <c r="BU647" s="304" t="str">
        <f t="shared" si="501"/>
        <v/>
      </c>
      <c r="BV647" s="304" t="str">
        <f t="shared" si="501"/>
        <v/>
      </c>
      <c r="BW647" s="28"/>
      <c r="BX647" s="91"/>
    </row>
    <row r="648" spans="1:76" s="55" customFormat="1" x14ac:dyDescent="0.25">
      <c r="A648" s="195">
        <v>20</v>
      </c>
      <c r="B648" s="216" t="str">
        <f t="shared" si="490"/>
        <v xml:space="preserve">: </v>
      </c>
      <c r="C648" s="221"/>
      <c r="D648" s="221"/>
      <c r="E648" s="221"/>
      <c r="F648" s="221"/>
      <c r="G648" s="240"/>
      <c r="H648" s="221"/>
      <c r="I648" s="240"/>
      <c r="J648" s="241"/>
      <c r="K648" s="241"/>
      <c r="L648" s="241"/>
      <c r="M648" s="225" t="str">
        <f>IFERROR(CONCATENATE(VLOOKUP('[1]Advanced Controls'!$H$144,'[1]Emissions Factors'!$Q$20:$U$38,5,FALSE),"/ ",FunctionalUnitOfMeasure),"Select Fuel on Adv. Controls")</f>
        <v>Select Fuel on Adv. Controls</v>
      </c>
      <c r="N648" s="227"/>
      <c r="O648" s="241"/>
      <c r="P648" s="122"/>
      <c r="Q648" s="228"/>
      <c r="R648" s="231" t="str">
        <f t="shared" si="502"/>
        <v/>
      </c>
      <c r="S648" s="230" t="str">
        <f t="shared" si="491"/>
        <v/>
      </c>
      <c r="T648" s="231" t="str">
        <f>IF(OR(Q648="Y",IFERROR(R648&gt;R649+R653*$AA$35,0),IFERROR(R648&lt;R649-R653*$AA$35,0)),"",IFERROR(R648*N648,""))</f>
        <v/>
      </c>
      <c r="U648" s="232" t="str">
        <f t="shared" si="492"/>
        <v>Select Fuel on Adv. Controls</v>
      </c>
      <c r="V648" s="28"/>
      <c r="W648" s="28"/>
      <c r="Y648" s="91"/>
      <c r="AO648" s="91"/>
      <c r="AP648" s="28"/>
      <c r="AQ648" s="28"/>
      <c r="AR648" s="237"/>
      <c r="AS648" s="28"/>
      <c r="AT648" s="304" t="str">
        <f t="shared" si="503"/>
        <v/>
      </c>
      <c r="AU648" s="304" t="str">
        <f t="shared" si="503"/>
        <v/>
      </c>
      <c r="AV648" s="28"/>
      <c r="AW648" s="304" t="str">
        <f t="shared" si="493"/>
        <v/>
      </c>
      <c r="AX648" s="304" t="str">
        <f t="shared" si="493"/>
        <v/>
      </c>
      <c r="AY648" s="28"/>
      <c r="AZ648" s="304" t="str">
        <f t="shared" si="494"/>
        <v/>
      </c>
      <c r="BA648" s="304" t="str">
        <f t="shared" si="494"/>
        <v/>
      </c>
      <c r="BB648" s="28"/>
      <c r="BC648" s="304" t="str">
        <f t="shared" si="495"/>
        <v/>
      </c>
      <c r="BD648" s="304" t="str">
        <f t="shared" si="495"/>
        <v/>
      </c>
      <c r="BE648" s="28"/>
      <c r="BF648" s="304" t="str">
        <f t="shared" si="496"/>
        <v/>
      </c>
      <c r="BG648" s="304" t="str">
        <f t="shared" si="496"/>
        <v/>
      </c>
      <c r="BH648" s="28"/>
      <c r="BI648" s="304" t="str">
        <f t="shared" si="497"/>
        <v/>
      </c>
      <c r="BJ648" s="304" t="str">
        <f t="shared" si="497"/>
        <v/>
      </c>
      <c r="BK648" s="28"/>
      <c r="BL648" s="304" t="str">
        <f t="shared" si="498"/>
        <v/>
      </c>
      <c r="BM648" s="304" t="str">
        <f t="shared" si="498"/>
        <v/>
      </c>
      <c r="BN648" s="28"/>
      <c r="BO648" s="304" t="str">
        <f t="shared" si="499"/>
        <v/>
      </c>
      <c r="BP648" s="304" t="str">
        <f t="shared" si="499"/>
        <v/>
      </c>
      <c r="BQ648" s="28"/>
      <c r="BR648" s="304" t="str">
        <f t="shared" si="500"/>
        <v/>
      </c>
      <c r="BS648" s="304" t="str">
        <f t="shared" si="500"/>
        <v/>
      </c>
      <c r="BT648" s="28"/>
      <c r="BU648" s="304" t="str">
        <f t="shared" si="501"/>
        <v/>
      </c>
      <c r="BV648" s="304" t="str">
        <f t="shared" si="501"/>
        <v/>
      </c>
      <c r="BW648" s="28"/>
      <c r="BX648" s="91"/>
    </row>
    <row r="649" spans="1:76" s="55" customFormat="1" x14ac:dyDescent="0.25">
      <c r="A649" s="195"/>
      <c r="B649" s="244" t="s">
        <v>163</v>
      </c>
      <c r="C649" s="199"/>
      <c r="D649" s="199"/>
      <c r="E649" s="199"/>
      <c r="F649" s="199"/>
      <c r="G649" s="122"/>
      <c r="H649" s="28"/>
      <c r="I649" s="245"/>
      <c r="J649" s="122"/>
      <c r="K649" s="122"/>
      <c r="L649" s="122" t="s">
        <v>134</v>
      </c>
      <c r="M649" s="122"/>
      <c r="N649" s="122"/>
      <c r="O649" s="122"/>
      <c r="P649" s="122"/>
      <c r="Q649" s="305" t="s">
        <v>136</v>
      </c>
      <c r="R649" s="246" t="e">
        <f>AVERAGE(R629:R648)</f>
        <v>#DIV/0!</v>
      </c>
      <c r="S649" s="247" t="e">
        <f>IF(R657="Y",SUM(S629:S648)/SUMPRODUCT(N629:N648,--ISNUMBER(S629:S648)),AVERAGE(S629:S648))</f>
        <v>#DIV/0!</v>
      </c>
      <c r="T649" s="248" t="e">
        <f>SUM(T629:T648)/SUMPRODUCT(N629:N648,--ISNUMBER(T629:T648))</f>
        <v>#DIV/0!</v>
      </c>
      <c r="U649" s="28"/>
      <c r="V649" s="28"/>
      <c r="W649" s="28"/>
      <c r="Y649" s="249"/>
      <c r="AO649" s="91"/>
      <c r="AP649" s="28"/>
      <c r="AQ649" s="28"/>
      <c r="AR649" s="28"/>
      <c r="AS649" s="245" t="s">
        <v>136</v>
      </c>
      <c r="AT649" s="307" t="e">
        <f>AVERAGE(AT629:AT648)</f>
        <v>#DIV/0!</v>
      </c>
      <c r="AU649" s="307" t="e">
        <f>SUM(AU629:AU648)/COUNTIF(AU629:AU648,"&gt;0")</f>
        <v>#DIV/0!</v>
      </c>
      <c r="AV649" s="245"/>
      <c r="AW649" s="307" t="e">
        <f>AVERAGE(AW629:AW648)</f>
        <v>#DIV/0!</v>
      </c>
      <c r="AX649" s="307" t="e">
        <f>SUM(AX629:AX648)/COUNTIF(AX629:AX648,"&gt;0")</f>
        <v>#DIV/0!</v>
      </c>
      <c r="AY649" s="28"/>
      <c r="AZ649" s="307" t="e">
        <f>AVERAGE(AZ629:AZ648)</f>
        <v>#DIV/0!</v>
      </c>
      <c r="BA649" s="307" t="e">
        <f>SUM(BA629:BA648)/COUNTIF(BA629:BA648,"&gt;0")</f>
        <v>#DIV/0!</v>
      </c>
      <c r="BB649" s="28"/>
      <c r="BC649" s="307" t="e">
        <f>AVERAGE(BC629:BC648)</f>
        <v>#DIV/0!</v>
      </c>
      <c r="BD649" s="307" t="e">
        <f>SUM(BD629:BD648)/COUNTIF(BD629:BD648,"&gt;0")</f>
        <v>#DIV/0!</v>
      </c>
      <c r="BE649" s="28"/>
      <c r="BF649" s="307" t="e">
        <f>AVERAGE(BF629:BF648)</f>
        <v>#DIV/0!</v>
      </c>
      <c r="BG649" s="307" t="e">
        <f>SUM(BG629:BG648)/COUNTIF(BG629:BG648,"&gt;0")</f>
        <v>#DIV/0!</v>
      </c>
      <c r="BH649" s="28"/>
      <c r="BI649" s="307" t="e">
        <f>AVERAGE(BI629:BI648)</f>
        <v>#DIV/0!</v>
      </c>
      <c r="BJ649" s="307" t="e">
        <f>SUM(BJ629:BJ648)/COUNTIF(BJ629:BJ648,"&gt;0")</f>
        <v>#DIV/0!</v>
      </c>
      <c r="BK649" s="245"/>
      <c r="BL649" s="307" t="e">
        <f>AVERAGE(BL629:BL648)</f>
        <v>#DIV/0!</v>
      </c>
      <c r="BM649" s="307" t="e">
        <f>SUM(BM629:BM648)/COUNTIF(BM629:BM648,"&gt;0")</f>
        <v>#DIV/0!</v>
      </c>
      <c r="BN649" s="28"/>
      <c r="BO649" s="307" t="e">
        <f>AVERAGE(BO629:BO648)</f>
        <v>#DIV/0!</v>
      </c>
      <c r="BP649" s="307" t="e">
        <f>SUM(BP629:BP648)/COUNTIF(BP629:BP648,"&gt;0")</f>
        <v>#DIV/0!</v>
      </c>
      <c r="BQ649" s="28"/>
      <c r="BR649" s="307" t="e">
        <f>AVERAGE(BR629:BR648)</f>
        <v>#DIV/0!</v>
      </c>
      <c r="BS649" s="307" t="e">
        <f>SUM(BS629:BS648)/COUNTIF(BS629:BS648,"&gt;0")</f>
        <v>#DIV/0!</v>
      </c>
      <c r="BT649" s="28"/>
      <c r="BU649" s="307" t="e">
        <f>AVERAGE(BU629:BU648)</f>
        <v>#DIV/0!</v>
      </c>
      <c r="BV649" s="307" t="e">
        <f>SUM(BV629:BV648)/COUNTIF(BV629:BV648,"&gt;0")</f>
        <v>#DIV/0!</v>
      </c>
      <c r="BW649" s="28"/>
      <c r="BX649" s="91"/>
    </row>
    <row r="650" spans="1:76" s="55" customFormat="1" x14ac:dyDescent="0.25">
      <c r="A650" s="195"/>
      <c r="B650" s="244" t="s">
        <v>164</v>
      </c>
      <c r="C650" s="199" t="s">
        <v>139</v>
      </c>
      <c r="D650" s="252"/>
      <c r="E650" s="253"/>
      <c r="F650" s="253"/>
      <c r="G650" s="253"/>
      <c r="H650" s="253"/>
      <c r="I650" s="253"/>
      <c r="J650" s="254"/>
      <c r="K650" s="122"/>
      <c r="L650" s="122"/>
      <c r="M650" s="122"/>
      <c r="N650" s="122"/>
      <c r="O650" s="122"/>
      <c r="P650" s="122"/>
      <c r="Q650" s="306" t="s">
        <v>144</v>
      </c>
      <c r="R650" s="257" t="e">
        <f>R649+U650*R653</f>
        <v>#DIV/0!</v>
      </c>
      <c r="S650" s="257" t="e">
        <f>S649+U650*S653</f>
        <v>#DIV/0!</v>
      </c>
      <c r="T650" s="257" t="e">
        <f>T649+U650*T653</f>
        <v>#DIV/0!</v>
      </c>
      <c r="U650" s="258">
        <v>1</v>
      </c>
      <c r="V650" s="122" t="s">
        <v>142</v>
      </c>
      <c r="W650" s="28"/>
      <c r="X650" s="259" t="s">
        <v>143</v>
      </c>
      <c r="Y650" s="260"/>
      <c r="AO650" s="91"/>
      <c r="AP650" s="28"/>
      <c r="AQ650" s="28"/>
      <c r="AR650" s="28"/>
      <c r="AS650" s="256" t="s">
        <v>144</v>
      </c>
      <c r="AT650" s="261" t="e">
        <f>AT649+(AT655*AT652)</f>
        <v>#DIV/0!</v>
      </c>
      <c r="AU650" s="261" t="e">
        <f>AU649+(AU655*AT652)</f>
        <v>#DIV/0!</v>
      </c>
      <c r="AV650" s="256"/>
      <c r="AW650" s="261" t="e">
        <f>AW649+(AW655*AW652)</f>
        <v>#DIV/0!</v>
      </c>
      <c r="AX650" s="261" t="e">
        <f>AX649+(AX655*AW652)</f>
        <v>#DIV/0!</v>
      </c>
      <c r="AY650" s="28"/>
      <c r="AZ650" s="261" t="e">
        <f>AZ649+(AZ655*AZ652)</f>
        <v>#DIV/0!</v>
      </c>
      <c r="BA650" s="261" t="e">
        <f>BA649+(BA655*AZ652)</f>
        <v>#DIV/0!</v>
      </c>
      <c r="BB650" s="28"/>
      <c r="BC650" s="261" t="e">
        <f>BC649+(BC655*BC652)</f>
        <v>#DIV/0!</v>
      </c>
      <c r="BD650" s="261" t="e">
        <f>BD649+(BD655*BC652)</f>
        <v>#DIV/0!</v>
      </c>
      <c r="BE650" s="28"/>
      <c r="BF650" s="261" t="e">
        <f>BF649+(BF655*BF652)</f>
        <v>#DIV/0!</v>
      </c>
      <c r="BG650" s="261" t="e">
        <f>BG649+(BG655*BF652)</f>
        <v>#DIV/0!</v>
      </c>
      <c r="BH650" s="28"/>
      <c r="BI650" s="261" t="e">
        <f>BI649+(BI655*BI652)</f>
        <v>#DIV/0!</v>
      </c>
      <c r="BJ650" s="261" t="e">
        <f>BJ649+(BJ655*BI652)</f>
        <v>#DIV/0!</v>
      </c>
      <c r="BK650" s="256"/>
      <c r="BL650" s="261" t="e">
        <f>BL649+(BL655*BL652)</f>
        <v>#DIV/0!</v>
      </c>
      <c r="BM650" s="261" t="e">
        <f>BM649+(BM655*BL652)</f>
        <v>#DIV/0!</v>
      </c>
      <c r="BN650" s="28"/>
      <c r="BO650" s="261" t="e">
        <f>BO649+(BO655*BO652)</f>
        <v>#DIV/0!</v>
      </c>
      <c r="BP650" s="261" t="e">
        <f>BP649+(BP655*BO652)</f>
        <v>#DIV/0!</v>
      </c>
      <c r="BQ650" s="28"/>
      <c r="BR650" s="261" t="e">
        <f>BR649+(BR655*BR652)</f>
        <v>#DIV/0!</v>
      </c>
      <c r="BS650" s="261" t="e">
        <f>BS649+(BS655*BR652)</f>
        <v>#DIV/0!</v>
      </c>
      <c r="BT650" s="28"/>
      <c r="BU650" s="261" t="e">
        <f>BU649+(BU655*BU652)</f>
        <v>#DIV/0!</v>
      </c>
      <c r="BV650" s="261" t="e">
        <f>BV649+(BV655*BU652)</f>
        <v>#DIV/0!</v>
      </c>
      <c r="BW650" s="28"/>
      <c r="BX650" s="91"/>
    </row>
    <row r="651" spans="1:76" s="55" customFormat="1" x14ac:dyDescent="0.25">
      <c r="A651" s="195"/>
      <c r="B651" s="244" t="s">
        <v>165</v>
      </c>
      <c r="C651" s="195"/>
      <c r="D651" s="263"/>
      <c r="E651" s="264"/>
      <c r="F651" s="264"/>
      <c r="G651" s="264"/>
      <c r="H651" s="264"/>
      <c r="I651" s="264"/>
      <c r="J651" s="265"/>
      <c r="K651" s="28"/>
      <c r="L651" s="28"/>
      <c r="M651" s="122"/>
      <c r="N651" s="122"/>
      <c r="O651" s="122"/>
      <c r="P651" s="122"/>
      <c r="Q651" s="306" t="s">
        <v>150</v>
      </c>
      <c r="R651" s="257" t="e">
        <f>IF($X651="Y",MIN(R629:R648),R649-$U651*R653)</f>
        <v>#DIV/0!</v>
      </c>
      <c r="S651" s="257" t="e">
        <f t="shared" ref="S651:T651" si="504">IF($X651="Y",MIN(S629:S648),S649-$U651*S653)</f>
        <v>#DIV/0!</v>
      </c>
      <c r="T651" s="257" t="e">
        <f t="shared" si="504"/>
        <v>#DIV/0!</v>
      </c>
      <c r="U651" s="258">
        <v>1</v>
      </c>
      <c r="V651" s="122" t="s">
        <v>148</v>
      </c>
      <c r="W651" s="28"/>
      <c r="X651" s="266" t="s">
        <v>149</v>
      </c>
      <c r="Y651" s="260"/>
      <c r="AO651" s="91"/>
      <c r="AP651" s="28"/>
      <c r="AQ651" s="28"/>
      <c r="AR651" s="28"/>
      <c r="AS651" s="256" t="s">
        <v>150</v>
      </c>
      <c r="AT651" s="261" t="e">
        <f>AT649-(AT655*AT653)</f>
        <v>#DIV/0!</v>
      </c>
      <c r="AU651" s="261" t="e">
        <f>AU649-(AU655*AT653)</f>
        <v>#DIV/0!</v>
      </c>
      <c r="AV651" s="256"/>
      <c r="AW651" s="261" t="e">
        <f>AW649-(AW655*AW653)</f>
        <v>#DIV/0!</v>
      </c>
      <c r="AX651" s="261" t="e">
        <f>AX649-(AX655*AW653)</f>
        <v>#DIV/0!</v>
      </c>
      <c r="AY651" s="28"/>
      <c r="AZ651" s="261" t="e">
        <f>AZ649-(AZ655*AZ653)</f>
        <v>#DIV/0!</v>
      </c>
      <c r="BA651" s="261" t="e">
        <f>BA649-(BA655*AZ653)</f>
        <v>#DIV/0!</v>
      </c>
      <c r="BB651" s="28"/>
      <c r="BC651" s="261" t="e">
        <f>BC649-(BC655*BC653)</f>
        <v>#DIV/0!</v>
      </c>
      <c r="BD651" s="261" t="e">
        <f>BD649-(BD655*BC653)</f>
        <v>#DIV/0!</v>
      </c>
      <c r="BE651" s="28"/>
      <c r="BF651" s="261" t="e">
        <f>BF649-(BF655*BF653)</f>
        <v>#DIV/0!</v>
      </c>
      <c r="BG651" s="261" t="e">
        <f>BG649-(BG655*BF653)</f>
        <v>#DIV/0!</v>
      </c>
      <c r="BH651" s="28"/>
      <c r="BI651" s="261" t="e">
        <f>BI649-(BI655*BI653)</f>
        <v>#DIV/0!</v>
      </c>
      <c r="BJ651" s="261" t="e">
        <f>BJ649-(BJ655*BI653)</f>
        <v>#DIV/0!</v>
      </c>
      <c r="BK651" s="256"/>
      <c r="BL651" s="261" t="e">
        <f>BL649-(BL655*BL653)</f>
        <v>#DIV/0!</v>
      </c>
      <c r="BM651" s="261" t="e">
        <f>BM649-(BM655*BL653)</f>
        <v>#DIV/0!</v>
      </c>
      <c r="BN651" s="28"/>
      <c r="BO651" s="261" t="e">
        <f>BO649-(BO655*BO653)</f>
        <v>#DIV/0!</v>
      </c>
      <c r="BP651" s="261" t="e">
        <f>BP649-(BP655*BO653)</f>
        <v>#DIV/0!</v>
      </c>
      <c r="BQ651" s="28"/>
      <c r="BR651" s="261" t="e">
        <f>BR649-(BR655*BR653)</f>
        <v>#DIV/0!</v>
      </c>
      <c r="BS651" s="261" t="e">
        <f>BS649-(BS655*BR653)</f>
        <v>#DIV/0!</v>
      </c>
      <c r="BT651" s="28"/>
      <c r="BU651" s="261" t="e">
        <f>BU649-(BU655*BU653)</f>
        <v>#DIV/0!</v>
      </c>
      <c r="BV651" s="261" t="e">
        <f>BV649-(BV655*BU653)</f>
        <v>#DIV/0!</v>
      </c>
      <c r="BW651" s="28"/>
      <c r="BX651" s="91"/>
    </row>
    <row r="652" spans="1:76" s="55" customFormat="1" ht="14.25" x14ac:dyDescent="0.2">
      <c r="A652" s="270" t="e">
        <f ca="1">HYPERLINK("#"&amp;"'"&amp;A$1&amp;"'!a1","Back to top")</f>
        <v>#VALUE!</v>
      </c>
      <c r="B652" s="271"/>
      <c r="C652" s="195"/>
      <c r="D652" s="263"/>
      <c r="E652" s="264"/>
      <c r="F652" s="264"/>
      <c r="G652" s="264"/>
      <c r="H652" s="264"/>
      <c r="I652" s="264"/>
      <c r="J652" s="265"/>
      <c r="K652" s="122"/>
      <c r="L652" s="122"/>
      <c r="M652" s="122"/>
      <c r="N652" s="122"/>
      <c r="O652" s="122"/>
      <c r="P652" s="122"/>
      <c r="Q652" s="306" t="s">
        <v>151</v>
      </c>
      <c r="R652" s="257" t="e">
        <f>IF((0.67*R653)&gt;R649,"no","yes")</f>
        <v>#DIV/0!</v>
      </c>
      <c r="S652" s="257" t="e">
        <f>IF((0.67*S653)&gt;S649,"no","yes")</f>
        <v>#DIV/0!</v>
      </c>
      <c r="T652" s="257" t="e">
        <f>IF((0.67*T653)&gt;T649,"no","yes")</f>
        <v>#DIV/0!</v>
      </c>
      <c r="U652" s="122"/>
      <c r="V652" s="122"/>
      <c r="W652" s="122"/>
      <c r="Y652" s="260"/>
      <c r="AO652" s="91"/>
      <c r="AP652" s="122"/>
      <c r="AQ652" s="122"/>
      <c r="AR652" s="267" t="s">
        <v>152</v>
      </c>
      <c r="AS652" s="268"/>
      <c r="AT652" s="258">
        <v>1</v>
      </c>
      <c r="AU652" s="122"/>
      <c r="AV652" s="308"/>
      <c r="AW652" s="258">
        <v>1</v>
      </c>
      <c r="AX652" s="122"/>
      <c r="AY652" s="122"/>
      <c r="AZ652" s="258">
        <v>1</v>
      </c>
      <c r="BA652" s="122"/>
      <c r="BB652" s="122"/>
      <c r="BC652" s="258">
        <v>1</v>
      </c>
      <c r="BD652" s="122"/>
      <c r="BE652" s="122"/>
      <c r="BF652" s="258">
        <v>1</v>
      </c>
      <c r="BG652" s="122"/>
      <c r="BH652" s="122"/>
      <c r="BI652" s="258">
        <v>1</v>
      </c>
      <c r="BJ652" s="122"/>
      <c r="BK652" s="256"/>
      <c r="BL652" s="258">
        <v>1</v>
      </c>
      <c r="BM652" s="122"/>
      <c r="BN652" s="122"/>
      <c r="BO652" s="258">
        <v>1</v>
      </c>
      <c r="BP652" s="122"/>
      <c r="BQ652" s="122"/>
      <c r="BR652" s="258">
        <v>1</v>
      </c>
      <c r="BS652" s="122"/>
      <c r="BT652" s="122"/>
      <c r="BU652" s="258">
        <v>1</v>
      </c>
      <c r="BV652" s="122"/>
      <c r="BW652" s="122"/>
      <c r="BX652" s="91"/>
    </row>
    <row r="653" spans="1:76" s="55" customFormat="1" ht="28.5" x14ac:dyDescent="0.2">
      <c r="A653" s="195"/>
      <c r="B653" s="196"/>
      <c r="C653" s="195"/>
      <c r="D653" s="263"/>
      <c r="E653" s="264"/>
      <c r="F653" s="264"/>
      <c r="G653" s="264"/>
      <c r="H653" s="264"/>
      <c r="I653" s="264"/>
      <c r="J653" s="265"/>
      <c r="K653" s="122"/>
      <c r="L653" s="122"/>
      <c r="M653" s="122"/>
      <c r="N653" s="122"/>
      <c r="O653" s="122"/>
      <c r="P653" s="122"/>
      <c r="Q653" s="306" t="s">
        <v>157</v>
      </c>
      <c r="R653" s="257">
        <f>IF(COUNT(R629:R648)&gt;1,_xlfn.STDEV.S(R629:R648),0)</f>
        <v>0</v>
      </c>
      <c r="S653" s="257" t="e">
        <f t="array" ref="S653">IF(R657="Y",SQRT(SUM(IFERROR(N629:N648*(R629:R648-(S649))^2,0))/((COUNT(S629:S648)-1)/COUNT(S629:S648)*SUMPRODUCT(N629:N648,--ISNUMBER(S629:S648)))),_xlfn.STDEV.S(S629:S648))</f>
        <v>#DIV/0!</v>
      </c>
      <c r="T653" s="257" t="e">
        <f t="array" ref="T653">SQRT(SUM(IFERROR(N629:N648*(R629:R648-(T649))^2,0))/((COUNT(T629:T648)-1)/COUNT(T629:T648)*SUMPRODUCT(N629:N648,--ISNUMBER(T629:T648))))</f>
        <v>#DIV/0!</v>
      </c>
      <c r="U653" s="122"/>
      <c r="V653" s="122"/>
      <c r="W653" s="122"/>
      <c r="Y653" s="260"/>
      <c r="AO653" s="91"/>
      <c r="AP653" s="122"/>
      <c r="AQ653" s="122"/>
      <c r="AR653" s="267"/>
      <c r="AS653" s="268"/>
      <c r="AT653" s="258">
        <v>1</v>
      </c>
      <c r="AU653" s="122"/>
      <c r="AV653" s="308"/>
      <c r="AW653" s="258">
        <v>1</v>
      </c>
      <c r="AX653" s="122"/>
      <c r="AY653" s="122"/>
      <c r="AZ653" s="258">
        <v>1</v>
      </c>
      <c r="BA653" s="122"/>
      <c r="BB653" s="122"/>
      <c r="BC653" s="258">
        <v>1</v>
      </c>
      <c r="BD653" s="122"/>
      <c r="BE653" s="122"/>
      <c r="BF653" s="258">
        <v>1</v>
      </c>
      <c r="BG653" s="122"/>
      <c r="BH653" s="122"/>
      <c r="BI653" s="258">
        <v>1</v>
      </c>
      <c r="BJ653" s="122"/>
      <c r="BK653" s="256"/>
      <c r="BL653" s="258">
        <v>1</v>
      </c>
      <c r="BM653" s="122"/>
      <c r="BN653" s="122"/>
      <c r="BO653" s="258">
        <v>1</v>
      </c>
      <c r="BP653" s="122"/>
      <c r="BQ653" s="122"/>
      <c r="BR653" s="258">
        <v>1</v>
      </c>
      <c r="BS653" s="122"/>
      <c r="BT653" s="122"/>
      <c r="BU653" s="258">
        <v>1</v>
      </c>
      <c r="BV653" s="122"/>
      <c r="BW653" s="122"/>
      <c r="BX653" s="91"/>
    </row>
    <row r="654" spans="1:76" s="55" customFormat="1" ht="15" customHeight="1" x14ac:dyDescent="0.25">
      <c r="A654" s="122"/>
      <c r="B654" s="118"/>
      <c r="C654" s="195"/>
      <c r="D654" s="263"/>
      <c r="E654" s="264"/>
      <c r="F654" s="264"/>
      <c r="G654" s="264"/>
      <c r="H654" s="264"/>
      <c r="I654" s="264"/>
      <c r="J654" s="265"/>
      <c r="K654" s="122"/>
      <c r="L654" s="122"/>
      <c r="M654" s="122"/>
      <c r="N654" s="122"/>
      <c r="O654" s="122"/>
      <c r="P654" s="122"/>
      <c r="Q654" s="309" t="s">
        <v>159</v>
      </c>
      <c r="R654" s="310">
        <f>COUNT(R629:R648)</f>
        <v>0</v>
      </c>
      <c r="S654" s="310">
        <f>COUNT(S629:S648)</f>
        <v>0</v>
      </c>
      <c r="T654" s="118"/>
      <c r="U654" s="273" t="s">
        <v>155</v>
      </c>
      <c r="V654" s="122"/>
      <c r="W654" s="122"/>
      <c r="Y654" s="91"/>
      <c r="AO654" s="91"/>
      <c r="AP654" s="122"/>
      <c r="AQ654" s="122"/>
      <c r="AR654" s="122"/>
      <c r="AS654" s="256" t="s">
        <v>151</v>
      </c>
      <c r="AT654" s="261" t="e">
        <f>IF((0.67*AT655)&gt;AT649,"no","yes")</f>
        <v>#DIV/0!</v>
      </c>
      <c r="AU654" s="261" t="e">
        <f>IF((0.67*AU655)&gt;AU649,"no","yes")</f>
        <v>#DIV/0!</v>
      </c>
      <c r="AV654" s="256"/>
      <c r="AW654" s="261" t="e">
        <f>IF((0.67*AW655)&gt;AW649,"no","yes")</f>
        <v>#DIV/0!</v>
      </c>
      <c r="AX654" s="261" t="e">
        <f>IF((0.67*AX655)&gt;AX649,"no","yes")</f>
        <v>#DIV/0!</v>
      </c>
      <c r="AY654" s="122"/>
      <c r="AZ654" s="261" t="e">
        <f>IF((0.67*AZ655)&gt;AZ649,"no","yes")</f>
        <v>#DIV/0!</v>
      </c>
      <c r="BA654" s="261" t="e">
        <f>IF((0.67*BA655)&gt;BA649,"no","yes")</f>
        <v>#DIV/0!</v>
      </c>
      <c r="BB654" s="122"/>
      <c r="BC654" s="261" t="e">
        <f>IF((0.67*BC655)&gt;BC649,"no","yes")</f>
        <v>#DIV/0!</v>
      </c>
      <c r="BD654" s="261" t="e">
        <f>IF((0.67*BD655)&gt;BD649,"no","yes")</f>
        <v>#DIV/0!</v>
      </c>
      <c r="BE654" s="122"/>
      <c r="BF654" s="261" t="e">
        <f>IF((0.67*BF655)&gt;BF649,"no","yes")</f>
        <v>#DIV/0!</v>
      </c>
      <c r="BG654" s="261" t="e">
        <f>IF((0.67*BG655)&gt;BG649,"no","yes")</f>
        <v>#DIV/0!</v>
      </c>
      <c r="BH654" s="122"/>
      <c r="BI654" s="261" t="e">
        <f>IF((0.67*BI655)&gt;BI649,"no","yes")</f>
        <v>#DIV/0!</v>
      </c>
      <c r="BJ654" s="261" t="e">
        <f>IF((0.67*BJ655)&gt;BJ649,"no","yes")</f>
        <v>#DIV/0!</v>
      </c>
      <c r="BK654" s="133"/>
      <c r="BL654" s="261" t="e">
        <f>IF((0.67*BL655)&gt;BL649,"no","yes")</f>
        <v>#DIV/0!</v>
      </c>
      <c r="BM654" s="261" t="e">
        <f>IF((0.67*BM655)&gt;BM649,"no","yes")</f>
        <v>#DIV/0!</v>
      </c>
      <c r="BN654" s="122"/>
      <c r="BO654" s="261" t="e">
        <f>IF((0.67*BO655)&gt;BO649,"no","yes")</f>
        <v>#DIV/0!</v>
      </c>
      <c r="BP654" s="261" t="e">
        <f>IF((0.67*BP655)&gt;BP649,"no","yes")</f>
        <v>#DIV/0!</v>
      </c>
      <c r="BQ654" s="122"/>
      <c r="BR654" s="261" t="e">
        <f>IF((0.67*BR655)&gt;BR649,"no","yes")</f>
        <v>#DIV/0!</v>
      </c>
      <c r="BS654" s="261" t="e">
        <f>IF((0.67*BS655)&gt;BS649,"no","yes")</f>
        <v>#DIV/0!</v>
      </c>
      <c r="BT654" s="122"/>
      <c r="BU654" s="261" t="e">
        <f>IF((0.67*BU655)&gt;BU649,"no","yes")</f>
        <v>#DIV/0!</v>
      </c>
      <c r="BV654" s="261" t="e">
        <f>IF((0.67*BV655)&gt;BV649,"no","yes")</f>
        <v>#DIV/0!</v>
      </c>
      <c r="BW654" s="122"/>
      <c r="BX654" s="91"/>
    </row>
    <row r="655" spans="1:76" s="55" customFormat="1" ht="14.25" x14ac:dyDescent="0.2">
      <c r="B655" s="23"/>
      <c r="C655" s="195"/>
      <c r="D655" s="263"/>
      <c r="E655" s="264"/>
      <c r="F655" s="264"/>
      <c r="G655" s="264"/>
      <c r="H655" s="264"/>
      <c r="I655" s="264"/>
      <c r="J655" s="265"/>
      <c r="K655" s="122"/>
      <c r="L655" s="122"/>
      <c r="M655" s="122"/>
      <c r="N655" s="122"/>
      <c r="O655" s="122"/>
      <c r="P655" s="122"/>
      <c r="Q655" s="311"/>
      <c r="R655" s="118"/>
      <c r="S655" s="118"/>
      <c r="T655" s="118"/>
      <c r="U655" s="274"/>
      <c r="V655" s="275"/>
      <c r="W655" s="276"/>
      <c r="Y655" s="91"/>
      <c r="AO655" s="91"/>
      <c r="AP655" s="122"/>
      <c r="AQ655" s="122"/>
      <c r="AR655" s="122"/>
      <c r="AS655" s="256" t="s">
        <v>157</v>
      </c>
      <c r="AT655" s="261">
        <f>IF(AT656&gt;1,_xlfn.STDEV.S(AT629:AT648),0)</f>
        <v>0</v>
      </c>
      <c r="AU655" s="261">
        <f>IF(AU656&gt;1,_xlfn.STDEV.S(AU629:AU648),0)</f>
        <v>0</v>
      </c>
      <c r="AV655" s="122"/>
      <c r="AW655" s="261">
        <f t="shared" ref="AW655:AX655" si="505">IF(AW656&gt;1,_xlfn.STDEV.S(AW629:AW648),0)</f>
        <v>0</v>
      </c>
      <c r="AX655" s="261">
        <f t="shared" si="505"/>
        <v>0</v>
      </c>
      <c r="AY655" s="122"/>
      <c r="AZ655" s="261">
        <f t="shared" ref="AZ655:BA655" si="506">IF(AZ656&gt;1,_xlfn.STDEV.S(AZ629:AZ648),0)</f>
        <v>0</v>
      </c>
      <c r="BA655" s="261">
        <f t="shared" si="506"/>
        <v>0</v>
      </c>
      <c r="BB655" s="122"/>
      <c r="BC655" s="261">
        <f t="shared" ref="BC655:BD655" si="507">IF(BC656&gt;1,_xlfn.STDEV.S(BC629:BC648),0)</f>
        <v>0</v>
      </c>
      <c r="BD655" s="261">
        <f t="shared" si="507"/>
        <v>0</v>
      </c>
      <c r="BE655" s="122"/>
      <c r="BF655" s="261">
        <f t="shared" ref="BF655:BG655" si="508">IF(BF656&gt;1,_xlfn.STDEV.S(BF629:BF648),0)</f>
        <v>0</v>
      </c>
      <c r="BG655" s="261">
        <f t="shared" si="508"/>
        <v>0</v>
      </c>
      <c r="BH655" s="122"/>
      <c r="BI655" s="261">
        <f t="shared" ref="BI655:BJ655" si="509">IF(BI656&gt;1,_xlfn.STDEV.S(BI629:BI648),0)</f>
        <v>0</v>
      </c>
      <c r="BJ655" s="261">
        <f t="shared" si="509"/>
        <v>0</v>
      </c>
      <c r="BK655" s="122"/>
      <c r="BL655" s="261">
        <f t="shared" ref="BL655:BM655" si="510">IF(BL656&gt;1,_xlfn.STDEV.S(BL629:BL648),0)</f>
        <v>0</v>
      </c>
      <c r="BM655" s="261">
        <f t="shared" si="510"/>
        <v>0</v>
      </c>
      <c r="BN655" s="122"/>
      <c r="BO655" s="261">
        <f t="shared" ref="BO655:BP655" si="511">IF(BO656&gt;1,_xlfn.STDEV.S(BO629:BO648),0)</f>
        <v>0</v>
      </c>
      <c r="BP655" s="261">
        <f t="shared" si="511"/>
        <v>0</v>
      </c>
      <c r="BQ655" s="122"/>
      <c r="BR655" s="261">
        <f t="shared" ref="BR655:BS655" si="512">IF(BR656&gt;1,_xlfn.STDEV.S(BR629:BR648),0)</f>
        <v>0</v>
      </c>
      <c r="BS655" s="261">
        <f t="shared" si="512"/>
        <v>0</v>
      </c>
      <c r="BT655" s="122"/>
      <c r="BU655" s="261">
        <f t="shared" ref="BU655:BV655" si="513">IF(BU656&gt;1,_xlfn.STDEV.S(BU629:BU648),0)</f>
        <v>0</v>
      </c>
      <c r="BV655" s="261">
        <f t="shared" si="513"/>
        <v>0</v>
      </c>
      <c r="BW655" s="122"/>
      <c r="BX655" s="91"/>
    </row>
    <row r="656" spans="1:76" s="55" customFormat="1" x14ac:dyDescent="0.2">
      <c r="B656" s="23"/>
      <c r="C656" s="122"/>
      <c r="D656" s="277"/>
      <c r="E656" s="278"/>
      <c r="F656" s="278"/>
      <c r="G656" s="278"/>
      <c r="H656" s="278"/>
      <c r="I656" s="278"/>
      <c r="J656" s="279"/>
      <c r="Q656" s="81"/>
      <c r="R656" s="280" t="s">
        <v>158</v>
      </c>
      <c r="T656" s="122"/>
      <c r="U656" s="281"/>
      <c r="V656" s="282"/>
      <c r="W656" s="283"/>
      <c r="Y656" s="91"/>
      <c r="AO656" s="91"/>
      <c r="AP656" s="122"/>
      <c r="AQ656" s="122"/>
      <c r="AR656" s="122"/>
      <c r="AS656" s="133" t="s">
        <v>159</v>
      </c>
      <c r="AT656" s="284">
        <f>COUNT(AT629:AT648)</f>
        <v>0</v>
      </c>
      <c r="AU656" s="284">
        <f>COUNT(AU629:AU648)</f>
        <v>0</v>
      </c>
      <c r="AV656" s="122"/>
      <c r="AW656" s="284">
        <f t="shared" ref="AW656:AX656" si="514">COUNT(AW629:AW648)</f>
        <v>0</v>
      </c>
      <c r="AX656" s="284">
        <f t="shared" si="514"/>
        <v>0</v>
      </c>
      <c r="AY656" s="122"/>
      <c r="AZ656" s="284">
        <f t="shared" ref="AZ656:BA656" si="515">COUNT(AZ629:AZ648)</f>
        <v>0</v>
      </c>
      <c r="BA656" s="284">
        <f t="shared" si="515"/>
        <v>0</v>
      </c>
      <c r="BB656" s="122"/>
      <c r="BC656" s="284">
        <f t="shared" ref="BC656:BD656" si="516">COUNT(BC629:BC648)</f>
        <v>0</v>
      </c>
      <c r="BD656" s="284">
        <f t="shared" si="516"/>
        <v>0</v>
      </c>
      <c r="BE656" s="122"/>
      <c r="BF656" s="284">
        <f t="shared" ref="BF656:BG656" si="517">COUNT(BF629:BF648)</f>
        <v>0</v>
      </c>
      <c r="BG656" s="284">
        <f t="shared" si="517"/>
        <v>0</v>
      </c>
      <c r="BH656" s="122"/>
      <c r="BI656" s="284">
        <f t="shared" ref="BI656:BJ656" si="518">COUNT(BI629:BI648)</f>
        <v>0</v>
      </c>
      <c r="BJ656" s="284">
        <f t="shared" si="518"/>
        <v>0</v>
      </c>
      <c r="BK656" s="122"/>
      <c r="BL656" s="284">
        <f t="shared" ref="BL656:BM656" si="519">COUNT(BL629:BL648)</f>
        <v>0</v>
      </c>
      <c r="BM656" s="284">
        <f t="shared" si="519"/>
        <v>0</v>
      </c>
      <c r="BN656" s="122"/>
      <c r="BO656" s="284">
        <f t="shared" ref="BO656:BP656" si="520">COUNT(BO629:BO648)</f>
        <v>0</v>
      </c>
      <c r="BP656" s="284">
        <f t="shared" si="520"/>
        <v>0</v>
      </c>
      <c r="BQ656" s="122"/>
      <c r="BR656" s="284">
        <f t="shared" ref="BR656:BS656" si="521">COUNT(BR629:BR648)</f>
        <v>0</v>
      </c>
      <c r="BS656" s="284">
        <f t="shared" si="521"/>
        <v>0</v>
      </c>
      <c r="BT656" s="122"/>
      <c r="BU656" s="284">
        <f t="shared" ref="BU656:BV656" si="522">COUNT(BU629:BU648)</f>
        <v>0</v>
      </c>
      <c r="BV656" s="284">
        <f t="shared" si="522"/>
        <v>0</v>
      </c>
      <c r="BW656" s="122"/>
      <c r="BX656" s="91"/>
    </row>
    <row r="657" spans="1:76" s="55" customFormat="1" ht="14.25" x14ac:dyDescent="0.2">
      <c r="A657" s="285"/>
      <c r="B657" s="286"/>
      <c r="Q657" s="81"/>
      <c r="R657" s="287" t="s">
        <v>149</v>
      </c>
      <c r="T657" s="122"/>
      <c r="U657" s="281"/>
      <c r="V657" s="282"/>
      <c r="W657" s="283"/>
      <c r="Y657" s="91"/>
      <c r="AO657" s="91"/>
      <c r="BX657" s="91"/>
    </row>
    <row r="658" spans="1:76" s="55" customFormat="1" ht="14.25" x14ac:dyDescent="0.2">
      <c r="A658" s="285"/>
      <c r="B658" s="286"/>
      <c r="Q658" s="81"/>
      <c r="T658" s="122"/>
      <c r="U658" s="288"/>
      <c r="V658" s="289"/>
      <c r="W658" s="290"/>
      <c r="Y658" s="91"/>
      <c r="AO658" s="91"/>
      <c r="BX658" s="91"/>
    </row>
    <row r="659" spans="1:76" s="55" customFormat="1" ht="14.25" x14ac:dyDescent="0.2">
      <c r="A659" s="285"/>
      <c r="B659" s="286"/>
      <c r="Q659" s="81"/>
      <c r="T659" s="122"/>
      <c r="U659" s="122"/>
      <c r="V659" s="122"/>
      <c r="W659" s="122"/>
      <c r="Y659" s="91"/>
      <c r="AO659" s="91"/>
      <c r="BX659" s="91"/>
    </row>
    <row r="660" spans="1:76" s="9" customFormat="1" ht="18" x14ac:dyDescent="0.25">
      <c r="A660" s="188">
        <f>A626+1</f>
        <v>16</v>
      </c>
      <c r="B660" s="189"/>
      <c r="C660" s="16" t="s">
        <v>368</v>
      </c>
      <c r="D660" s="191"/>
      <c r="E660" s="191"/>
      <c r="F660" s="191"/>
      <c r="G660" s="191"/>
      <c r="J660" s="191"/>
      <c r="K660" s="191"/>
      <c r="L660" s="192"/>
      <c r="M660" s="192"/>
      <c r="N660" s="192"/>
      <c r="Q660" s="193"/>
      <c r="R660" s="194" t="s">
        <v>93</v>
      </c>
      <c r="S660" s="194"/>
      <c r="T660" s="194"/>
      <c r="U660" s="194"/>
      <c r="AP660" s="175">
        <f>A660</f>
        <v>16</v>
      </c>
      <c r="AQ660" s="175" t="str">
        <f>C660</f>
        <v>Fuel Efficiency Factor - SOLUTION</v>
      </c>
    </row>
    <row r="661" spans="1:76" s="55" customFormat="1" x14ac:dyDescent="0.25">
      <c r="A661" s="195"/>
      <c r="B661" s="196"/>
      <c r="C661" s="195"/>
      <c r="D661" s="120"/>
      <c r="E661" s="120"/>
      <c r="F661" s="120"/>
      <c r="G661" s="120"/>
      <c r="J661" s="120"/>
      <c r="K661" s="120"/>
      <c r="L661" s="122"/>
      <c r="M661" s="122"/>
      <c r="N661" s="122"/>
      <c r="Q661" s="81"/>
      <c r="Y661" s="91"/>
      <c r="AO661" s="91"/>
      <c r="AP661" s="28"/>
      <c r="AQ661" s="28"/>
      <c r="AR661" s="28"/>
      <c r="AS661" s="28"/>
      <c r="AT661" s="198" t="s">
        <v>171</v>
      </c>
      <c r="AU661" s="198"/>
      <c r="AV661" s="28"/>
      <c r="AW661" s="198" t="s">
        <v>96</v>
      </c>
      <c r="AX661" s="198"/>
      <c r="AY661" s="28"/>
      <c r="AZ661" s="198" t="s">
        <v>97</v>
      </c>
      <c r="BA661" s="198"/>
      <c r="BB661" s="28"/>
      <c r="BC661" s="198" t="s">
        <v>98</v>
      </c>
      <c r="BD661" s="198"/>
      <c r="BE661" s="28"/>
      <c r="BF661" s="198" t="s">
        <v>99</v>
      </c>
      <c r="BG661" s="198"/>
      <c r="BH661" s="28"/>
      <c r="BI661" s="198" t="s">
        <v>100</v>
      </c>
      <c r="BJ661" s="198"/>
      <c r="BK661" s="28"/>
      <c r="BL661" s="198" t="s">
        <v>101</v>
      </c>
      <c r="BM661" s="198"/>
      <c r="BN661" s="28"/>
      <c r="BO661" s="198" t="s">
        <v>102</v>
      </c>
      <c r="BP661" s="198"/>
      <c r="BQ661" s="28"/>
      <c r="BR661" s="198" t="s">
        <v>103</v>
      </c>
      <c r="BS661" s="198"/>
      <c r="BT661" s="28"/>
      <c r="BU661" s="198" t="s">
        <v>104</v>
      </c>
      <c r="BV661" s="198"/>
      <c r="BW661" s="28"/>
      <c r="BX661" s="91"/>
    </row>
    <row r="662" spans="1:76" s="55" customFormat="1" ht="30.75" thickBot="1" x14ac:dyDescent="0.3">
      <c r="A662" s="199" t="s">
        <v>105</v>
      </c>
      <c r="B662" s="200" t="s">
        <v>106</v>
      </c>
      <c r="C662" s="201" t="s">
        <v>107</v>
      </c>
      <c r="D662" s="202" t="s">
        <v>108</v>
      </c>
      <c r="E662" s="202" t="s">
        <v>109</v>
      </c>
      <c r="F662" s="201" t="s">
        <v>110</v>
      </c>
      <c r="G662" s="201" t="s">
        <v>111</v>
      </c>
      <c r="H662" s="202" t="s">
        <v>112</v>
      </c>
      <c r="I662" s="203" t="s">
        <v>113</v>
      </c>
      <c r="J662" s="204" t="s">
        <v>114</v>
      </c>
      <c r="K662" s="205" t="s">
        <v>115</v>
      </c>
      <c r="L662" s="206" t="s">
        <v>116</v>
      </c>
      <c r="M662" s="207" t="s">
        <v>117</v>
      </c>
      <c r="N662" s="208" t="s">
        <v>118</v>
      </c>
      <c r="O662" s="207" t="s">
        <v>119</v>
      </c>
      <c r="P662" s="210"/>
      <c r="Q662" s="211" t="s">
        <v>120</v>
      </c>
      <c r="R662" s="212" t="s">
        <v>121</v>
      </c>
      <c r="S662" s="212" t="s">
        <v>122</v>
      </c>
      <c r="T662" s="212" t="s">
        <v>123</v>
      </c>
      <c r="U662" s="213" t="s">
        <v>124</v>
      </c>
      <c r="V662" s="210"/>
      <c r="W662" s="210"/>
      <c r="Y662" s="91"/>
      <c r="AO662" s="91"/>
      <c r="AP662" s="210"/>
      <c r="AQ662" s="210"/>
      <c r="AR662" s="213" t="s">
        <v>125</v>
      </c>
      <c r="AS662" s="210"/>
      <c r="AT662" s="215" t="s">
        <v>121</v>
      </c>
      <c r="AU662" s="215" t="s">
        <v>122</v>
      </c>
      <c r="AV662" s="210"/>
      <c r="AW662" s="215" t="s">
        <v>121</v>
      </c>
      <c r="AX662" s="215" t="s">
        <v>122</v>
      </c>
      <c r="AY662" s="210"/>
      <c r="AZ662" s="215" t="s">
        <v>121</v>
      </c>
      <c r="BA662" s="215" t="s">
        <v>122</v>
      </c>
      <c r="BB662" s="210"/>
      <c r="BC662" s="215" t="s">
        <v>121</v>
      </c>
      <c r="BD662" s="215" t="s">
        <v>122</v>
      </c>
      <c r="BE662" s="210"/>
      <c r="BF662" s="215" t="s">
        <v>121</v>
      </c>
      <c r="BG662" s="215" t="s">
        <v>122</v>
      </c>
      <c r="BH662" s="210"/>
      <c r="BI662" s="215" t="s">
        <v>121</v>
      </c>
      <c r="BJ662" s="215" t="s">
        <v>122</v>
      </c>
      <c r="BK662" s="210"/>
      <c r="BL662" s="215" t="s">
        <v>121</v>
      </c>
      <c r="BM662" s="215" t="s">
        <v>122</v>
      </c>
      <c r="BN662" s="210"/>
      <c r="BO662" s="215" t="s">
        <v>121</v>
      </c>
      <c r="BP662" s="215" t="s">
        <v>122</v>
      </c>
      <c r="BQ662" s="210"/>
      <c r="BR662" s="215" t="s">
        <v>121</v>
      </c>
      <c r="BS662" s="215" t="s">
        <v>122</v>
      </c>
      <c r="BT662" s="210"/>
      <c r="BU662" s="215" t="s">
        <v>121</v>
      </c>
      <c r="BV662" s="215" t="s">
        <v>122</v>
      </c>
      <c r="BW662" s="210"/>
      <c r="BX662" s="91"/>
    </row>
    <row r="663" spans="1:76" s="55" customFormat="1" x14ac:dyDescent="0.25">
      <c r="A663" s="195">
        <v>1</v>
      </c>
      <c r="B663" s="216" t="str">
        <f t="shared" ref="B663:B682" si="523">CONCATENATE(E663,": ",C663)</f>
        <v xml:space="preserve">: </v>
      </c>
      <c r="C663" s="219"/>
      <c r="D663" s="219"/>
      <c r="E663" s="219"/>
      <c r="F663" s="219"/>
      <c r="G663" s="220"/>
      <c r="H663" s="221"/>
      <c r="I663" s="220"/>
      <c r="J663" s="364"/>
      <c r="K663" s="226"/>
      <c r="L663" s="241"/>
      <c r="M663" s="225" t="s">
        <v>365</v>
      </c>
      <c r="N663" s="227"/>
      <c r="O663" s="241"/>
      <c r="P663" s="122"/>
      <c r="Q663" s="228"/>
      <c r="R663" s="231" t="str">
        <f>IF(Q663="Y","",IF(AND(L663="",J663=""),"",IF(L663="",J663,L663)))</f>
        <v/>
      </c>
      <c r="S663" s="230" t="str">
        <f t="shared" ref="S663:S682" si="524">IF(R663="","",IF($R$691="Y",T663,IF(R663&gt;=$R$683-$AA$35*$R$687,IF(R663&lt;=$R$683+$AA$35*$R$687,R663,""),"")))</f>
        <v/>
      </c>
      <c r="T663" s="231" t="str">
        <f>IF(OR(Q663="Y",IFERROR(R663&gt;R683+R687*$AA$35,0),IFERROR(R663&lt;R683-R687*$AA$35,0)),"",IFERROR(R663*N663,""))</f>
        <v/>
      </c>
      <c r="U663" s="232" t="str">
        <f t="shared" ref="U663:U682" si="525">IF(AND(M663="",K663=""),"",IF(M663="",K663,M663))</f>
        <v>%</v>
      </c>
      <c r="V663" s="28"/>
      <c r="W663" s="28"/>
      <c r="Y663" s="91"/>
      <c r="AO663" s="91"/>
      <c r="AP663" s="28"/>
      <c r="AQ663" s="28"/>
      <c r="AR663" s="233" t="str">
        <f>$U663</f>
        <v>%</v>
      </c>
      <c r="AS663" s="28"/>
      <c r="AT663" s="304" t="str">
        <f>IF($E663=$AT$47,R663,"")</f>
        <v/>
      </c>
      <c r="AU663" s="304" t="str">
        <f>IF($E663=$AT$47,S663,"")</f>
        <v/>
      </c>
      <c r="AV663" s="28"/>
      <c r="AW663" s="304" t="str">
        <f t="shared" ref="AW663:AX682" si="526">IF($E663=$AW$83,R663,"")</f>
        <v/>
      </c>
      <c r="AX663" s="304" t="str">
        <f t="shared" si="526"/>
        <v/>
      </c>
      <c r="AY663" s="28"/>
      <c r="AZ663" s="304" t="str">
        <f t="shared" ref="AZ663:BA682" si="527">IF($E663=$AZ$83,R663,"")</f>
        <v/>
      </c>
      <c r="BA663" s="304" t="str">
        <f t="shared" si="527"/>
        <v/>
      </c>
      <c r="BB663" s="28"/>
      <c r="BC663" s="304" t="str">
        <f t="shared" ref="BC663:BD682" si="528">IF($E663=$BC$83,R663,"")</f>
        <v/>
      </c>
      <c r="BD663" s="304" t="str">
        <f t="shared" si="528"/>
        <v/>
      </c>
      <c r="BE663" s="28"/>
      <c r="BF663" s="304" t="str">
        <f t="shared" ref="BF663:BG682" si="529">IF($E663=$BF$83,R663,"")</f>
        <v/>
      </c>
      <c r="BG663" s="304" t="str">
        <f t="shared" si="529"/>
        <v/>
      </c>
      <c r="BH663" s="28"/>
      <c r="BI663" s="304" t="str">
        <f t="shared" ref="BI663:BJ682" si="530">IF($E663=$BI$83,R663,"")</f>
        <v/>
      </c>
      <c r="BJ663" s="304" t="str">
        <f t="shared" si="530"/>
        <v/>
      </c>
      <c r="BK663" s="28"/>
      <c r="BL663" s="304" t="str">
        <f t="shared" ref="BL663:BM682" si="531">IF($E663=$BL$83,R663,"")</f>
        <v/>
      </c>
      <c r="BM663" s="304" t="str">
        <f t="shared" si="531"/>
        <v/>
      </c>
      <c r="BN663" s="28"/>
      <c r="BO663" s="304" t="str">
        <f t="shared" ref="BO663:BP682" si="532">IF($E663=$BO$83,R663,"")</f>
        <v/>
      </c>
      <c r="BP663" s="304" t="str">
        <f t="shared" si="532"/>
        <v/>
      </c>
      <c r="BQ663" s="28"/>
      <c r="BR663" s="304" t="str">
        <f t="shared" ref="BR663:BS682" si="533">IF($E663=$BR$83,R663,"")</f>
        <v/>
      </c>
      <c r="BS663" s="304" t="str">
        <f t="shared" si="533"/>
        <v/>
      </c>
      <c r="BT663" s="28"/>
      <c r="BU663" s="304" t="str">
        <f t="shared" ref="BU663:BV682" si="534">IF($E663=$BU$83,R663,"")</f>
        <v/>
      </c>
      <c r="BV663" s="304" t="str">
        <f t="shared" si="534"/>
        <v/>
      </c>
      <c r="BW663" s="28"/>
      <c r="BX663" s="91"/>
    </row>
    <row r="664" spans="1:76" s="55" customFormat="1" x14ac:dyDescent="0.25">
      <c r="A664" s="195">
        <v>2</v>
      </c>
      <c r="B664" s="216" t="str">
        <f t="shared" si="523"/>
        <v xml:space="preserve">: </v>
      </c>
      <c r="C664" s="219"/>
      <c r="D664" s="219"/>
      <c r="E664" s="219"/>
      <c r="F664" s="219"/>
      <c r="G664" s="220"/>
      <c r="H664" s="221"/>
      <c r="I664" s="220"/>
      <c r="J664" s="365"/>
      <c r="K664" s="227"/>
      <c r="L664" s="241"/>
      <c r="M664" s="225" t="s">
        <v>365</v>
      </c>
      <c r="N664" s="227"/>
      <c r="O664" s="241"/>
      <c r="P664" s="122"/>
      <c r="Q664" s="228"/>
      <c r="R664" s="231" t="str">
        <f t="shared" ref="R664:R682" si="535">IF(Q664="Y","",IF(AND(L664="",J664=""),"",IF(L664="",J664,L664)))</f>
        <v/>
      </c>
      <c r="S664" s="230" t="str">
        <f t="shared" si="524"/>
        <v/>
      </c>
      <c r="T664" s="231" t="str">
        <f>IF(OR(Q664="Y",IFERROR(R664&gt;R683+R687*$AA$35,0),IFERROR(R664&lt;R683-R687*$AA$35,0)),"",IFERROR(R664*N664,""))</f>
        <v/>
      </c>
      <c r="U664" s="232" t="str">
        <f t="shared" si="525"/>
        <v>%</v>
      </c>
      <c r="V664" s="28"/>
      <c r="W664" s="28"/>
      <c r="Y664" s="91"/>
      <c r="AO664" s="91"/>
      <c r="AP664" s="28"/>
      <c r="AQ664" s="28"/>
      <c r="AR664" s="237"/>
      <c r="AS664" s="28"/>
      <c r="AT664" s="304" t="str">
        <f t="shared" ref="AT664:AU682" si="536">IF($E664=$AT$47,R664,"")</f>
        <v/>
      </c>
      <c r="AU664" s="304" t="str">
        <f t="shared" si="536"/>
        <v/>
      </c>
      <c r="AV664" s="28"/>
      <c r="AW664" s="304" t="str">
        <f t="shared" si="526"/>
        <v/>
      </c>
      <c r="AX664" s="304" t="str">
        <f t="shared" si="526"/>
        <v/>
      </c>
      <c r="AY664" s="28"/>
      <c r="AZ664" s="304" t="str">
        <f t="shared" si="527"/>
        <v/>
      </c>
      <c r="BA664" s="304" t="str">
        <f t="shared" si="527"/>
        <v/>
      </c>
      <c r="BB664" s="28"/>
      <c r="BC664" s="304" t="str">
        <f t="shared" si="528"/>
        <v/>
      </c>
      <c r="BD664" s="304" t="str">
        <f t="shared" si="528"/>
        <v/>
      </c>
      <c r="BE664" s="28"/>
      <c r="BF664" s="304" t="str">
        <f t="shared" si="529"/>
        <v/>
      </c>
      <c r="BG664" s="304" t="str">
        <f t="shared" si="529"/>
        <v/>
      </c>
      <c r="BH664" s="28"/>
      <c r="BI664" s="304" t="str">
        <f t="shared" si="530"/>
        <v/>
      </c>
      <c r="BJ664" s="304" t="str">
        <f t="shared" si="530"/>
        <v/>
      </c>
      <c r="BK664" s="28"/>
      <c r="BL664" s="304" t="str">
        <f t="shared" si="531"/>
        <v/>
      </c>
      <c r="BM664" s="304" t="str">
        <f t="shared" si="531"/>
        <v/>
      </c>
      <c r="BN664" s="28"/>
      <c r="BO664" s="304" t="str">
        <f t="shared" si="532"/>
        <v/>
      </c>
      <c r="BP664" s="304" t="str">
        <f t="shared" si="532"/>
        <v/>
      </c>
      <c r="BQ664" s="28"/>
      <c r="BR664" s="304" t="str">
        <f t="shared" si="533"/>
        <v/>
      </c>
      <c r="BS664" s="304" t="str">
        <f t="shared" si="533"/>
        <v/>
      </c>
      <c r="BT664" s="28"/>
      <c r="BU664" s="304" t="str">
        <f t="shared" si="534"/>
        <v/>
      </c>
      <c r="BV664" s="304" t="str">
        <f t="shared" si="534"/>
        <v/>
      </c>
      <c r="BW664" s="28"/>
      <c r="BX664" s="91"/>
    </row>
    <row r="665" spans="1:76" s="55" customFormat="1" x14ac:dyDescent="0.25">
      <c r="A665" s="195">
        <v>3</v>
      </c>
      <c r="B665" s="216" t="str">
        <f>CONCATENATE(E665,": ",C665)</f>
        <v xml:space="preserve">: </v>
      </c>
      <c r="C665" s="221"/>
      <c r="D665" s="221"/>
      <c r="E665" s="221"/>
      <c r="F665" s="221"/>
      <c r="G665" s="240"/>
      <c r="H665" s="221"/>
      <c r="I665" s="240"/>
      <c r="J665" s="364"/>
      <c r="K665" s="227"/>
      <c r="L665" s="241"/>
      <c r="M665" s="225" t="s">
        <v>365</v>
      </c>
      <c r="N665" s="227"/>
      <c r="O665" s="241"/>
      <c r="P665" s="122"/>
      <c r="Q665" s="228"/>
      <c r="R665" s="231" t="str">
        <f t="shared" si="535"/>
        <v/>
      </c>
      <c r="S665" s="230" t="str">
        <f t="shared" si="524"/>
        <v/>
      </c>
      <c r="T665" s="231" t="str">
        <f>IF(OR(Q665="Y",IFERROR(R665&gt;R683+R687*$AA$35,0),IFERROR(R665&lt;R683-R687*$AA$35,0)),"",IFERROR(R665*N665,""))</f>
        <v/>
      </c>
      <c r="U665" s="232" t="str">
        <f t="shared" si="525"/>
        <v>%</v>
      </c>
      <c r="V665" s="28"/>
      <c r="W665" s="28"/>
      <c r="Y665" s="91"/>
      <c r="AO665" s="91"/>
      <c r="AP665" s="28"/>
      <c r="AQ665" s="28"/>
      <c r="AR665" s="237"/>
      <c r="AS665" s="28"/>
      <c r="AT665" s="304" t="str">
        <f t="shared" si="536"/>
        <v/>
      </c>
      <c r="AU665" s="304" t="str">
        <f t="shared" si="536"/>
        <v/>
      </c>
      <c r="AV665" s="28"/>
      <c r="AW665" s="304" t="str">
        <f t="shared" si="526"/>
        <v/>
      </c>
      <c r="AX665" s="304" t="str">
        <f t="shared" si="526"/>
        <v/>
      </c>
      <c r="AY665" s="28"/>
      <c r="AZ665" s="304" t="str">
        <f t="shared" si="527"/>
        <v/>
      </c>
      <c r="BA665" s="304" t="str">
        <f t="shared" si="527"/>
        <v/>
      </c>
      <c r="BB665" s="28"/>
      <c r="BC665" s="304" t="str">
        <f t="shared" si="528"/>
        <v/>
      </c>
      <c r="BD665" s="304" t="str">
        <f t="shared" si="528"/>
        <v/>
      </c>
      <c r="BE665" s="28"/>
      <c r="BF665" s="304" t="str">
        <f t="shared" si="529"/>
        <v/>
      </c>
      <c r="BG665" s="304" t="str">
        <f t="shared" si="529"/>
        <v/>
      </c>
      <c r="BH665" s="28"/>
      <c r="BI665" s="304" t="str">
        <f t="shared" si="530"/>
        <v/>
      </c>
      <c r="BJ665" s="304" t="str">
        <f t="shared" si="530"/>
        <v/>
      </c>
      <c r="BK665" s="28"/>
      <c r="BL665" s="304" t="str">
        <f t="shared" si="531"/>
        <v/>
      </c>
      <c r="BM665" s="304" t="str">
        <f t="shared" si="531"/>
        <v/>
      </c>
      <c r="BN665" s="28"/>
      <c r="BO665" s="304" t="str">
        <f t="shared" si="532"/>
        <v/>
      </c>
      <c r="BP665" s="304" t="str">
        <f t="shared" si="532"/>
        <v/>
      </c>
      <c r="BQ665" s="28"/>
      <c r="BR665" s="304" t="str">
        <f t="shared" si="533"/>
        <v/>
      </c>
      <c r="BS665" s="304" t="str">
        <f t="shared" si="533"/>
        <v/>
      </c>
      <c r="BT665" s="28"/>
      <c r="BU665" s="304" t="str">
        <f t="shared" si="534"/>
        <v/>
      </c>
      <c r="BV665" s="304" t="str">
        <f t="shared" si="534"/>
        <v/>
      </c>
      <c r="BW665" s="28"/>
      <c r="BX665" s="91"/>
    </row>
    <row r="666" spans="1:76" s="55" customFormat="1" x14ac:dyDescent="0.25">
      <c r="A666" s="195">
        <v>4</v>
      </c>
      <c r="B666" s="216" t="str">
        <f t="shared" si="523"/>
        <v xml:space="preserve">: </v>
      </c>
      <c r="C666" s="221"/>
      <c r="D666" s="221"/>
      <c r="E666" s="221"/>
      <c r="F666" s="221"/>
      <c r="G666" s="240"/>
      <c r="H666" s="221"/>
      <c r="I666" s="240"/>
      <c r="J666" s="365"/>
      <c r="K666" s="227"/>
      <c r="L666" s="241"/>
      <c r="M666" s="225" t="s">
        <v>365</v>
      </c>
      <c r="N666" s="227"/>
      <c r="O666" s="241"/>
      <c r="P666" s="122"/>
      <c r="Q666" s="228"/>
      <c r="R666" s="231" t="str">
        <f t="shared" si="535"/>
        <v/>
      </c>
      <c r="S666" s="230" t="str">
        <f t="shared" si="524"/>
        <v/>
      </c>
      <c r="T666" s="231" t="str">
        <f>IF(OR(Q666="Y",IFERROR(R666&gt;R683+R687*$AA$35,0),IFERROR(R666&lt;R683-R687*$AA$35,0)),"",IFERROR(R666*N666,""))</f>
        <v/>
      </c>
      <c r="U666" s="232" t="str">
        <f t="shared" si="525"/>
        <v>%</v>
      </c>
      <c r="V666" s="28"/>
      <c r="W666" s="28"/>
      <c r="Y666" s="91"/>
      <c r="AO666" s="91"/>
      <c r="AP666" s="28"/>
      <c r="AQ666" s="28"/>
      <c r="AR666" s="237"/>
      <c r="AS666" s="28"/>
      <c r="AT666" s="304" t="str">
        <f t="shared" si="536"/>
        <v/>
      </c>
      <c r="AU666" s="304" t="str">
        <f t="shared" si="536"/>
        <v/>
      </c>
      <c r="AV666" s="28"/>
      <c r="AW666" s="304" t="str">
        <f t="shared" si="526"/>
        <v/>
      </c>
      <c r="AX666" s="304" t="str">
        <f t="shared" si="526"/>
        <v/>
      </c>
      <c r="AY666" s="28"/>
      <c r="AZ666" s="304" t="str">
        <f t="shared" si="527"/>
        <v/>
      </c>
      <c r="BA666" s="304" t="str">
        <f t="shared" si="527"/>
        <v/>
      </c>
      <c r="BB666" s="28"/>
      <c r="BC666" s="304" t="str">
        <f t="shared" si="528"/>
        <v/>
      </c>
      <c r="BD666" s="304" t="str">
        <f t="shared" si="528"/>
        <v/>
      </c>
      <c r="BE666" s="28"/>
      <c r="BF666" s="304" t="str">
        <f t="shared" si="529"/>
        <v/>
      </c>
      <c r="BG666" s="304" t="str">
        <f t="shared" si="529"/>
        <v/>
      </c>
      <c r="BH666" s="28"/>
      <c r="BI666" s="304" t="str">
        <f t="shared" si="530"/>
        <v/>
      </c>
      <c r="BJ666" s="304" t="str">
        <f t="shared" si="530"/>
        <v/>
      </c>
      <c r="BK666" s="28"/>
      <c r="BL666" s="304" t="str">
        <f t="shared" si="531"/>
        <v/>
      </c>
      <c r="BM666" s="304" t="str">
        <f t="shared" si="531"/>
        <v/>
      </c>
      <c r="BN666" s="28"/>
      <c r="BO666" s="304" t="str">
        <f t="shared" si="532"/>
        <v/>
      </c>
      <c r="BP666" s="304" t="str">
        <f t="shared" si="532"/>
        <v/>
      </c>
      <c r="BQ666" s="28"/>
      <c r="BR666" s="304" t="str">
        <f t="shared" si="533"/>
        <v/>
      </c>
      <c r="BS666" s="304" t="str">
        <f t="shared" si="533"/>
        <v/>
      </c>
      <c r="BT666" s="28"/>
      <c r="BU666" s="304" t="str">
        <f t="shared" si="534"/>
        <v/>
      </c>
      <c r="BV666" s="304" t="str">
        <f t="shared" si="534"/>
        <v/>
      </c>
      <c r="BW666" s="28"/>
      <c r="BX666" s="91"/>
    </row>
    <row r="667" spans="1:76" s="55" customFormat="1" x14ac:dyDescent="0.25">
      <c r="A667" s="195">
        <v>5</v>
      </c>
      <c r="B667" s="216" t="str">
        <f t="shared" si="523"/>
        <v xml:space="preserve">: </v>
      </c>
      <c r="C667" s="221"/>
      <c r="D667" s="221"/>
      <c r="E667" s="221"/>
      <c r="F667" s="221"/>
      <c r="G667" s="240"/>
      <c r="H667" s="221"/>
      <c r="I667" s="240"/>
      <c r="J667" s="365"/>
      <c r="K667" s="227"/>
      <c r="L667" s="241"/>
      <c r="M667" s="225" t="s">
        <v>365</v>
      </c>
      <c r="N667" s="227"/>
      <c r="O667" s="241"/>
      <c r="P667" s="122"/>
      <c r="Q667" s="228"/>
      <c r="R667" s="231" t="str">
        <f t="shared" si="535"/>
        <v/>
      </c>
      <c r="S667" s="230" t="str">
        <f t="shared" si="524"/>
        <v/>
      </c>
      <c r="T667" s="231" t="str">
        <f>IF(OR(Q667="Y",IFERROR(R667&gt;R683+R687*$AA$35,0),IFERROR(R667&lt;R683-R687*$AA$35,0)),"",IFERROR(R667*N667,""))</f>
        <v/>
      </c>
      <c r="U667" s="232" t="str">
        <f t="shared" si="525"/>
        <v>%</v>
      </c>
      <c r="V667" s="28"/>
      <c r="W667" s="28"/>
      <c r="Y667" s="91"/>
      <c r="AO667" s="91"/>
      <c r="AP667" s="28"/>
      <c r="AQ667" s="28"/>
      <c r="AR667" s="237"/>
      <c r="AS667" s="28"/>
      <c r="AT667" s="304" t="str">
        <f t="shared" si="536"/>
        <v/>
      </c>
      <c r="AU667" s="304" t="str">
        <f t="shared" si="536"/>
        <v/>
      </c>
      <c r="AV667" s="28"/>
      <c r="AW667" s="304" t="str">
        <f t="shared" si="526"/>
        <v/>
      </c>
      <c r="AX667" s="304" t="str">
        <f t="shared" si="526"/>
        <v/>
      </c>
      <c r="AY667" s="28"/>
      <c r="AZ667" s="304" t="str">
        <f t="shared" si="527"/>
        <v/>
      </c>
      <c r="BA667" s="304" t="str">
        <f t="shared" si="527"/>
        <v/>
      </c>
      <c r="BB667" s="28"/>
      <c r="BC667" s="304" t="str">
        <f t="shared" si="528"/>
        <v/>
      </c>
      <c r="BD667" s="304" t="str">
        <f t="shared" si="528"/>
        <v/>
      </c>
      <c r="BE667" s="28"/>
      <c r="BF667" s="304" t="str">
        <f t="shared" si="529"/>
        <v/>
      </c>
      <c r="BG667" s="304" t="str">
        <f t="shared" si="529"/>
        <v/>
      </c>
      <c r="BH667" s="28"/>
      <c r="BI667" s="304" t="str">
        <f t="shared" si="530"/>
        <v/>
      </c>
      <c r="BJ667" s="304" t="str">
        <f t="shared" si="530"/>
        <v/>
      </c>
      <c r="BK667" s="28"/>
      <c r="BL667" s="304" t="str">
        <f t="shared" si="531"/>
        <v/>
      </c>
      <c r="BM667" s="304" t="str">
        <f t="shared" si="531"/>
        <v/>
      </c>
      <c r="BN667" s="28"/>
      <c r="BO667" s="304" t="str">
        <f t="shared" si="532"/>
        <v/>
      </c>
      <c r="BP667" s="304" t="str">
        <f t="shared" si="532"/>
        <v/>
      </c>
      <c r="BQ667" s="28"/>
      <c r="BR667" s="304" t="str">
        <f t="shared" si="533"/>
        <v/>
      </c>
      <c r="BS667" s="304" t="str">
        <f t="shared" si="533"/>
        <v/>
      </c>
      <c r="BT667" s="28"/>
      <c r="BU667" s="304" t="str">
        <f t="shared" si="534"/>
        <v/>
      </c>
      <c r="BV667" s="304" t="str">
        <f t="shared" si="534"/>
        <v/>
      </c>
      <c r="BW667" s="28"/>
      <c r="BX667" s="91"/>
    </row>
    <row r="668" spans="1:76" s="55" customFormat="1" x14ac:dyDescent="0.25">
      <c r="A668" s="195">
        <v>6</v>
      </c>
      <c r="B668" s="216" t="str">
        <f t="shared" si="523"/>
        <v xml:space="preserve">: </v>
      </c>
      <c r="C668" s="221"/>
      <c r="D668" s="221"/>
      <c r="E668" s="221"/>
      <c r="F668" s="221"/>
      <c r="G668" s="240"/>
      <c r="H668" s="221"/>
      <c r="I668" s="240"/>
      <c r="J668" s="365"/>
      <c r="K668" s="227"/>
      <c r="L668" s="241"/>
      <c r="M668" s="225" t="s">
        <v>365</v>
      </c>
      <c r="N668" s="227"/>
      <c r="O668" s="241"/>
      <c r="P668" s="122"/>
      <c r="Q668" s="228"/>
      <c r="R668" s="231" t="str">
        <f t="shared" si="535"/>
        <v/>
      </c>
      <c r="S668" s="230" t="str">
        <f t="shared" si="524"/>
        <v/>
      </c>
      <c r="T668" s="231" t="str">
        <f>IF(OR(Q668="Y",IFERROR(R668&gt;R683+R687*$AA$35,0),IFERROR(R668&lt;R683-R687*$AA$35,0)),"",IFERROR(R668*N668,""))</f>
        <v/>
      </c>
      <c r="U668" s="232" t="str">
        <f t="shared" si="525"/>
        <v>%</v>
      </c>
      <c r="V668" s="28"/>
      <c r="W668" s="28"/>
      <c r="Y668" s="91"/>
      <c r="AO668" s="91"/>
      <c r="AP668" s="28"/>
      <c r="AQ668" s="28"/>
      <c r="AR668" s="237"/>
      <c r="AS668" s="28"/>
      <c r="AT668" s="304" t="str">
        <f t="shared" si="536"/>
        <v/>
      </c>
      <c r="AU668" s="304" t="str">
        <f t="shared" si="536"/>
        <v/>
      </c>
      <c r="AV668" s="28"/>
      <c r="AW668" s="304" t="str">
        <f t="shared" si="526"/>
        <v/>
      </c>
      <c r="AX668" s="304" t="str">
        <f t="shared" si="526"/>
        <v/>
      </c>
      <c r="AY668" s="28"/>
      <c r="AZ668" s="304" t="str">
        <f t="shared" si="527"/>
        <v/>
      </c>
      <c r="BA668" s="304" t="str">
        <f t="shared" si="527"/>
        <v/>
      </c>
      <c r="BB668" s="28"/>
      <c r="BC668" s="304" t="str">
        <f t="shared" si="528"/>
        <v/>
      </c>
      <c r="BD668" s="304" t="str">
        <f t="shared" si="528"/>
        <v/>
      </c>
      <c r="BE668" s="28"/>
      <c r="BF668" s="304" t="str">
        <f t="shared" si="529"/>
        <v/>
      </c>
      <c r="BG668" s="304" t="str">
        <f t="shared" si="529"/>
        <v/>
      </c>
      <c r="BH668" s="28"/>
      <c r="BI668" s="304" t="str">
        <f t="shared" si="530"/>
        <v/>
      </c>
      <c r="BJ668" s="304" t="str">
        <f t="shared" si="530"/>
        <v/>
      </c>
      <c r="BK668" s="28"/>
      <c r="BL668" s="304" t="str">
        <f t="shared" si="531"/>
        <v/>
      </c>
      <c r="BM668" s="304" t="str">
        <f t="shared" si="531"/>
        <v/>
      </c>
      <c r="BN668" s="28"/>
      <c r="BO668" s="304" t="str">
        <f t="shared" si="532"/>
        <v/>
      </c>
      <c r="BP668" s="304" t="str">
        <f t="shared" si="532"/>
        <v/>
      </c>
      <c r="BQ668" s="28"/>
      <c r="BR668" s="304" t="str">
        <f t="shared" si="533"/>
        <v/>
      </c>
      <c r="BS668" s="304" t="str">
        <f t="shared" si="533"/>
        <v/>
      </c>
      <c r="BT668" s="28"/>
      <c r="BU668" s="304" t="str">
        <f t="shared" si="534"/>
        <v/>
      </c>
      <c r="BV668" s="304" t="str">
        <f t="shared" si="534"/>
        <v/>
      </c>
      <c r="BW668" s="28"/>
      <c r="BX668" s="91"/>
    </row>
    <row r="669" spans="1:76" s="55" customFormat="1" x14ac:dyDescent="0.25">
      <c r="A669" s="195">
        <v>7</v>
      </c>
      <c r="B669" s="216" t="str">
        <f t="shared" si="523"/>
        <v xml:space="preserve">: </v>
      </c>
      <c r="C669" s="221"/>
      <c r="D669" s="221"/>
      <c r="E669" s="221"/>
      <c r="F669" s="221"/>
      <c r="G669" s="240"/>
      <c r="H669" s="221"/>
      <c r="I669" s="240"/>
      <c r="J669" s="365"/>
      <c r="K669" s="227"/>
      <c r="L669" s="241"/>
      <c r="M669" s="225" t="s">
        <v>365</v>
      </c>
      <c r="N669" s="227"/>
      <c r="O669" s="241"/>
      <c r="P669" s="122"/>
      <c r="Q669" s="228"/>
      <c r="R669" s="231" t="str">
        <f t="shared" si="535"/>
        <v/>
      </c>
      <c r="S669" s="230" t="str">
        <f t="shared" si="524"/>
        <v/>
      </c>
      <c r="T669" s="231" t="str">
        <f>IF(OR(Q669="Y",IFERROR(R669&gt;R683+R687*$AA$35,0),IFERROR(R669&lt;R683-R687*$AA$35,0)),"",IFERROR(R669*N669,""))</f>
        <v/>
      </c>
      <c r="U669" s="232" t="str">
        <f t="shared" si="525"/>
        <v>%</v>
      </c>
      <c r="V669" s="28"/>
      <c r="W669" s="28"/>
      <c r="Y669" s="91"/>
      <c r="AO669" s="91"/>
      <c r="AP669" s="28"/>
      <c r="AQ669" s="28"/>
      <c r="AR669" s="237"/>
      <c r="AS669" s="28"/>
      <c r="AT669" s="304" t="str">
        <f t="shared" si="536"/>
        <v/>
      </c>
      <c r="AU669" s="304" t="str">
        <f t="shared" si="536"/>
        <v/>
      </c>
      <c r="AV669" s="28"/>
      <c r="AW669" s="304" t="str">
        <f t="shared" si="526"/>
        <v/>
      </c>
      <c r="AX669" s="304" t="str">
        <f t="shared" si="526"/>
        <v/>
      </c>
      <c r="AY669" s="28"/>
      <c r="AZ669" s="304" t="str">
        <f t="shared" si="527"/>
        <v/>
      </c>
      <c r="BA669" s="304" t="str">
        <f t="shared" si="527"/>
        <v/>
      </c>
      <c r="BB669" s="28"/>
      <c r="BC669" s="304" t="str">
        <f t="shared" si="528"/>
        <v/>
      </c>
      <c r="BD669" s="304" t="str">
        <f t="shared" si="528"/>
        <v/>
      </c>
      <c r="BE669" s="28"/>
      <c r="BF669" s="304" t="str">
        <f t="shared" si="529"/>
        <v/>
      </c>
      <c r="BG669" s="304" t="str">
        <f t="shared" si="529"/>
        <v/>
      </c>
      <c r="BH669" s="28"/>
      <c r="BI669" s="304" t="str">
        <f t="shared" si="530"/>
        <v/>
      </c>
      <c r="BJ669" s="304" t="str">
        <f t="shared" si="530"/>
        <v/>
      </c>
      <c r="BK669" s="28"/>
      <c r="BL669" s="304" t="str">
        <f t="shared" si="531"/>
        <v/>
      </c>
      <c r="BM669" s="304" t="str">
        <f t="shared" si="531"/>
        <v/>
      </c>
      <c r="BN669" s="28"/>
      <c r="BO669" s="304" t="str">
        <f t="shared" si="532"/>
        <v/>
      </c>
      <c r="BP669" s="304" t="str">
        <f t="shared" si="532"/>
        <v/>
      </c>
      <c r="BQ669" s="28"/>
      <c r="BR669" s="304" t="str">
        <f t="shared" si="533"/>
        <v/>
      </c>
      <c r="BS669" s="304" t="str">
        <f t="shared" si="533"/>
        <v/>
      </c>
      <c r="BT669" s="28"/>
      <c r="BU669" s="304" t="str">
        <f t="shared" si="534"/>
        <v/>
      </c>
      <c r="BV669" s="304" t="str">
        <f t="shared" si="534"/>
        <v/>
      </c>
      <c r="BW669" s="28"/>
      <c r="BX669" s="91"/>
    </row>
    <row r="670" spans="1:76" s="55" customFormat="1" x14ac:dyDescent="0.25">
      <c r="A670" s="195">
        <v>8</v>
      </c>
      <c r="B670" s="216" t="str">
        <f t="shared" si="523"/>
        <v xml:space="preserve">: </v>
      </c>
      <c r="C670" s="221"/>
      <c r="D670" s="221"/>
      <c r="E670" s="221"/>
      <c r="F670" s="221"/>
      <c r="G670" s="240"/>
      <c r="H670" s="221"/>
      <c r="I670" s="240"/>
      <c r="J670" s="241"/>
      <c r="K670" s="241"/>
      <c r="L670" s="241"/>
      <c r="M670" s="225" t="s">
        <v>365</v>
      </c>
      <c r="N670" s="227"/>
      <c r="O670" s="241"/>
      <c r="P670" s="122"/>
      <c r="Q670" s="228"/>
      <c r="R670" s="231" t="str">
        <f t="shared" si="535"/>
        <v/>
      </c>
      <c r="S670" s="230" t="str">
        <f t="shared" si="524"/>
        <v/>
      </c>
      <c r="T670" s="231" t="str">
        <f>IF(OR(Q670="Y",IFERROR(R670&gt;R683+R687*$AA$35,0),IFERROR(R670&lt;R683-R687*$AA$35,0)),"",IFERROR(R670*N670,""))</f>
        <v/>
      </c>
      <c r="U670" s="232" t="str">
        <f t="shared" si="525"/>
        <v>%</v>
      </c>
      <c r="V670" s="28"/>
      <c r="W670" s="28"/>
      <c r="Y670" s="91"/>
      <c r="AO670" s="91"/>
      <c r="AP670" s="28"/>
      <c r="AQ670" s="28"/>
      <c r="AR670" s="237"/>
      <c r="AS670" s="28"/>
      <c r="AT670" s="304" t="str">
        <f t="shared" si="536"/>
        <v/>
      </c>
      <c r="AU670" s="304" t="str">
        <f t="shared" si="536"/>
        <v/>
      </c>
      <c r="AV670" s="28"/>
      <c r="AW670" s="304" t="str">
        <f t="shared" si="526"/>
        <v/>
      </c>
      <c r="AX670" s="304" t="str">
        <f t="shared" si="526"/>
        <v/>
      </c>
      <c r="AY670" s="28"/>
      <c r="AZ670" s="304" t="str">
        <f t="shared" si="527"/>
        <v/>
      </c>
      <c r="BA670" s="304" t="str">
        <f t="shared" si="527"/>
        <v/>
      </c>
      <c r="BB670" s="28"/>
      <c r="BC670" s="304" t="str">
        <f t="shared" si="528"/>
        <v/>
      </c>
      <c r="BD670" s="304" t="str">
        <f t="shared" si="528"/>
        <v/>
      </c>
      <c r="BE670" s="28"/>
      <c r="BF670" s="304" t="str">
        <f t="shared" si="529"/>
        <v/>
      </c>
      <c r="BG670" s="304" t="str">
        <f t="shared" si="529"/>
        <v/>
      </c>
      <c r="BH670" s="28"/>
      <c r="BI670" s="304" t="str">
        <f t="shared" si="530"/>
        <v/>
      </c>
      <c r="BJ670" s="304" t="str">
        <f t="shared" si="530"/>
        <v/>
      </c>
      <c r="BK670" s="28"/>
      <c r="BL670" s="304" t="str">
        <f t="shared" si="531"/>
        <v/>
      </c>
      <c r="BM670" s="304" t="str">
        <f t="shared" si="531"/>
        <v/>
      </c>
      <c r="BN670" s="28"/>
      <c r="BO670" s="304" t="str">
        <f t="shared" si="532"/>
        <v/>
      </c>
      <c r="BP670" s="304" t="str">
        <f t="shared" si="532"/>
        <v/>
      </c>
      <c r="BQ670" s="28"/>
      <c r="BR670" s="304" t="str">
        <f t="shared" si="533"/>
        <v/>
      </c>
      <c r="BS670" s="304" t="str">
        <f t="shared" si="533"/>
        <v/>
      </c>
      <c r="BT670" s="28"/>
      <c r="BU670" s="304" t="str">
        <f t="shared" si="534"/>
        <v/>
      </c>
      <c r="BV670" s="304" t="str">
        <f t="shared" si="534"/>
        <v/>
      </c>
      <c r="BW670" s="28"/>
      <c r="BX670" s="91"/>
    </row>
    <row r="671" spans="1:76" s="55" customFormat="1" x14ac:dyDescent="0.25">
      <c r="A671" s="195">
        <v>9</v>
      </c>
      <c r="B671" s="216" t="str">
        <f t="shared" si="523"/>
        <v xml:space="preserve">: </v>
      </c>
      <c r="C671" s="221"/>
      <c r="D671" s="221"/>
      <c r="E671" s="221"/>
      <c r="F671" s="221"/>
      <c r="G671" s="240"/>
      <c r="H671" s="221"/>
      <c r="I671" s="240"/>
      <c r="J671" s="241"/>
      <c r="K671" s="241"/>
      <c r="L671" s="241"/>
      <c r="M671" s="225" t="s">
        <v>365</v>
      </c>
      <c r="N671" s="227"/>
      <c r="O671" s="241"/>
      <c r="P671" s="122"/>
      <c r="Q671" s="228"/>
      <c r="R671" s="231" t="str">
        <f t="shared" si="535"/>
        <v/>
      </c>
      <c r="S671" s="230" t="str">
        <f t="shared" si="524"/>
        <v/>
      </c>
      <c r="T671" s="231" t="str">
        <f>IF(OR(Q671="Y",IFERROR(R671&gt;R683+R687*$AA$35,0),IFERROR(R671&lt;R683-R687*$AA$35,0)),"",IFERROR(R671*N671,""))</f>
        <v/>
      </c>
      <c r="U671" s="232" t="str">
        <f t="shared" si="525"/>
        <v>%</v>
      </c>
      <c r="V671" s="28"/>
      <c r="W671" s="28"/>
      <c r="Y671" s="91"/>
      <c r="AO671" s="91"/>
      <c r="AP671" s="28"/>
      <c r="AQ671" s="28"/>
      <c r="AR671" s="237"/>
      <c r="AS671" s="28"/>
      <c r="AT671" s="304" t="str">
        <f t="shared" si="536"/>
        <v/>
      </c>
      <c r="AU671" s="304" t="str">
        <f t="shared" si="536"/>
        <v/>
      </c>
      <c r="AV671" s="28"/>
      <c r="AW671" s="304" t="str">
        <f t="shared" si="526"/>
        <v/>
      </c>
      <c r="AX671" s="304" t="str">
        <f t="shared" si="526"/>
        <v/>
      </c>
      <c r="AY671" s="28"/>
      <c r="AZ671" s="304" t="str">
        <f t="shared" si="527"/>
        <v/>
      </c>
      <c r="BA671" s="304" t="str">
        <f t="shared" si="527"/>
        <v/>
      </c>
      <c r="BB671" s="28"/>
      <c r="BC671" s="304" t="str">
        <f t="shared" si="528"/>
        <v/>
      </c>
      <c r="BD671" s="304" t="str">
        <f t="shared" si="528"/>
        <v/>
      </c>
      <c r="BE671" s="28"/>
      <c r="BF671" s="304" t="str">
        <f t="shared" si="529"/>
        <v/>
      </c>
      <c r="BG671" s="304" t="str">
        <f t="shared" si="529"/>
        <v/>
      </c>
      <c r="BH671" s="28"/>
      <c r="BI671" s="304" t="str">
        <f t="shared" si="530"/>
        <v/>
      </c>
      <c r="BJ671" s="304" t="str">
        <f t="shared" si="530"/>
        <v/>
      </c>
      <c r="BK671" s="28"/>
      <c r="BL671" s="304" t="str">
        <f t="shared" si="531"/>
        <v/>
      </c>
      <c r="BM671" s="304" t="str">
        <f t="shared" si="531"/>
        <v/>
      </c>
      <c r="BN671" s="28"/>
      <c r="BO671" s="304" t="str">
        <f t="shared" si="532"/>
        <v/>
      </c>
      <c r="BP671" s="304" t="str">
        <f t="shared" si="532"/>
        <v/>
      </c>
      <c r="BQ671" s="28"/>
      <c r="BR671" s="304" t="str">
        <f t="shared" si="533"/>
        <v/>
      </c>
      <c r="BS671" s="304" t="str">
        <f t="shared" si="533"/>
        <v/>
      </c>
      <c r="BT671" s="28"/>
      <c r="BU671" s="304" t="str">
        <f t="shared" si="534"/>
        <v/>
      </c>
      <c r="BV671" s="304" t="str">
        <f t="shared" si="534"/>
        <v/>
      </c>
      <c r="BW671" s="28"/>
      <c r="BX671" s="91"/>
    </row>
    <row r="672" spans="1:76" s="55" customFormat="1" x14ac:dyDescent="0.25">
      <c r="A672" s="195">
        <v>10</v>
      </c>
      <c r="B672" s="216" t="str">
        <f t="shared" si="523"/>
        <v xml:space="preserve">: </v>
      </c>
      <c r="C672" s="221"/>
      <c r="D672" s="221"/>
      <c r="E672" s="221"/>
      <c r="F672" s="221"/>
      <c r="G672" s="240"/>
      <c r="H672" s="221"/>
      <c r="I672" s="240"/>
      <c r="J672" s="241"/>
      <c r="K672" s="241"/>
      <c r="L672" s="241"/>
      <c r="M672" s="225" t="s">
        <v>365</v>
      </c>
      <c r="N672" s="227"/>
      <c r="O672" s="241"/>
      <c r="P672" s="122"/>
      <c r="Q672" s="228"/>
      <c r="R672" s="231" t="str">
        <f t="shared" si="535"/>
        <v/>
      </c>
      <c r="S672" s="230" t="str">
        <f t="shared" si="524"/>
        <v/>
      </c>
      <c r="T672" s="231" t="str">
        <f>IF(OR(Q672="Y",IFERROR(R672&gt;R683+R687*$AA$35,0),IFERROR(R672&lt;R683-R687*$AA$35,0)),"",IFERROR(R672*N672,""))</f>
        <v/>
      </c>
      <c r="U672" s="232" t="str">
        <f t="shared" si="525"/>
        <v>%</v>
      </c>
      <c r="V672" s="28"/>
      <c r="W672" s="28"/>
      <c r="Y672" s="91"/>
      <c r="AO672" s="91"/>
      <c r="AP672" s="28"/>
      <c r="AQ672" s="28"/>
      <c r="AR672" s="237"/>
      <c r="AS672" s="28"/>
      <c r="AT672" s="304" t="str">
        <f t="shared" si="536"/>
        <v/>
      </c>
      <c r="AU672" s="304" t="str">
        <f t="shared" si="536"/>
        <v/>
      </c>
      <c r="AV672" s="28"/>
      <c r="AW672" s="304" t="str">
        <f t="shared" si="526"/>
        <v/>
      </c>
      <c r="AX672" s="304" t="str">
        <f t="shared" si="526"/>
        <v/>
      </c>
      <c r="AY672" s="28"/>
      <c r="AZ672" s="304" t="str">
        <f t="shared" si="527"/>
        <v/>
      </c>
      <c r="BA672" s="304" t="str">
        <f t="shared" si="527"/>
        <v/>
      </c>
      <c r="BB672" s="28"/>
      <c r="BC672" s="304" t="str">
        <f t="shared" si="528"/>
        <v/>
      </c>
      <c r="BD672" s="304" t="str">
        <f t="shared" si="528"/>
        <v/>
      </c>
      <c r="BE672" s="28"/>
      <c r="BF672" s="304" t="str">
        <f t="shared" si="529"/>
        <v/>
      </c>
      <c r="BG672" s="304" t="str">
        <f t="shared" si="529"/>
        <v/>
      </c>
      <c r="BH672" s="28"/>
      <c r="BI672" s="304" t="str">
        <f t="shared" si="530"/>
        <v/>
      </c>
      <c r="BJ672" s="304" t="str">
        <f t="shared" si="530"/>
        <v/>
      </c>
      <c r="BK672" s="28"/>
      <c r="BL672" s="304" t="str">
        <f t="shared" si="531"/>
        <v/>
      </c>
      <c r="BM672" s="304" t="str">
        <f t="shared" si="531"/>
        <v/>
      </c>
      <c r="BN672" s="28"/>
      <c r="BO672" s="304" t="str">
        <f t="shared" si="532"/>
        <v/>
      </c>
      <c r="BP672" s="304" t="str">
        <f t="shared" si="532"/>
        <v/>
      </c>
      <c r="BQ672" s="28"/>
      <c r="BR672" s="304" t="str">
        <f t="shared" si="533"/>
        <v/>
      </c>
      <c r="BS672" s="304" t="str">
        <f t="shared" si="533"/>
        <v/>
      </c>
      <c r="BT672" s="28"/>
      <c r="BU672" s="304" t="str">
        <f t="shared" si="534"/>
        <v/>
      </c>
      <c r="BV672" s="304" t="str">
        <f t="shared" si="534"/>
        <v/>
      </c>
      <c r="BW672" s="28"/>
      <c r="BX672" s="91"/>
    </row>
    <row r="673" spans="1:76" s="55" customFormat="1" x14ac:dyDescent="0.25">
      <c r="A673" s="195">
        <v>11</v>
      </c>
      <c r="B673" s="216" t="str">
        <f t="shared" si="523"/>
        <v xml:space="preserve">: </v>
      </c>
      <c r="C673" s="221"/>
      <c r="D673" s="221"/>
      <c r="E673" s="221"/>
      <c r="F673" s="221"/>
      <c r="G673" s="240"/>
      <c r="H673" s="221"/>
      <c r="I673" s="240"/>
      <c r="J673" s="241"/>
      <c r="K673" s="241"/>
      <c r="L673" s="241"/>
      <c r="M673" s="225" t="s">
        <v>365</v>
      </c>
      <c r="N673" s="227"/>
      <c r="O673" s="241"/>
      <c r="P673" s="122"/>
      <c r="Q673" s="228"/>
      <c r="R673" s="231" t="str">
        <f t="shared" si="535"/>
        <v/>
      </c>
      <c r="S673" s="230" t="str">
        <f t="shared" si="524"/>
        <v/>
      </c>
      <c r="T673" s="231" t="str">
        <f>IF(OR(Q673="Y",IFERROR(R673&gt;R683+R687*$AA$35,0),IFERROR(R673&lt;R683-R687*$AA$35,0)),"",IFERROR(R673*N673,""))</f>
        <v/>
      </c>
      <c r="U673" s="232" t="str">
        <f t="shared" si="525"/>
        <v>%</v>
      </c>
      <c r="V673" s="28"/>
      <c r="W673" s="28"/>
      <c r="Y673" s="91"/>
      <c r="AO673" s="91"/>
      <c r="AP673" s="28"/>
      <c r="AQ673" s="28"/>
      <c r="AR673" s="237"/>
      <c r="AS673" s="28"/>
      <c r="AT673" s="304" t="str">
        <f t="shared" si="536"/>
        <v/>
      </c>
      <c r="AU673" s="304" t="str">
        <f t="shared" si="536"/>
        <v/>
      </c>
      <c r="AV673" s="28"/>
      <c r="AW673" s="304" t="str">
        <f t="shared" si="526"/>
        <v/>
      </c>
      <c r="AX673" s="304" t="str">
        <f t="shared" si="526"/>
        <v/>
      </c>
      <c r="AY673" s="28"/>
      <c r="AZ673" s="304" t="str">
        <f t="shared" si="527"/>
        <v/>
      </c>
      <c r="BA673" s="304" t="str">
        <f t="shared" si="527"/>
        <v/>
      </c>
      <c r="BB673" s="28"/>
      <c r="BC673" s="304" t="str">
        <f t="shared" si="528"/>
        <v/>
      </c>
      <c r="BD673" s="304" t="str">
        <f t="shared" si="528"/>
        <v/>
      </c>
      <c r="BE673" s="28"/>
      <c r="BF673" s="304" t="str">
        <f t="shared" si="529"/>
        <v/>
      </c>
      <c r="BG673" s="304" t="str">
        <f t="shared" si="529"/>
        <v/>
      </c>
      <c r="BH673" s="28"/>
      <c r="BI673" s="304" t="str">
        <f t="shared" si="530"/>
        <v/>
      </c>
      <c r="BJ673" s="304" t="str">
        <f t="shared" si="530"/>
        <v/>
      </c>
      <c r="BK673" s="28"/>
      <c r="BL673" s="304" t="str">
        <f t="shared" si="531"/>
        <v/>
      </c>
      <c r="BM673" s="304" t="str">
        <f t="shared" si="531"/>
        <v/>
      </c>
      <c r="BN673" s="28"/>
      <c r="BO673" s="304" t="str">
        <f t="shared" si="532"/>
        <v/>
      </c>
      <c r="BP673" s="304" t="str">
        <f t="shared" si="532"/>
        <v/>
      </c>
      <c r="BQ673" s="28"/>
      <c r="BR673" s="304" t="str">
        <f t="shared" si="533"/>
        <v/>
      </c>
      <c r="BS673" s="304" t="str">
        <f t="shared" si="533"/>
        <v/>
      </c>
      <c r="BT673" s="28"/>
      <c r="BU673" s="304" t="str">
        <f t="shared" si="534"/>
        <v/>
      </c>
      <c r="BV673" s="304" t="str">
        <f t="shared" si="534"/>
        <v/>
      </c>
      <c r="BW673" s="28"/>
      <c r="BX673" s="91"/>
    </row>
    <row r="674" spans="1:76" s="55" customFormat="1" x14ac:dyDescent="0.25">
      <c r="A674" s="195">
        <v>12</v>
      </c>
      <c r="B674" s="216" t="str">
        <f t="shared" si="523"/>
        <v xml:space="preserve">: </v>
      </c>
      <c r="C674" s="221"/>
      <c r="D674" s="221"/>
      <c r="E674" s="221"/>
      <c r="F674" s="221"/>
      <c r="G674" s="240"/>
      <c r="H674" s="221"/>
      <c r="I674" s="240"/>
      <c r="J674" s="241"/>
      <c r="K674" s="241"/>
      <c r="L674" s="241"/>
      <c r="M674" s="225" t="s">
        <v>365</v>
      </c>
      <c r="N674" s="227"/>
      <c r="O674" s="241"/>
      <c r="P674" s="122"/>
      <c r="Q674" s="228"/>
      <c r="R674" s="231" t="str">
        <f t="shared" si="535"/>
        <v/>
      </c>
      <c r="S674" s="230" t="str">
        <f t="shared" si="524"/>
        <v/>
      </c>
      <c r="T674" s="231" t="str">
        <f>IF(OR(Q674="Y",IFERROR(R674&gt;R683+R687*$AA$35,0),IFERROR(R674&lt;R683-R687*$AA$35,0)),"",IFERROR(R674*N674,""))</f>
        <v/>
      </c>
      <c r="U674" s="232" t="str">
        <f t="shared" si="525"/>
        <v>%</v>
      </c>
      <c r="V674" s="28"/>
      <c r="W674" s="28"/>
      <c r="Y674" s="91"/>
      <c r="AO674" s="91"/>
      <c r="AP674" s="28"/>
      <c r="AQ674" s="28"/>
      <c r="AR674" s="237"/>
      <c r="AS674" s="28"/>
      <c r="AT674" s="304" t="str">
        <f t="shared" si="536"/>
        <v/>
      </c>
      <c r="AU674" s="304" t="str">
        <f t="shared" si="536"/>
        <v/>
      </c>
      <c r="AV674" s="28"/>
      <c r="AW674" s="304" t="str">
        <f t="shared" si="526"/>
        <v/>
      </c>
      <c r="AX674" s="304" t="str">
        <f t="shared" si="526"/>
        <v/>
      </c>
      <c r="AY674" s="28"/>
      <c r="AZ674" s="304" t="str">
        <f t="shared" si="527"/>
        <v/>
      </c>
      <c r="BA674" s="304" t="str">
        <f t="shared" si="527"/>
        <v/>
      </c>
      <c r="BB674" s="28"/>
      <c r="BC674" s="304" t="str">
        <f t="shared" si="528"/>
        <v/>
      </c>
      <c r="BD674" s="304" t="str">
        <f t="shared" si="528"/>
        <v/>
      </c>
      <c r="BE674" s="28"/>
      <c r="BF674" s="304" t="str">
        <f t="shared" si="529"/>
        <v/>
      </c>
      <c r="BG674" s="304" t="str">
        <f t="shared" si="529"/>
        <v/>
      </c>
      <c r="BH674" s="28"/>
      <c r="BI674" s="304" t="str">
        <f t="shared" si="530"/>
        <v/>
      </c>
      <c r="BJ674" s="304" t="str">
        <f t="shared" si="530"/>
        <v/>
      </c>
      <c r="BK674" s="28"/>
      <c r="BL674" s="304" t="str">
        <f t="shared" si="531"/>
        <v/>
      </c>
      <c r="BM674" s="304" t="str">
        <f t="shared" si="531"/>
        <v/>
      </c>
      <c r="BN674" s="28"/>
      <c r="BO674" s="304" t="str">
        <f t="shared" si="532"/>
        <v/>
      </c>
      <c r="BP674" s="304" t="str">
        <f t="shared" si="532"/>
        <v/>
      </c>
      <c r="BQ674" s="28"/>
      <c r="BR674" s="304" t="str">
        <f t="shared" si="533"/>
        <v/>
      </c>
      <c r="BS674" s="304" t="str">
        <f t="shared" si="533"/>
        <v/>
      </c>
      <c r="BT674" s="28"/>
      <c r="BU674" s="304" t="str">
        <f t="shared" si="534"/>
        <v/>
      </c>
      <c r="BV674" s="304" t="str">
        <f t="shared" si="534"/>
        <v/>
      </c>
      <c r="BW674" s="28"/>
      <c r="BX674" s="91"/>
    </row>
    <row r="675" spans="1:76" s="55" customFormat="1" x14ac:dyDescent="0.25">
      <c r="A675" s="195">
        <v>13</v>
      </c>
      <c r="B675" s="216" t="str">
        <f t="shared" si="523"/>
        <v xml:space="preserve">: </v>
      </c>
      <c r="C675" s="221"/>
      <c r="D675" s="221"/>
      <c r="E675" s="221"/>
      <c r="F675" s="221"/>
      <c r="G675" s="240"/>
      <c r="H675" s="221"/>
      <c r="I675" s="240"/>
      <c r="J675" s="241"/>
      <c r="K675" s="241"/>
      <c r="L675" s="241"/>
      <c r="M675" s="225" t="s">
        <v>365</v>
      </c>
      <c r="N675" s="227"/>
      <c r="O675" s="241"/>
      <c r="P675" s="122"/>
      <c r="Q675" s="228"/>
      <c r="R675" s="231" t="str">
        <f t="shared" si="535"/>
        <v/>
      </c>
      <c r="S675" s="230" t="str">
        <f t="shared" si="524"/>
        <v/>
      </c>
      <c r="T675" s="231" t="str">
        <f>IF(OR(Q675="Y",IFERROR(R675&gt;R683+R687*$AA$35,0),IFERROR(R675&lt;R683-R687*$AA$35,0)),"",IFERROR(R675*N675,""))</f>
        <v/>
      </c>
      <c r="U675" s="232" t="str">
        <f t="shared" si="525"/>
        <v>%</v>
      </c>
      <c r="V675" s="28"/>
      <c r="W675" s="28"/>
      <c r="Y675" s="91"/>
      <c r="AO675" s="91"/>
      <c r="AP675" s="28"/>
      <c r="AQ675" s="28"/>
      <c r="AR675" s="237"/>
      <c r="AS675" s="28"/>
      <c r="AT675" s="304" t="str">
        <f t="shared" si="536"/>
        <v/>
      </c>
      <c r="AU675" s="304" t="str">
        <f t="shared" si="536"/>
        <v/>
      </c>
      <c r="AV675" s="28"/>
      <c r="AW675" s="304" t="str">
        <f t="shared" si="526"/>
        <v/>
      </c>
      <c r="AX675" s="304" t="str">
        <f t="shared" si="526"/>
        <v/>
      </c>
      <c r="AY675" s="28"/>
      <c r="AZ675" s="304" t="str">
        <f t="shared" si="527"/>
        <v/>
      </c>
      <c r="BA675" s="304" t="str">
        <f t="shared" si="527"/>
        <v/>
      </c>
      <c r="BB675" s="28"/>
      <c r="BC675" s="304" t="str">
        <f t="shared" si="528"/>
        <v/>
      </c>
      <c r="BD675" s="304" t="str">
        <f t="shared" si="528"/>
        <v/>
      </c>
      <c r="BE675" s="28"/>
      <c r="BF675" s="304" t="str">
        <f t="shared" si="529"/>
        <v/>
      </c>
      <c r="BG675" s="304" t="str">
        <f t="shared" si="529"/>
        <v/>
      </c>
      <c r="BH675" s="28"/>
      <c r="BI675" s="304" t="str">
        <f t="shared" si="530"/>
        <v/>
      </c>
      <c r="BJ675" s="304" t="str">
        <f t="shared" si="530"/>
        <v/>
      </c>
      <c r="BK675" s="28"/>
      <c r="BL675" s="304" t="str">
        <f t="shared" si="531"/>
        <v/>
      </c>
      <c r="BM675" s="304" t="str">
        <f t="shared" si="531"/>
        <v/>
      </c>
      <c r="BN675" s="28"/>
      <c r="BO675" s="304" t="str">
        <f t="shared" si="532"/>
        <v/>
      </c>
      <c r="BP675" s="304" t="str">
        <f t="shared" si="532"/>
        <v/>
      </c>
      <c r="BQ675" s="28"/>
      <c r="BR675" s="304" t="str">
        <f t="shared" si="533"/>
        <v/>
      </c>
      <c r="BS675" s="304" t="str">
        <f t="shared" si="533"/>
        <v/>
      </c>
      <c r="BT675" s="28"/>
      <c r="BU675" s="304" t="str">
        <f t="shared" si="534"/>
        <v/>
      </c>
      <c r="BV675" s="304" t="str">
        <f t="shared" si="534"/>
        <v/>
      </c>
      <c r="BW675" s="28"/>
      <c r="BX675" s="91"/>
    </row>
    <row r="676" spans="1:76" s="55" customFormat="1" x14ac:dyDescent="0.25">
      <c r="A676" s="195">
        <v>14</v>
      </c>
      <c r="B676" s="216" t="str">
        <f t="shared" si="523"/>
        <v xml:space="preserve">: </v>
      </c>
      <c r="C676" s="221"/>
      <c r="D676" s="221"/>
      <c r="E676" s="221"/>
      <c r="F676" s="221"/>
      <c r="G676" s="240"/>
      <c r="H676" s="221"/>
      <c r="I676" s="240"/>
      <c r="J676" s="241"/>
      <c r="K676" s="241"/>
      <c r="L676" s="241"/>
      <c r="M676" s="225" t="s">
        <v>365</v>
      </c>
      <c r="N676" s="227"/>
      <c r="O676" s="241"/>
      <c r="P676" s="122"/>
      <c r="Q676" s="228"/>
      <c r="R676" s="231" t="str">
        <f t="shared" si="535"/>
        <v/>
      </c>
      <c r="S676" s="230" t="str">
        <f t="shared" si="524"/>
        <v/>
      </c>
      <c r="T676" s="231" t="str">
        <f>IF(OR(Q676="Y",IFERROR(R676&gt;R683+R687*$AA$35,0),IFERROR(R676&lt;R683-R687*$AA$35,0)),"",IFERROR(R676*N676,""))</f>
        <v/>
      </c>
      <c r="U676" s="232" t="str">
        <f t="shared" si="525"/>
        <v>%</v>
      </c>
      <c r="V676" s="28"/>
      <c r="W676" s="28"/>
      <c r="Y676" s="91"/>
      <c r="AO676" s="91"/>
      <c r="AP676" s="28"/>
      <c r="AQ676" s="28"/>
      <c r="AR676" s="237"/>
      <c r="AS676" s="28"/>
      <c r="AT676" s="304" t="str">
        <f t="shared" si="536"/>
        <v/>
      </c>
      <c r="AU676" s="304" t="str">
        <f t="shared" si="536"/>
        <v/>
      </c>
      <c r="AV676" s="28"/>
      <c r="AW676" s="304" t="str">
        <f t="shared" si="526"/>
        <v/>
      </c>
      <c r="AX676" s="304" t="str">
        <f t="shared" si="526"/>
        <v/>
      </c>
      <c r="AY676" s="28"/>
      <c r="AZ676" s="304" t="str">
        <f t="shared" si="527"/>
        <v/>
      </c>
      <c r="BA676" s="304" t="str">
        <f t="shared" si="527"/>
        <v/>
      </c>
      <c r="BB676" s="28"/>
      <c r="BC676" s="304" t="str">
        <f t="shared" si="528"/>
        <v/>
      </c>
      <c r="BD676" s="304" t="str">
        <f t="shared" si="528"/>
        <v/>
      </c>
      <c r="BE676" s="28"/>
      <c r="BF676" s="304" t="str">
        <f t="shared" si="529"/>
        <v/>
      </c>
      <c r="BG676" s="304" t="str">
        <f t="shared" si="529"/>
        <v/>
      </c>
      <c r="BH676" s="28"/>
      <c r="BI676" s="304" t="str">
        <f t="shared" si="530"/>
        <v/>
      </c>
      <c r="BJ676" s="304" t="str">
        <f t="shared" si="530"/>
        <v/>
      </c>
      <c r="BK676" s="28"/>
      <c r="BL676" s="304" t="str">
        <f t="shared" si="531"/>
        <v/>
      </c>
      <c r="BM676" s="304" t="str">
        <f t="shared" si="531"/>
        <v/>
      </c>
      <c r="BN676" s="28"/>
      <c r="BO676" s="304" t="str">
        <f t="shared" si="532"/>
        <v/>
      </c>
      <c r="BP676" s="304" t="str">
        <f t="shared" si="532"/>
        <v/>
      </c>
      <c r="BQ676" s="28"/>
      <c r="BR676" s="304" t="str">
        <f t="shared" si="533"/>
        <v/>
      </c>
      <c r="BS676" s="304" t="str">
        <f t="shared" si="533"/>
        <v/>
      </c>
      <c r="BT676" s="28"/>
      <c r="BU676" s="304" t="str">
        <f t="shared" si="534"/>
        <v/>
      </c>
      <c r="BV676" s="304" t="str">
        <f t="shared" si="534"/>
        <v/>
      </c>
      <c r="BW676" s="28"/>
      <c r="BX676" s="91"/>
    </row>
    <row r="677" spans="1:76" s="55" customFormat="1" x14ac:dyDescent="0.25">
      <c r="A677" s="195">
        <v>15</v>
      </c>
      <c r="B677" s="216" t="str">
        <f t="shared" si="523"/>
        <v xml:space="preserve">: </v>
      </c>
      <c r="C677" s="221"/>
      <c r="D677" s="221"/>
      <c r="E677" s="221"/>
      <c r="F677" s="221"/>
      <c r="G677" s="240"/>
      <c r="H677" s="221"/>
      <c r="I677" s="240"/>
      <c r="J677" s="241"/>
      <c r="K677" s="241"/>
      <c r="L677" s="241"/>
      <c r="M677" s="225" t="s">
        <v>365</v>
      </c>
      <c r="N677" s="227"/>
      <c r="O677" s="241"/>
      <c r="P677" s="122"/>
      <c r="Q677" s="228"/>
      <c r="R677" s="231" t="str">
        <f t="shared" si="535"/>
        <v/>
      </c>
      <c r="S677" s="230" t="str">
        <f t="shared" si="524"/>
        <v/>
      </c>
      <c r="T677" s="231" t="str">
        <f>IF(OR(Q677="Y",IFERROR(R677&gt;R683+R687*$AA$35,0),IFERROR(R677&lt;R683-R687*$AA$35,0)),"",IFERROR(R677*N677,""))</f>
        <v/>
      </c>
      <c r="U677" s="232" t="str">
        <f t="shared" si="525"/>
        <v>%</v>
      </c>
      <c r="V677" s="28"/>
      <c r="W677" s="28"/>
      <c r="Y677" s="91"/>
      <c r="AO677" s="91"/>
      <c r="AP677" s="28"/>
      <c r="AQ677" s="28"/>
      <c r="AR677" s="237"/>
      <c r="AS677" s="28"/>
      <c r="AT677" s="304" t="str">
        <f t="shared" si="536"/>
        <v/>
      </c>
      <c r="AU677" s="304" t="str">
        <f t="shared" si="536"/>
        <v/>
      </c>
      <c r="AV677" s="28"/>
      <c r="AW677" s="304" t="str">
        <f t="shared" si="526"/>
        <v/>
      </c>
      <c r="AX677" s="304" t="str">
        <f t="shared" si="526"/>
        <v/>
      </c>
      <c r="AY677" s="28"/>
      <c r="AZ677" s="304" t="str">
        <f t="shared" si="527"/>
        <v/>
      </c>
      <c r="BA677" s="304" t="str">
        <f t="shared" si="527"/>
        <v/>
      </c>
      <c r="BB677" s="28"/>
      <c r="BC677" s="304" t="str">
        <f t="shared" si="528"/>
        <v/>
      </c>
      <c r="BD677" s="304" t="str">
        <f t="shared" si="528"/>
        <v/>
      </c>
      <c r="BE677" s="28"/>
      <c r="BF677" s="304" t="str">
        <f t="shared" si="529"/>
        <v/>
      </c>
      <c r="BG677" s="304" t="str">
        <f t="shared" si="529"/>
        <v/>
      </c>
      <c r="BH677" s="28"/>
      <c r="BI677" s="304" t="str">
        <f t="shared" si="530"/>
        <v/>
      </c>
      <c r="BJ677" s="304" t="str">
        <f t="shared" si="530"/>
        <v/>
      </c>
      <c r="BK677" s="28"/>
      <c r="BL677" s="304" t="str">
        <f t="shared" si="531"/>
        <v/>
      </c>
      <c r="BM677" s="304" t="str">
        <f t="shared" si="531"/>
        <v/>
      </c>
      <c r="BN677" s="28"/>
      <c r="BO677" s="304" t="str">
        <f t="shared" si="532"/>
        <v/>
      </c>
      <c r="BP677" s="304" t="str">
        <f t="shared" si="532"/>
        <v/>
      </c>
      <c r="BQ677" s="28"/>
      <c r="BR677" s="304" t="str">
        <f t="shared" si="533"/>
        <v/>
      </c>
      <c r="BS677" s="304" t="str">
        <f t="shared" si="533"/>
        <v/>
      </c>
      <c r="BT677" s="28"/>
      <c r="BU677" s="304" t="str">
        <f t="shared" si="534"/>
        <v/>
      </c>
      <c r="BV677" s="304" t="str">
        <f t="shared" si="534"/>
        <v/>
      </c>
      <c r="BW677" s="28"/>
      <c r="BX677" s="91"/>
    </row>
    <row r="678" spans="1:76" s="55" customFormat="1" x14ac:dyDescent="0.25">
      <c r="A678" s="195">
        <v>16</v>
      </c>
      <c r="B678" s="216" t="str">
        <f t="shared" si="523"/>
        <v xml:space="preserve">: </v>
      </c>
      <c r="C678" s="221"/>
      <c r="D678" s="221"/>
      <c r="E678" s="221"/>
      <c r="F678" s="221"/>
      <c r="G678" s="240"/>
      <c r="H678" s="221"/>
      <c r="I678" s="240"/>
      <c r="J678" s="241"/>
      <c r="K678" s="241"/>
      <c r="L678" s="241"/>
      <c r="M678" s="225" t="s">
        <v>365</v>
      </c>
      <c r="N678" s="227"/>
      <c r="O678" s="241"/>
      <c r="P678" s="122"/>
      <c r="Q678" s="228"/>
      <c r="R678" s="231" t="str">
        <f t="shared" si="535"/>
        <v/>
      </c>
      <c r="S678" s="230" t="str">
        <f t="shared" si="524"/>
        <v/>
      </c>
      <c r="T678" s="231" t="str">
        <f>IF(OR(Q678="Y",IFERROR(R678&gt;R683+R687*$AA$35,0),IFERROR(R678&lt;R683-R687*$AA$35,0)),"",IFERROR(R678*N678,""))</f>
        <v/>
      </c>
      <c r="U678" s="232" t="str">
        <f t="shared" si="525"/>
        <v>%</v>
      </c>
      <c r="V678" s="28"/>
      <c r="W678" s="28"/>
      <c r="Y678" s="91"/>
      <c r="AO678" s="91"/>
      <c r="AP678" s="28"/>
      <c r="AQ678" s="28"/>
      <c r="AR678" s="237"/>
      <c r="AS678" s="28"/>
      <c r="AT678" s="304" t="str">
        <f t="shared" si="536"/>
        <v/>
      </c>
      <c r="AU678" s="304" t="str">
        <f t="shared" si="536"/>
        <v/>
      </c>
      <c r="AV678" s="28"/>
      <c r="AW678" s="304" t="str">
        <f t="shared" si="526"/>
        <v/>
      </c>
      <c r="AX678" s="304" t="str">
        <f t="shared" si="526"/>
        <v/>
      </c>
      <c r="AY678" s="28"/>
      <c r="AZ678" s="304" t="str">
        <f t="shared" si="527"/>
        <v/>
      </c>
      <c r="BA678" s="304" t="str">
        <f t="shared" si="527"/>
        <v/>
      </c>
      <c r="BB678" s="28"/>
      <c r="BC678" s="304" t="str">
        <f t="shared" si="528"/>
        <v/>
      </c>
      <c r="BD678" s="304" t="str">
        <f t="shared" si="528"/>
        <v/>
      </c>
      <c r="BE678" s="28"/>
      <c r="BF678" s="304" t="str">
        <f t="shared" si="529"/>
        <v/>
      </c>
      <c r="BG678" s="304" t="str">
        <f t="shared" si="529"/>
        <v/>
      </c>
      <c r="BH678" s="28"/>
      <c r="BI678" s="304" t="str">
        <f t="shared" si="530"/>
        <v/>
      </c>
      <c r="BJ678" s="304" t="str">
        <f t="shared" si="530"/>
        <v/>
      </c>
      <c r="BK678" s="28"/>
      <c r="BL678" s="304" t="str">
        <f t="shared" si="531"/>
        <v/>
      </c>
      <c r="BM678" s="304" t="str">
        <f t="shared" si="531"/>
        <v/>
      </c>
      <c r="BN678" s="28"/>
      <c r="BO678" s="304" t="str">
        <f t="shared" si="532"/>
        <v/>
      </c>
      <c r="BP678" s="304" t="str">
        <f t="shared" si="532"/>
        <v/>
      </c>
      <c r="BQ678" s="28"/>
      <c r="BR678" s="304" t="str">
        <f t="shared" si="533"/>
        <v/>
      </c>
      <c r="BS678" s="304" t="str">
        <f t="shared" si="533"/>
        <v/>
      </c>
      <c r="BT678" s="28"/>
      <c r="BU678" s="304" t="str">
        <f t="shared" si="534"/>
        <v/>
      </c>
      <c r="BV678" s="304" t="str">
        <f t="shared" si="534"/>
        <v/>
      </c>
      <c r="BW678" s="28"/>
      <c r="BX678" s="91"/>
    </row>
    <row r="679" spans="1:76" s="55" customFormat="1" x14ac:dyDescent="0.25">
      <c r="A679" s="195">
        <v>17</v>
      </c>
      <c r="B679" s="216" t="str">
        <f t="shared" si="523"/>
        <v xml:space="preserve">: </v>
      </c>
      <c r="C679" s="221"/>
      <c r="D679" s="221"/>
      <c r="E679" s="221"/>
      <c r="F679" s="221"/>
      <c r="G679" s="240"/>
      <c r="H679" s="221"/>
      <c r="I679" s="240"/>
      <c r="J679" s="241"/>
      <c r="K679" s="241"/>
      <c r="L679" s="241"/>
      <c r="M679" s="225" t="s">
        <v>365</v>
      </c>
      <c r="N679" s="227"/>
      <c r="O679" s="241"/>
      <c r="P679" s="122"/>
      <c r="Q679" s="228"/>
      <c r="R679" s="231" t="str">
        <f t="shared" si="535"/>
        <v/>
      </c>
      <c r="S679" s="230" t="str">
        <f t="shared" si="524"/>
        <v/>
      </c>
      <c r="T679" s="231" t="str">
        <f>IF(OR(Q679="Y",IFERROR(R679&gt;R683+R687*$AA$35,0),IFERROR(R679&lt;R683-R687*$AA$35,0)),"",IFERROR(R679*N679,""))</f>
        <v/>
      </c>
      <c r="U679" s="232" t="str">
        <f t="shared" si="525"/>
        <v>%</v>
      </c>
      <c r="V679" s="28"/>
      <c r="W679" s="28"/>
      <c r="Y679" s="91"/>
      <c r="AO679" s="91"/>
      <c r="AP679" s="28"/>
      <c r="AQ679" s="28"/>
      <c r="AR679" s="237"/>
      <c r="AS679" s="28"/>
      <c r="AT679" s="304" t="str">
        <f t="shared" si="536"/>
        <v/>
      </c>
      <c r="AU679" s="304" t="str">
        <f t="shared" si="536"/>
        <v/>
      </c>
      <c r="AV679" s="28"/>
      <c r="AW679" s="304" t="str">
        <f t="shared" si="526"/>
        <v/>
      </c>
      <c r="AX679" s="304" t="str">
        <f t="shared" si="526"/>
        <v/>
      </c>
      <c r="AY679" s="28"/>
      <c r="AZ679" s="304" t="str">
        <f t="shared" si="527"/>
        <v/>
      </c>
      <c r="BA679" s="304" t="str">
        <f t="shared" si="527"/>
        <v/>
      </c>
      <c r="BB679" s="28"/>
      <c r="BC679" s="304" t="str">
        <f t="shared" si="528"/>
        <v/>
      </c>
      <c r="BD679" s="304" t="str">
        <f t="shared" si="528"/>
        <v/>
      </c>
      <c r="BE679" s="28"/>
      <c r="BF679" s="304" t="str">
        <f t="shared" si="529"/>
        <v/>
      </c>
      <c r="BG679" s="304" t="str">
        <f t="shared" si="529"/>
        <v/>
      </c>
      <c r="BH679" s="28"/>
      <c r="BI679" s="304" t="str">
        <f t="shared" si="530"/>
        <v/>
      </c>
      <c r="BJ679" s="304" t="str">
        <f t="shared" si="530"/>
        <v/>
      </c>
      <c r="BK679" s="28"/>
      <c r="BL679" s="304" t="str">
        <f t="shared" si="531"/>
        <v/>
      </c>
      <c r="BM679" s="304" t="str">
        <f t="shared" si="531"/>
        <v/>
      </c>
      <c r="BN679" s="28"/>
      <c r="BO679" s="304" t="str">
        <f t="shared" si="532"/>
        <v/>
      </c>
      <c r="BP679" s="304" t="str">
        <f t="shared" si="532"/>
        <v/>
      </c>
      <c r="BQ679" s="28"/>
      <c r="BR679" s="304" t="str">
        <f t="shared" si="533"/>
        <v/>
      </c>
      <c r="BS679" s="304" t="str">
        <f t="shared" si="533"/>
        <v/>
      </c>
      <c r="BT679" s="28"/>
      <c r="BU679" s="304" t="str">
        <f t="shared" si="534"/>
        <v/>
      </c>
      <c r="BV679" s="304" t="str">
        <f t="shared" si="534"/>
        <v/>
      </c>
      <c r="BW679" s="28"/>
      <c r="BX679" s="91"/>
    </row>
    <row r="680" spans="1:76" s="55" customFormat="1" x14ac:dyDescent="0.25">
      <c r="A680" s="195">
        <v>18</v>
      </c>
      <c r="B680" s="216" t="str">
        <f t="shared" si="523"/>
        <v xml:space="preserve">: </v>
      </c>
      <c r="C680" s="221"/>
      <c r="D680" s="221"/>
      <c r="E680" s="221"/>
      <c r="F680" s="221"/>
      <c r="G680" s="240"/>
      <c r="H680" s="221"/>
      <c r="I680" s="240"/>
      <c r="J680" s="241"/>
      <c r="K680" s="241"/>
      <c r="L680" s="241"/>
      <c r="M680" s="225" t="s">
        <v>365</v>
      </c>
      <c r="N680" s="227"/>
      <c r="O680" s="241"/>
      <c r="P680" s="122"/>
      <c r="Q680" s="228"/>
      <c r="R680" s="231" t="str">
        <f t="shared" si="535"/>
        <v/>
      </c>
      <c r="S680" s="230" t="str">
        <f t="shared" si="524"/>
        <v/>
      </c>
      <c r="T680" s="231" t="str">
        <f>IF(OR(Q680="Y",IFERROR(R680&gt;R683+R687*$AA$35,0),IFERROR(R680&lt;R683-R687*$AA$35,0)),"",IFERROR(R680*N680,""))</f>
        <v/>
      </c>
      <c r="U680" s="232" t="str">
        <f t="shared" si="525"/>
        <v>%</v>
      </c>
      <c r="V680" s="28"/>
      <c r="W680" s="28"/>
      <c r="Y680" s="91"/>
      <c r="AO680" s="91"/>
      <c r="AP680" s="28"/>
      <c r="AQ680" s="28"/>
      <c r="AR680" s="237"/>
      <c r="AS680" s="28"/>
      <c r="AT680" s="304" t="str">
        <f t="shared" si="536"/>
        <v/>
      </c>
      <c r="AU680" s="304" t="str">
        <f t="shared" si="536"/>
        <v/>
      </c>
      <c r="AV680" s="28"/>
      <c r="AW680" s="304" t="str">
        <f t="shared" si="526"/>
        <v/>
      </c>
      <c r="AX680" s="304" t="str">
        <f t="shared" si="526"/>
        <v/>
      </c>
      <c r="AY680" s="28"/>
      <c r="AZ680" s="304" t="str">
        <f t="shared" si="527"/>
        <v/>
      </c>
      <c r="BA680" s="304" t="str">
        <f t="shared" si="527"/>
        <v/>
      </c>
      <c r="BB680" s="28"/>
      <c r="BC680" s="304" t="str">
        <f t="shared" si="528"/>
        <v/>
      </c>
      <c r="BD680" s="304" t="str">
        <f t="shared" si="528"/>
        <v/>
      </c>
      <c r="BE680" s="28"/>
      <c r="BF680" s="304" t="str">
        <f t="shared" si="529"/>
        <v/>
      </c>
      <c r="BG680" s="304" t="str">
        <f t="shared" si="529"/>
        <v/>
      </c>
      <c r="BH680" s="28"/>
      <c r="BI680" s="304" t="str">
        <f t="shared" si="530"/>
        <v/>
      </c>
      <c r="BJ680" s="304" t="str">
        <f t="shared" si="530"/>
        <v/>
      </c>
      <c r="BK680" s="28"/>
      <c r="BL680" s="304" t="str">
        <f t="shared" si="531"/>
        <v/>
      </c>
      <c r="BM680" s="304" t="str">
        <f t="shared" si="531"/>
        <v/>
      </c>
      <c r="BN680" s="28"/>
      <c r="BO680" s="304" t="str">
        <f t="shared" si="532"/>
        <v/>
      </c>
      <c r="BP680" s="304" t="str">
        <f t="shared" si="532"/>
        <v/>
      </c>
      <c r="BQ680" s="28"/>
      <c r="BR680" s="304" t="str">
        <f t="shared" si="533"/>
        <v/>
      </c>
      <c r="BS680" s="304" t="str">
        <f t="shared" si="533"/>
        <v/>
      </c>
      <c r="BT680" s="28"/>
      <c r="BU680" s="304" t="str">
        <f t="shared" si="534"/>
        <v/>
      </c>
      <c r="BV680" s="304" t="str">
        <f t="shared" si="534"/>
        <v/>
      </c>
      <c r="BW680" s="28"/>
      <c r="BX680" s="91"/>
    </row>
    <row r="681" spans="1:76" s="55" customFormat="1" x14ac:dyDescent="0.25">
      <c r="A681" s="195">
        <v>19</v>
      </c>
      <c r="B681" s="216" t="str">
        <f t="shared" si="523"/>
        <v xml:space="preserve">: </v>
      </c>
      <c r="C681" s="221"/>
      <c r="D681" s="221"/>
      <c r="E681" s="221"/>
      <c r="F681" s="221"/>
      <c r="G681" s="240"/>
      <c r="H681" s="221"/>
      <c r="I681" s="240"/>
      <c r="J681" s="241"/>
      <c r="K681" s="241"/>
      <c r="L681" s="241"/>
      <c r="M681" s="225" t="s">
        <v>365</v>
      </c>
      <c r="N681" s="227"/>
      <c r="O681" s="241"/>
      <c r="P681" s="122"/>
      <c r="Q681" s="228"/>
      <c r="R681" s="231" t="str">
        <f t="shared" si="535"/>
        <v/>
      </c>
      <c r="S681" s="230" t="str">
        <f t="shared" si="524"/>
        <v/>
      </c>
      <c r="T681" s="231" t="str">
        <f>IF(OR(Q681="Y",IFERROR(R681&gt;R683+R687*$AA$35,0),IFERROR(R681&lt;R683-R687*$AA$35,0)),"",IFERROR(R681*N681,""))</f>
        <v/>
      </c>
      <c r="U681" s="232" t="str">
        <f t="shared" si="525"/>
        <v>%</v>
      </c>
      <c r="V681" s="28"/>
      <c r="W681" s="28"/>
      <c r="Y681" s="91"/>
      <c r="AO681" s="91"/>
      <c r="AP681" s="28"/>
      <c r="AQ681" s="28"/>
      <c r="AR681" s="237"/>
      <c r="AS681" s="28"/>
      <c r="AT681" s="304" t="str">
        <f t="shared" si="536"/>
        <v/>
      </c>
      <c r="AU681" s="304" t="str">
        <f t="shared" si="536"/>
        <v/>
      </c>
      <c r="AV681" s="28"/>
      <c r="AW681" s="304" t="str">
        <f t="shared" si="526"/>
        <v/>
      </c>
      <c r="AX681" s="304" t="str">
        <f t="shared" si="526"/>
        <v/>
      </c>
      <c r="AY681" s="28"/>
      <c r="AZ681" s="304" t="str">
        <f t="shared" si="527"/>
        <v/>
      </c>
      <c r="BA681" s="304" t="str">
        <f t="shared" si="527"/>
        <v/>
      </c>
      <c r="BB681" s="28"/>
      <c r="BC681" s="304" t="str">
        <f t="shared" si="528"/>
        <v/>
      </c>
      <c r="BD681" s="304" t="str">
        <f t="shared" si="528"/>
        <v/>
      </c>
      <c r="BE681" s="28"/>
      <c r="BF681" s="304" t="str">
        <f t="shared" si="529"/>
        <v/>
      </c>
      <c r="BG681" s="304" t="str">
        <f t="shared" si="529"/>
        <v/>
      </c>
      <c r="BH681" s="28"/>
      <c r="BI681" s="304" t="str">
        <f t="shared" si="530"/>
        <v/>
      </c>
      <c r="BJ681" s="304" t="str">
        <f t="shared" si="530"/>
        <v/>
      </c>
      <c r="BK681" s="28"/>
      <c r="BL681" s="304" t="str">
        <f t="shared" si="531"/>
        <v/>
      </c>
      <c r="BM681" s="304" t="str">
        <f t="shared" si="531"/>
        <v/>
      </c>
      <c r="BN681" s="28"/>
      <c r="BO681" s="304" t="str">
        <f t="shared" si="532"/>
        <v/>
      </c>
      <c r="BP681" s="304" t="str">
        <f t="shared" si="532"/>
        <v/>
      </c>
      <c r="BQ681" s="28"/>
      <c r="BR681" s="304" t="str">
        <f t="shared" si="533"/>
        <v/>
      </c>
      <c r="BS681" s="304" t="str">
        <f t="shared" si="533"/>
        <v/>
      </c>
      <c r="BT681" s="28"/>
      <c r="BU681" s="304" t="str">
        <f t="shared" si="534"/>
        <v/>
      </c>
      <c r="BV681" s="304" t="str">
        <f t="shared" si="534"/>
        <v/>
      </c>
      <c r="BW681" s="28"/>
      <c r="BX681" s="91"/>
    </row>
    <row r="682" spans="1:76" s="55" customFormat="1" x14ac:dyDescent="0.25">
      <c r="A682" s="195">
        <v>20</v>
      </c>
      <c r="B682" s="216" t="str">
        <f t="shared" si="523"/>
        <v xml:space="preserve">: </v>
      </c>
      <c r="C682" s="221"/>
      <c r="D682" s="221"/>
      <c r="E682" s="221"/>
      <c r="F682" s="221"/>
      <c r="G682" s="240"/>
      <c r="H682" s="221"/>
      <c r="I682" s="240"/>
      <c r="J682" s="241"/>
      <c r="K682" s="241"/>
      <c r="L682" s="241"/>
      <c r="M682" s="225" t="s">
        <v>365</v>
      </c>
      <c r="N682" s="227"/>
      <c r="O682" s="241"/>
      <c r="P682" s="122"/>
      <c r="Q682" s="228"/>
      <c r="R682" s="231" t="str">
        <f t="shared" si="535"/>
        <v/>
      </c>
      <c r="S682" s="230" t="str">
        <f t="shared" si="524"/>
        <v/>
      </c>
      <c r="T682" s="231" t="str">
        <f>IF(OR(Q682="Y",IFERROR(R682&gt;R683+R687*$AA$35,0),IFERROR(R682&lt;R683-R687*$AA$35,0)),"",IFERROR(R682*N682,""))</f>
        <v/>
      </c>
      <c r="U682" s="232" t="str">
        <f t="shared" si="525"/>
        <v>%</v>
      </c>
      <c r="V682" s="28"/>
      <c r="W682" s="28"/>
      <c r="Y682" s="91"/>
      <c r="AO682" s="91"/>
      <c r="AP682" s="28"/>
      <c r="AQ682" s="28"/>
      <c r="AR682" s="237"/>
      <c r="AS682" s="28"/>
      <c r="AT682" s="304" t="str">
        <f t="shared" si="536"/>
        <v/>
      </c>
      <c r="AU682" s="304" t="str">
        <f t="shared" si="536"/>
        <v/>
      </c>
      <c r="AV682" s="28"/>
      <c r="AW682" s="304" t="str">
        <f t="shared" si="526"/>
        <v/>
      </c>
      <c r="AX682" s="304" t="str">
        <f t="shared" si="526"/>
        <v/>
      </c>
      <c r="AY682" s="28"/>
      <c r="AZ682" s="304" t="str">
        <f t="shared" si="527"/>
        <v/>
      </c>
      <c r="BA682" s="304" t="str">
        <f t="shared" si="527"/>
        <v/>
      </c>
      <c r="BB682" s="28"/>
      <c r="BC682" s="304" t="str">
        <f t="shared" si="528"/>
        <v/>
      </c>
      <c r="BD682" s="304" t="str">
        <f t="shared" si="528"/>
        <v/>
      </c>
      <c r="BE682" s="28"/>
      <c r="BF682" s="304" t="str">
        <f t="shared" si="529"/>
        <v/>
      </c>
      <c r="BG682" s="304" t="str">
        <f t="shared" si="529"/>
        <v/>
      </c>
      <c r="BH682" s="28"/>
      <c r="BI682" s="304" t="str">
        <f t="shared" si="530"/>
        <v/>
      </c>
      <c r="BJ682" s="304" t="str">
        <f t="shared" si="530"/>
        <v/>
      </c>
      <c r="BK682" s="28"/>
      <c r="BL682" s="304" t="str">
        <f t="shared" si="531"/>
        <v/>
      </c>
      <c r="BM682" s="304" t="str">
        <f t="shared" si="531"/>
        <v/>
      </c>
      <c r="BN682" s="28"/>
      <c r="BO682" s="304" t="str">
        <f t="shared" si="532"/>
        <v/>
      </c>
      <c r="BP682" s="304" t="str">
        <f t="shared" si="532"/>
        <v/>
      </c>
      <c r="BQ682" s="28"/>
      <c r="BR682" s="304" t="str">
        <f t="shared" si="533"/>
        <v/>
      </c>
      <c r="BS682" s="304" t="str">
        <f t="shared" si="533"/>
        <v/>
      </c>
      <c r="BT682" s="28"/>
      <c r="BU682" s="304" t="str">
        <f t="shared" si="534"/>
        <v/>
      </c>
      <c r="BV682" s="304" t="str">
        <f t="shared" si="534"/>
        <v/>
      </c>
      <c r="BW682" s="28"/>
      <c r="BX682" s="91"/>
    </row>
    <row r="683" spans="1:76" s="55" customFormat="1" x14ac:dyDescent="0.25">
      <c r="A683" s="195"/>
      <c r="B683" s="244" t="s">
        <v>163</v>
      </c>
      <c r="C683" s="199"/>
      <c r="D683" s="199"/>
      <c r="E683" s="199"/>
      <c r="F683" s="199"/>
      <c r="G683" s="122"/>
      <c r="H683" s="28"/>
      <c r="I683" s="245"/>
      <c r="J683" s="122"/>
      <c r="K683" s="122"/>
      <c r="L683" s="122" t="s">
        <v>134</v>
      </c>
      <c r="M683" s="122"/>
      <c r="N683" s="122"/>
      <c r="O683" s="122"/>
      <c r="P683" s="122"/>
      <c r="Q683" s="305" t="s">
        <v>136</v>
      </c>
      <c r="R683" s="246" t="e">
        <f>AVERAGE(R663:R682)</f>
        <v>#DIV/0!</v>
      </c>
      <c r="S683" s="247" t="e">
        <f>IF(R691="Y",SUM(S663:S682)/SUMPRODUCT(N663:N682,--ISNUMBER(S663:S682)),AVERAGE(S663:S682))</f>
        <v>#DIV/0!</v>
      </c>
      <c r="T683" s="248" t="e">
        <f>SUM(T663:T682)/SUMPRODUCT(N663:N682,--ISNUMBER(T663:T682))</f>
        <v>#DIV/0!</v>
      </c>
      <c r="U683" s="28"/>
      <c r="V683" s="28"/>
      <c r="W683" s="28"/>
      <c r="Y683" s="249"/>
      <c r="AO683" s="91"/>
      <c r="AP683" s="28"/>
      <c r="AQ683" s="28"/>
      <c r="AR683" s="28"/>
      <c r="AS683" s="245" t="s">
        <v>136</v>
      </c>
      <c r="AT683" s="307" t="e">
        <f>AVERAGE(AT663:AT682)</f>
        <v>#DIV/0!</v>
      </c>
      <c r="AU683" s="307" t="e">
        <f>SUM(AU663:AU682)/COUNTIF(AU663:AU682,"&gt;0")</f>
        <v>#DIV/0!</v>
      </c>
      <c r="AV683" s="245"/>
      <c r="AW683" s="307" t="e">
        <f>AVERAGE(AW663:AW682)</f>
        <v>#DIV/0!</v>
      </c>
      <c r="AX683" s="307" t="e">
        <f>SUM(AX663:AX682)/COUNTIF(AX663:AX682,"&gt;0")</f>
        <v>#DIV/0!</v>
      </c>
      <c r="AY683" s="28"/>
      <c r="AZ683" s="307" t="e">
        <f>AVERAGE(AZ663:AZ682)</f>
        <v>#DIV/0!</v>
      </c>
      <c r="BA683" s="307" t="e">
        <f>SUM(BA663:BA682)/COUNTIF(BA663:BA682,"&gt;0")</f>
        <v>#DIV/0!</v>
      </c>
      <c r="BB683" s="28"/>
      <c r="BC683" s="307" t="e">
        <f>AVERAGE(BC663:BC682)</f>
        <v>#DIV/0!</v>
      </c>
      <c r="BD683" s="307" t="e">
        <f>SUM(BD663:BD682)/COUNTIF(BD663:BD682,"&gt;0")</f>
        <v>#DIV/0!</v>
      </c>
      <c r="BE683" s="28"/>
      <c r="BF683" s="307" t="e">
        <f>AVERAGE(BF663:BF682)</f>
        <v>#DIV/0!</v>
      </c>
      <c r="BG683" s="307" t="e">
        <f>SUM(BG663:BG682)/COUNTIF(BG663:BG682,"&gt;0")</f>
        <v>#DIV/0!</v>
      </c>
      <c r="BH683" s="28"/>
      <c r="BI683" s="307" t="e">
        <f>AVERAGE(BI663:BI682)</f>
        <v>#DIV/0!</v>
      </c>
      <c r="BJ683" s="307" t="e">
        <f>SUM(BJ663:BJ682)/COUNTIF(BJ663:BJ682,"&gt;0")</f>
        <v>#DIV/0!</v>
      </c>
      <c r="BK683" s="245"/>
      <c r="BL683" s="307" t="e">
        <f>AVERAGE(BL663:BL682)</f>
        <v>#DIV/0!</v>
      </c>
      <c r="BM683" s="307" t="e">
        <f>SUM(BM663:BM682)/COUNTIF(BM663:BM682,"&gt;0")</f>
        <v>#DIV/0!</v>
      </c>
      <c r="BN683" s="28"/>
      <c r="BO683" s="307" t="e">
        <f>AVERAGE(BO663:BO682)</f>
        <v>#DIV/0!</v>
      </c>
      <c r="BP683" s="307" t="e">
        <f>SUM(BP663:BP682)/COUNTIF(BP663:BP682,"&gt;0")</f>
        <v>#DIV/0!</v>
      </c>
      <c r="BQ683" s="28"/>
      <c r="BR683" s="307" t="e">
        <f>AVERAGE(BR663:BR682)</f>
        <v>#DIV/0!</v>
      </c>
      <c r="BS683" s="307" t="e">
        <f>SUM(BS663:BS682)/COUNTIF(BS663:BS682,"&gt;0")</f>
        <v>#DIV/0!</v>
      </c>
      <c r="BT683" s="28"/>
      <c r="BU683" s="307" t="e">
        <f>AVERAGE(BU663:BU682)</f>
        <v>#DIV/0!</v>
      </c>
      <c r="BV683" s="307" t="e">
        <f>SUM(BV663:BV682)/COUNTIF(BV663:BV682,"&gt;0")</f>
        <v>#DIV/0!</v>
      </c>
      <c r="BW683" s="28"/>
      <c r="BX683" s="91"/>
    </row>
    <row r="684" spans="1:76" s="55" customFormat="1" x14ac:dyDescent="0.25">
      <c r="A684" s="195"/>
      <c r="B684" s="244" t="s">
        <v>164</v>
      </c>
      <c r="C684" s="199" t="s">
        <v>139</v>
      </c>
      <c r="D684" s="252"/>
      <c r="E684" s="253"/>
      <c r="F684" s="253"/>
      <c r="G684" s="253"/>
      <c r="H684" s="253"/>
      <c r="I684" s="253"/>
      <c r="J684" s="254"/>
      <c r="K684" s="122"/>
      <c r="L684" s="122"/>
      <c r="M684" s="122"/>
      <c r="N684" s="122"/>
      <c r="O684" s="122"/>
      <c r="P684" s="122"/>
      <c r="Q684" s="306" t="s">
        <v>144</v>
      </c>
      <c r="R684" s="257" t="e">
        <f>R683+U684*R687</f>
        <v>#DIV/0!</v>
      </c>
      <c r="S684" s="257" t="e">
        <f>S683+U684*S687</f>
        <v>#DIV/0!</v>
      </c>
      <c r="T684" s="257" t="e">
        <f>T683+U684*T687</f>
        <v>#DIV/0!</v>
      </c>
      <c r="U684" s="258">
        <v>1</v>
      </c>
      <c r="V684" s="122" t="s">
        <v>142</v>
      </c>
      <c r="W684" s="28"/>
      <c r="X684" s="259" t="s">
        <v>143</v>
      </c>
      <c r="Y684" s="260"/>
      <c r="AO684" s="91"/>
      <c r="AP684" s="28"/>
      <c r="AQ684" s="28"/>
      <c r="AR684" s="28"/>
      <c r="AS684" s="256" t="s">
        <v>144</v>
      </c>
      <c r="AT684" s="261" t="e">
        <f>AT683+(AT689*AT686)</f>
        <v>#DIV/0!</v>
      </c>
      <c r="AU684" s="261" t="e">
        <f>AU683+(AU689*AT686)</f>
        <v>#DIV/0!</v>
      </c>
      <c r="AV684" s="256"/>
      <c r="AW684" s="261" t="e">
        <f>AW683+(AW689*AW686)</f>
        <v>#DIV/0!</v>
      </c>
      <c r="AX684" s="261" t="e">
        <f>AX683+(AX689*AW686)</f>
        <v>#DIV/0!</v>
      </c>
      <c r="AY684" s="28"/>
      <c r="AZ684" s="261" t="e">
        <f>AZ683+(AZ689*AZ686)</f>
        <v>#DIV/0!</v>
      </c>
      <c r="BA684" s="261" t="e">
        <f>BA683+(BA689*AZ686)</f>
        <v>#DIV/0!</v>
      </c>
      <c r="BB684" s="28"/>
      <c r="BC684" s="261" t="e">
        <f>BC683+(BC689*BC686)</f>
        <v>#DIV/0!</v>
      </c>
      <c r="BD684" s="261" t="e">
        <f>BD683+(BD689*BC686)</f>
        <v>#DIV/0!</v>
      </c>
      <c r="BE684" s="28"/>
      <c r="BF684" s="261" t="e">
        <f>BF683+(BF689*BF686)</f>
        <v>#DIV/0!</v>
      </c>
      <c r="BG684" s="261" t="e">
        <f>BG683+(BG689*BF686)</f>
        <v>#DIV/0!</v>
      </c>
      <c r="BH684" s="28"/>
      <c r="BI684" s="261" t="e">
        <f>BI683+(BI689*BI686)</f>
        <v>#DIV/0!</v>
      </c>
      <c r="BJ684" s="261" t="e">
        <f>BJ683+(BJ689*BI686)</f>
        <v>#DIV/0!</v>
      </c>
      <c r="BK684" s="256"/>
      <c r="BL684" s="261" t="e">
        <f>BL683+(BL689*BL686)</f>
        <v>#DIV/0!</v>
      </c>
      <c r="BM684" s="261" t="e">
        <f>BM683+(BM689*BL686)</f>
        <v>#DIV/0!</v>
      </c>
      <c r="BN684" s="28"/>
      <c r="BO684" s="261" t="e">
        <f>BO683+(BO689*BO686)</f>
        <v>#DIV/0!</v>
      </c>
      <c r="BP684" s="261" t="e">
        <f>BP683+(BP689*BO686)</f>
        <v>#DIV/0!</v>
      </c>
      <c r="BQ684" s="28"/>
      <c r="BR684" s="261" t="e">
        <f>BR683+(BR689*BR686)</f>
        <v>#DIV/0!</v>
      </c>
      <c r="BS684" s="261" t="e">
        <f>BS683+(BS689*BR686)</f>
        <v>#DIV/0!</v>
      </c>
      <c r="BT684" s="28"/>
      <c r="BU684" s="261" t="e">
        <f>BU683+(BU689*BU686)</f>
        <v>#DIV/0!</v>
      </c>
      <c r="BV684" s="261" t="e">
        <f>BV683+(BV689*BU686)</f>
        <v>#DIV/0!</v>
      </c>
      <c r="BW684" s="28"/>
      <c r="BX684" s="91"/>
    </row>
    <row r="685" spans="1:76" s="55" customFormat="1" x14ac:dyDescent="0.25">
      <c r="A685" s="195"/>
      <c r="B685" s="244" t="s">
        <v>165</v>
      </c>
      <c r="C685" s="195"/>
      <c r="D685" s="263"/>
      <c r="E685" s="264"/>
      <c r="F685" s="264"/>
      <c r="G685" s="264"/>
      <c r="H685" s="264"/>
      <c r="I685" s="264"/>
      <c r="J685" s="265"/>
      <c r="K685" s="28"/>
      <c r="L685" s="28"/>
      <c r="M685" s="122"/>
      <c r="N685" s="122"/>
      <c r="O685" s="122"/>
      <c r="P685" s="122"/>
      <c r="Q685" s="306" t="s">
        <v>150</v>
      </c>
      <c r="R685" s="257" t="e">
        <f>IF($X685="Y",MIN(R663:R682),R683-$U685*R687)</f>
        <v>#DIV/0!</v>
      </c>
      <c r="S685" s="257" t="e">
        <f t="shared" ref="S685:T685" si="537">IF($X685="Y",MIN(S663:S682),S683-$U685*S687)</f>
        <v>#DIV/0!</v>
      </c>
      <c r="T685" s="257" t="e">
        <f t="shared" si="537"/>
        <v>#DIV/0!</v>
      </c>
      <c r="U685" s="258">
        <v>1</v>
      </c>
      <c r="V685" s="122" t="s">
        <v>148</v>
      </c>
      <c r="W685" s="28"/>
      <c r="X685" s="266" t="s">
        <v>149</v>
      </c>
      <c r="Y685" s="260"/>
      <c r="AO685" s="91"/>
      <c r="AP685" s="28"/>
      <c r="AQ685" s="28"/>
      <c r="AR685" s="28"/>
      <c r="AS685" s="256" t="s">
        <v>150</v>
      </c>
      <c r="AT685" s="261" t="e">
        <f>AT683-(AT689*AT687)</f>
        <v>#DIV/0!</v>
      </c>
      <c r="AU685" s="261" t="e">
        <f>AU683-(AU689*AT687)</f>
        <v>#DIV/0!</v>
      </c>
      <c r="AV685" s="256"/>
      <c r="AW685" s="261" t="e">
        <f>AW683-(AW689*AW687)</f>
        <v>#DIV/0!</v>
      </c>
      <c r="AX685" s="261" t="e">
        <f>AX683-(AX689*AW687)</f>
        <v>#DIV/0!</v>
      </c>
      <c r="AY685" s="28"/>
      <c r="AZ685" s="261" t="e">
        <f>AZ683-(AZ689*AZ687)</f>
        <v>#DIV/0!</v>
      </c>
      <c r="BA685" s="261" t="e">
        <f>BA683-(BA689*AZ687)</f>
        <v>#DIV/0!</v>
      </c>
      <c r="BB685" s="28"/>
      <c r="BC685" s="261" t="e">
        <f>BC683-(BC689*BC687)</f>
        <v>#DIV/0!</v>
      </c>
      <c r="BD685" s="261" t="e">
        <f>BD683-(BD689*BC687)</f>
        <v>#DIV/0!</v>
      </c>
      <c r="BE685" s="28"/>
      <c r="BF685" s="261" t="e">
        <f>BF683-(BF689*BF687)</f>
        <v>#DIV/0!</v>
      </c>
      <c r="BG685" s="261" t="e">
        <f>BG683-(BG689*BF687)</f>
        <v>#DIV/0!</v>
      </c>
      <c r="BH685" s="28"/>
      <c r="BI685" s="261" t="e">
        <f>BI683-(BI689*BI687)</f>
        <v>#DIV/0!</v>
      </c>
      <c r="BJ685" s="261" t="e">
        <f>BJ683-(BJ689*BI687)</f>
        <v>#DIV/0!</v>
      </c>
      <c r="BK685" s="256"/>
      <c r="BL685" s="261" t="e">
        <f>BL683-(BL689*BL687)</f>
        <v>#DIV/0!</v>
      </c>
      <c r="BM685" s="261" t="e">
        <f>BM683-(BM689*BL687)</f>
        <v>#DIV/0!</v>
      </c>
      <c r="BN685" s="28"/>
      <c r="BO685" s="261" t="e">
        <f>BO683-(BO689*BO687)</f>
        <v>#DIV/0!</v>
      </c>
      <c r="BP685" s="261" t="e">
        <f>BP683-(BP689*BO687)</f>
        <v>#DIV/0!</v>
      </c>
      <c r="BQ685" s="28"/>
      <c r="BR685" s="261" t="e">
        <f>BR683-(BR689*BR687)</f>
        <v>#DIV/0!</v>
      </c>
      <c r="BS685" s="261" t="e">
        <f>BS683-(BS689*BR687)</f>
        <v>#DIV/0!</v>
      </c>
      <c r="BT685" s="28"/>
      <c r="BU685" s="261" t="e">
        <f>BU683-(BU689*BU687)</f>
        <v>#DIV/0!</v>
      </c>
      <c r="BV685" s="261" t="e">
        <f>BV683-(BV689*BU687)</f>
        <v>#DIV/0!</v>
      </c>
      <c r="BW685" s="28"/>
      <c r="BX685" s="91"/>
    </row>
    <row r="686" spans="1:76" s="55" customFormat="1" ht="14.25" x14ac:dyDescent="0.2">
      <c r="A686" s="195"/>
      <c r="B686" s="196"/>
      <c r="C686" s="195"/>
      <c r="D686" s="263"/>
      <c r="E686" s="264"/>
      <c r="F686" s="264"/>
      <c r="G686" s="264"/>
      <c r="H686" s="264"/>
      <c r="I686" s="264"/>
      <c r="J686" s="265"/>
      <c r="K686" s="122"/>
      <c r="L686" s="122"/>
      <c r="M686" s="122"/>
      <c r="N686" s="122"/>
      <c r="O686" s="122"/>
      <c r="P686" s="122"/>
      <c r="Q686" s="306" t="s">
        <v>151</v>
      </c>
      <c r="R686" s="257" t="e">
        <f>IF((0.67*R687)&gt;R683,"no","yes")</f>
        <v>#DIV/0!</v>
      </c>
      <c r="S686" s="257" t="e">
        <f>IF((0.67*S687)&gt;S683,"no","yes")</f>
        <v>#DIV/0!</v>
      </c>
      <c r="T686" s="257" t="e">
        <f>IF((0.67*T687)&gt;T683,"no","yes")</f>
        <v>#DIV/0!</v>
      </c>
      <c r="U686" s="122"/>
      <c r="V686" s="122"/>
      <c r="W686" s="122"/>
      <c r="Y686" s="260"/>
      <c r="AO686" s="91"/>
      <c r="AP686" s="122"/>
      <c r="AQ686" s="122"/>
      <c r="AR686" s="267" t="s">
        <v>152</v>
      </c>
      <c r="AS686" s="268"/>
      <c r="AT686" s="258">
        <v>1</v>
      </c>
      <c r="AU686" s="122"/>
      <c r="AV686" s="308"/>
      <c r="AW686" s="258">
        <v>1</v>
      </c>
      <c r="AX686" s="122"/>
      <c r="AY686" s="122"/>
      <c r="AZ686" s="258">
        <v>1</v>
      </c>
      <c r="BA686" s="122"/>
      <c r="BB686" s="122"/>
      <c r="BC686" s="258">
        <v>1</v>
      </c>
      <c r="BD686" s="122"/>
      <c r="BE686" s="122"/>
      <c r="BF686" s="258">
        <v>1</v>
      </c>
      <c r="BG686" s="122"/>
      <c r="BH686" s="122"/>
      <c r="BI686" s="258">
        <v>1</v>
      </c>
      <c r="BJ686" s="122"/>
      <c r="BK686" s="256"/>
      <c r="BL686" s="258">
        <v>1</v>
      </c>
      <c r="BM686" s="122"/>
      <c r="BN686" s="122"/>
      <c r="BO686" s="258">
        <v>1</v>
      </c>
      <c r="BP686" s="122"/>
      <c r="BQ686" s="122"/>
      <c r="BR686" s="258">
        <v>1</v>
      </c>
      <c r="BS686" s="122"/>
      <c r="BT686" s="122"/>
      <c r="BU686" s="258">
        <v>1</v>
      </c>
      <c r="BV686" s="122"/>
      <c r="BW686" s="122"/>
      <c r="BX686" s="91"/>
    </row>
    <row r="687" spans="1:76" s="55" customFormat="1" ht="28.5" x14ac:dyDescent="0.2">
      <c r="A687" s="270" t="e">
        <f ca="1">HYPERLINK("#"&amp;"'"&amp;A$1&amp;"'!a1","Back to top")</f>
        <v>#VALUE!</v>
      </c>
      <c r="B687" s="271"/>
      <c r="C687" s="195"/>
      <c r="D687" s="263"/>
      <c r="E687" s="264"/>
      <c r="F687" s="264"/>
      <c r="G687" s="264"/>
      <c r="H687" s="264"/>
      <c r="I687" s="264"/>
      <c r="J687" s="265"/>
      <c r="K687" s="122"/>
      <c r="L687" s="122"/>
      <c r="M687" s="122"/>
      <c r="N687" s="122"/>
      <c r="O687" s="122"/>
      <c r="P687" s="122"/>
      <c r="Q687" s="306" t="s">
        <v>157</v>
      </c>
      <c r="R687" s="257">
        <f>IF(COUNT(R663:R682)&gt;1,_xlfn.STDEV.S(R663:R682),0)</f>
        <v>0</v>
      </c>
      <c r="S687" s="257" t="e">
        <f t="array" ref="S687">IF(R691="Y",SQRT(SUM(IFERROR(N663:N682*(R663:R682-(S683))^2,0))/((COUNT(S663:S682)-1)/COUNT(S663:S682)*SUMPRODUCT(N663:N682,--ISNUMBER(S663:S682)))),_xlfn.STDEV.S(S663:S682))</f>
        <v>#DIV/0!</v>
      </c>
      <c r="T687" s="257" t="e">
        <f t="array" ref="T687">SQRT(SUM(IFERROR(N663:N682*(R663:R682-(T683))^2,0))/((COUNT(T663:T682)-1)/COUNT(T663:T682)*SUMPRODUCT(N663:N682,--ISNUMBER(T663:T682))))</f>
        <v>#DIV/0!</v>
      </c>
      <c r="U687" s="122"/>
      <c r="V687" s="122"/>
      <c r="W687" s="122"/>
      <c r="Y687" s="260"/>
      <c r="AO687" s="91"/>
      <c r="AP687" s="122"/>
      <c r="AQ687" s="122"/>
      <c r="AR687" s="267"/>
      <c r="AS687" s="268"/>
      <c r="AT687" s="258">
        <v>1</v>
      </c>
      <c r="AU687" s="122"/>
      <c r="AV687" s="308"/>
      <c r="AW687" s="258">
        <v>1</v>
      </c>
      <c r="AX687" s="122"/>
      <c r="AY687" s="122"/>
      <c r="AZ687" s="258">
        <v>1</v>
      </c>
      <c r="BA687" s="122"/>
      <c r="BB687" s="122"/>
      <c r="BC687" s="258">
        <v>1</v>
      </c>
      <c r="BD687" s="122"/>
      <c r="BE687" s="122"/>
      <c r="BF687" s="258">
        <v>1</v>
      </c>
      <c r="BG687" s="122"/>
      <c r="BH687" s="122"/>
      <c r="BI687" s="258">
        <v>1</v>
      </c>
      <c r="BJ687" s="122"/>
      <c r="BK687" s="256"/>
      <c r="BL687" s="258">
        <v>1</v>
      </c>
      <c r="BM687" s="122"/>
      <c r="BN687" s="122"/>
      <c r="BO687" s="258">
        <v>1</v>
      </c>
      <c r="BP687" s="122"/>
      <c r="BQ687" s="122"/>
      <c r="BR687" s="258">
        <v>1</v>
      </c>
      <c r="BS687" s="122"/>
      <c r="BT687" s="122"/>
      <c r="BU687" s="258">
        <v>1</v>
      </c>
      <c r="BV687" s="122"/>
      <c r="BW687" s="122"/>
      <c r="BX687" s="91"/>
    </row>
    <row r="688" spans="1:76" s="55" customFormat="1" ht="15" customHeight="1" x14ac:dyDescent="0.25">
      <c r="A688" s="122"/>
      <c r="B688" s="118"/>
      <c r="C688" s="195"/>
      <c r="D688" s="263"/>
      <c r="E688" s="264"/>
      <c r="F688" s="264"/>
      <c r="G688" s="264"/>
      <c r="H688" s="264"/>
      <c r="I688" s="264"/>
      <c r="J688" s="265"/>
      <c r="K688" s="122"/>
      <c r="L688" s="122"/>
      <c r="M688" s="122"/>
      <c r="N688" s="122"/>
      <c r="O688" s="122"/>
      <c r="P688" s="122"/>
      <c r="Q688" s="309" t="s">
        <v>159</v>
      </c>
      <c r="R688" s="310">
        <f>COUNT(R663:R682)</f>
        <v>0</v>
      </c>
      <c r="S688" s="310">
        <f>COUNT(S663:S682)</f>
        <v>0</v>
      </c>
      <c r="T688" s="118"/>
      <c r="U688" s="273" t="s">
        <v>155</v>
      </c>
      <c r="V688" s="122"/>
      <c r="W688" s="122"/>
      <c r="Y688" s="91"/>
      <c r="AO688" s="91"/>
      <c r="AP688" s="122"/>
      <c r="AQ688" s="122"/>
      <c r="AR688" s="122"/>
      <c r="AS688" s="256" t="s">
        <v>151</v>
      </c>
      <c r="AT688" s="261" t="e">
        <f>IF((0.67*AT689)&gt;AT683,"no","yes")</f>
        <v>#DIV/0!</v>
      </c>
      <c r="AU688" s="261" t="e">
        <f>IF((0.67*AU689)&gt;AU683,"no","yes")</f>
        <v>#DIV/0!</v>
      </c>
      <c r="AV688" s="256"/>
      <c r="AW688" s="261" t="e">
        <f>IF((0.67*AW689)&gt;AW683,"no","yes")</f>
        <v>#DIV/0!</v>
      </c>
      <c r="AX688" s="261" t="e">
        <f>IF((0.67*AX689)&gt;AX683,"no","yes")</f>
        <v>#DIV/0!</v>
      </c>
      <c r="AY688" s="122"/>
      <c r="AZ688" s="261" t="e">
        <f>IF((0.67*AZ689)&gt;AZ683,"no","yes")</f>
        <v>#DIV/0!</v>
      </c>
      <c r="BA688" s="261" t="e">
        <f>IF((0.67*BA689)&gt;BA683,"no","yes")</f>
        <v>#DIV/0!</v>
      </c>
      <c r="BB688" s="122"/>
      <c r="BC688" s="261" t="e">
        <f>IF((0.67*BC689)&gt;BC683,"no","yes")</f>
        <v>#DIV/0!</v>
      </c>
      <c r="BD688" s="261" t="e">
        <f>IF((0.67*BD689)&gt;BD683,"no","yes")</f>
        <v>#DIV/0!</v>
      </c>
      <c r="BE688" s="122"/>
      <c r="BF688" s="261" t="e">
        <f>IF((0.67*BF689)&gt;BF683,"no","yes")</f>
        <v>#DIV/0!</v>
      </c>
      <c r="BG688" s="261" t="e">
        <f>IF((0.67*BG689)&gt;BG683,"no","yes")</f>
        <v>#DIV/0!</v>
      </c>
      <c r="BH688" s="122"/>
      <c r="BI688" s="261" t="e">
        <f>IF((0.67*BI689)&gt;BI683,"no","yes")</f>
        <v>#DIV/0!</v>
      </c>
      <c r="BJ688" s="261" t="e">
        <f>IF((0.67*BJ689)&gt;BJ683,"no","yes")</f>
        <v>#DIV/0!</v>
      </c>
      <c r="BK688" s="133"/>
      <c r="BL688" s="261" t="e">
        <f>IF((0.67*BL689)&gt;BL683,"no","yes")</f>
        <v>#DIV/0!</v>
      </c>
      <c r="BM688" s="261" t="e">
        <f>IF((0.67*BM689)&gt;BM683,"no","yes")</f>
        <v>#DIV/0!</v>
      </c>
      <c r="BN688" s="122"/>
      <c r="BO688" s="261" t="e">
        <f>IF((0.67*BO689)&gt;BO683,"no","yes")</f>
        <v>#DIV/0!</v>
      </c>
      <c r="BP688" s="261" t="e">
        <f>IF((0.67*BP689)&gt;BP683,"no","yes")</f>
        <v>#DIV/0!</v>
      </c>
      <c r="BQ688" s="122"/>
      <c r="BR688" s="261" t="e">
        <f>IF((0.67*BR689)&gt;BR683,"no","yes")</f>
        <v>#DIV/0!</v>
      </c>
      <c r="BS688" s="261" t="e">
        <f>IF((0.67*BS689)&gt;BS683,"no","yes")</f>
        <v>#DIV/0!</v>
      </c>
      <c r="BT688" s="122"/>
      <c r="BU688" s="261" t="e">
        <f>IF((0.67*BU689)&gt;BU683,"no","yes")</f>
        <v>#DIV/0!</v>
      </c>
      <c r="BV688" s="261" t="e">
        <f>IF((0.67*BV689)&gt;BV683,"no","yes")</f>
        <v>#DIV/0!</v>
      </c>
      <c r="BW688" s="122"/>
      <c r="BX688" s="91"/>
    </row>
    <row r="689" spans="1:76" s="55" customFormat="1" x14ac:dyDescent="0.25">
      <c r="A689" s="28"/>
      <c r="B689" s="96"/>
      <c r="C689" s="195"/>
      <c r="D689" s="263"/>
      <c r="E689" s="264"/>
      <c r="F689" s="264"/>
      <c r="G689" s="264"/>
      <c r="H689" s="264"/>
      <c r="I689" s="264"/>
      <c r="J689" s="265"/>
      <c r="K689" s="28"/>
      <c r="L689" s="28"/>
      <c r="M689" s="28"/>
      <c r="N689" s="28"/>
      <c r="O689" s="28"/>
      <c r="P689" s="28"/>
      <c r="Q689" s="130"/>
      <c r="R689" s="118"/>
      <c r="S689" s="96"/>
      <c r="T689" s="118"/>
      <c r="U689" s="274"/>
      <c r="V689" s="275"/>
      <c r="W689" s="276"/>
      <c r="Y689" s="91"/>
      <c r="AO689" s="91"/>
      <c r="AP689" s="122"/>
      <c r="AQ689" s="122"/>
      <c r="AR689" s="122"/>
      <c r="AS689" s="256" t="s">
        <v>157</v>
      </c>
      <c r="AT689" s="261">
        <f>IF(AT690&gt;1,_xlfn.STDEV.S(AT663:AT682),0)</f>
        <v>0</v>
      </c>
      <c r="AU689" s="261">
        <f>IF(AU690&gt;1,_xlfn.STDEV.S(AU663:AU682),0)</f>
        <v>0</v>
      </c>
      <c r="AV689" s="122"/>
      <c r="AW689" s="261">
        <f t="shared" ref="AW689:AX689" si="538">IF(AW690&gt;1,_xlfn.STDEV.S(AW663:AW682),0)</f>
        <v>0</v>
      </c>
      <c r="AX689" s="261">
        <f t="shared" si="538"/>
        <v>0</v>
      </c>
      <c r="AY689" s="122"/>
      <c r="AZ689" s="261">
        <f t="shared" ref="AZ689:BA689" si="539">IF(AZ690&gt;1,_xlfn.STDEV.S(AZ663:AZ682),0)</f>
        <v>0</v>
      </c>
      <c r="BA689" s="261">
        <f t="shared" si="539"/>
        <v>0</v>
      </c>
      <c r="BB689" s="122"/>
      <c r="BC689" s="261">
        <f t="shared" ref="BC689:BD689" si="540">IF(BC690&gt;1,_xlfn.STDEV.S(BC663:BC682),0)</f>
        <v>0</v>
      </c>
      <c r="BD689" s="261">
        <f t="shared" si="540"/>
        <v>0</v>
      </c>
      <c r="BE689" s="122"/>
      <c r="BF689" s="261">
        <f t="shared" ref="BF689:BG689" si="541">IF(BF690&gt;1,_xlfn.STDEV.S(BF663:BF682),0)</f>
        <v>0</v>
      </c>
      <c r="BG689" s="261">
        <f t="shared" si="541"/>
        <v>0</v>
      </c>
      <c r="BH689" s="122"/>
      <c r="BI689" s="261">
        <f t="shared" ref="BI689:BJ689" si="542">IF(BI690&gt;1,_xlfn.STDEV.S(BI663:BI682),0)</f>
        <v>0</v>
      </c>
      <c r="BJ689" s="261">
        <f t="shared" si="542"/>
        <v>0</v>
      </c>
      <c r="BK689" s="122"/>
      <c r="BL689" s="261">
        <f t="shared" ref="BL689:BM689" si="543">IF(BL690&gt;1,_xlfn.STDEV.S(BL663:BL682),0)</f>
        <v>0</v>
      </c>
      <c r="BM689" s="261">
        <f t="shared" si="543"/>
        <v>0</v>
      </c>
      <c r="BN689" s="122"/>
      <c r="BO689" s="261">
        <f t="shared" ref="BO689:BP689" si="544">IF(BO690&gt;1,_xlfn.STDEV.S(BO663:BO682),0)</f>
        <v>0</v>
      </c>
      <c r="BP689" s="261">
        <f t="shared" si="544"/>
        <v>0</v>
      </c>
      <c r="BQ689" s="122"/>
      <c r="BR689" s="261">
        <f t="shared" ref="BR689:BS689" si="545">IF(BR690&gt;1,_xlfn.STDEV.S(BR663:BR682),0)</f>
        <v>0</v>
      </c>
      <c r="BS689" s="261">
        <f t="shared" si="545"/>
        <v>0</v>
      </c>
      <c r="BT689" s="122"/>
      <c r="BU689" s="261">
        <f t="shared" ref="BU689:BV689" si="546">IF(BU690&gt;1,_xlfn.STDEV.S(BU663:BU682),0)</f>
        <v>0</v>
      </c>
      <c r="BV689" s="261">
        <f t="shared" si="546"/>
        <v>0</v>
      </c>
      <c r="BW689" s="122"/>
      <c r="BX689" s="91"/>
    </row>
    <row r="690" spans="1:76" s="55" customFormat="1" x14ac:dyDescent="0.25">
      <c r="A690" s="28"/>
      <c r="B690" s="96"/>
      <c r="C690" s="122"/>
      <c r="D690" s="277"/>
      <c r="E690" s="278"/>
      <c r="F690" s="278"/>
      <c r="G690" s="278"/>
      <c r="H690" s="278"/>
      <c r="I690" s="278"/>
      <c r="J690" s="279"/>
      <c r="K690" s="28"/>
      <c r="L690" s="28"/>
      <c r="M690" s="28"/>
      <c r="N690" s="28"/>
      <c r="O690" s="28"/>
      <c r="P690" s="28"/>
      <c r="Q690" s="130"/>
      <c r="R690" s="280" t="s">
        <v>158</v>
      </c>
      <c r="S690" s="28"/>
      <c r="T690" s="122"/>
      <c r="U690" s="281"/>
      <c r="V690" s="282"/>
      <c r="W690" s="283"/>
      <c r="Y690" s="91"/>
      <c r="AO690" s="91"/>
      <c r="AP690" s="122"/>
      <c r="AQ690" s="122"/>
      <c r="AR690" s="122"/>
      <c r="AS690" s="133" t="s">
        <v>159</v>
      </c>
      <c r="AT690" s="284">
        <f>COUNT(AT663:AT682)</f>
        <v>0</v>
      </c>
      <c r="AU690" s="284">
        <f>COUNT(AU663:AU682)</f>
        <v>0</v>
      </c>
      <c r="AV690" s="122"/>
      <c r="AW690" s="284">
        <f t="shared" ref="AW690:AX690" si="547">COUNT(AW663:AW682)</f>
        <v>0</v>
      </c>
      <c r="AX690" s="284">
        <f t="shared" si="547"/>
        <v>0</v>
      </c>
      <c r="AY690" s="122"/>
      <c r="AZ690" s="284">
        <f t="shared" ref="AZ690:BA690" si="548">COUNT(AZ663:AZ682)</f>
        <v>0</v>
      </c>
      <c r="BA690" s="284">
        <f t="shared" si="548"/>
        <v>0</v>
      </c>
      <c r="BB690" s="122"/>
      <c r="BC690" s="284">
        <f t="shared" ref="BC690:BD690" si="549">COUNT(BC663:BC682)</f>
        <v>0</v>
      </c>
      <c r="BD690" s="284">
        <f t="shared" si="549"/>
        <v>0</v>
      </c>
      <c r="BE690" s="122"/>
      <c r="BF690" s="284">
        <f t="shared" ref="BF690:BG690" si="550">COUNT(BF663:BF682)</f>
        <v>0</v>
      </c>
      <c r="BG690" s="284">
        <f t="shared" si="550"/>
        <v>0</v>
      </c>
      <c r="BH690" s="122"/>
      <c r="BI690" s="284">
        <f t="shared" ref="BI690:BJ690" si="551">COUNT(BI663:BI682)</f>
        <v>0</v>
      </c>
      <c r="BJ690" s="284">
        <f t="shared" si="551"/>
        <v>0</v>
      </c>
      <c r="BK690" s="122"/>
      <c r="BL690" s="284">
        <f t="shared" ref="BL690:BM690" si="552">COUNT(BL663:BL682)</f>
        <v>0</v>
      </c>
      <c r="BM690" s="284">
        <f t="shared" si="552"/>
        <v>0</v>
      </c>
      <c r="BN690" s="122"/>
      <c r="BO690" s="284">
        <f t="shared" ref="BO690:BP690" si="553">COUNT(BO663:BO682)</f>
        <v>0</v>
      </c>
      <c r="BP690" s="284">
        <f t="shared" si="553"/>
        <v>0</v>
      </c>
      <c r="BQ690" s="122"/>
      <c r="BR690" s="284">
        <f t="shared" ref="BR690:BS690" si="554">COUNT(BR663:BR682)</f>
        <v>0</v>
      </c>
      <c r="BS690" s="284">
        <f t="shared" si="554"/>
        <v>0</v>
      </c>
      <c r="BT690" s="122"/>
      <c r="BU690" s="284">
        <f t="shared" ref="BU690:BV690" si="555">COUNT(BU663:BU682)</f>
        <v>0</v>
      </c>
      <c r="BV690" s="284">
        <f t="shared" si="555"/>
        <v>0</v>
      </c>
      <c r="BW690" s="122"/>
      <c r="BX690" s="91"/>
    </row>
    <row r="691" spans="1:76" s="55" customFormat="1" x14ac:dyDescent="0.25">
      <c r="A691" s="28"/>
      <c r="B691" s="96"/>
      <c r="C691" s="122"/>
      <c r="D691" s="314"/>
      <c r="E691" s="314"/>
      <c r="F691" s="314"/>
      <c r="G691" s="314"/>
      <c r="H691" s="314"/>
      <c r="I691" s="314"/>
      <c r="J691" s="314"/>
      <c r="K691" s="28"/>
      <c r="L691" s="28"/>
      <c r="M691" s="28"/>
      <c r="N691" s="28"/>
      <c r="O691" s="28"/>
      <c r="P691" s="28"/>
      <c r="Q691" s="130"/>
      <c r="R691" s="287" t="s">
        <v>149</v>
      </c>
      <c r="S691" s="28"/>
      <c r="T691" s="122"/>
      <c r="U691" s="281"/>
      <c r="V691" s="282"/>
      <c r="W691" s="283"/>
      <c r="Y691" s="91"/>
      <c r="AO691" s="91"/>
      <c r="BX691" s="91"/>
    </row>
    <row r="692" spans="1:76" s="55" customFormat="1" x14ac:dyDescent="0.25">
      <c r="A692" s="28"/>
      <c r="B692" s="96"/>
      <c r="C692" s="122"/>
      <c r="D692" s="314"/>
      <c r="E692" s="314"/>
      <c r="F692" s="314"/>
      <c r="G692" s="314"/>
      <c r="H692" s="314"/>
      <c r="I692" s="314"/>
      <c r="J692" s="314"/>
      <c r="K692" s="28"/>
      <c r="L692" s="28"/>
      <c r="M692" s="28"/>
      <c r="N692" s="28"/>
      <c r="O692" s="28"/>
      <c r="P692" s="28"/>
      <c r="Q692" s="130"/>
      <c r="R692" s="28"/>
      <c r="S692" s="28"/>
      <c r="T692" s="122"/>
      <c r="U692" s="288"/>
      <c r="V692" s="289"/>
      <c r="W692" s="290"/>
      <c r="Y692" s="91"/>
      <c r="AO692" s="91"/>
      <c r="BX692" s="91"/>
    </row>
    <row r="693" spans="1:76" s="55" customFormat="1" ht="14.25" x14ac:dyDescent="0.2">
      <c r="B693" s="23"/>
      <c r="Q693" s="81"/>
      <c r="Y693" s="91"/>
      <c r="AO693" s="91"/>
      <c r="BX693" s="91"/>
    </row>
    <row r="694" spans="1:76" s="91" customFormat="1" ht="18" x14ac:dyDescent="0.25">
      <c r="A694" s="188">
        <f>A660+1</f>
        <v>17</v>
      </c>
      <c r="B694" s="189"/>
      <c r="C694" s="155" t="s">
        <v>369</v>
      </c>
      <c r="D694" s="328"/>
      <c r="E694" s="328"/>
      <c r="F694" s="328"/>
      <c r="G694" s="328"/>
      <c r="J694" s="328"/>
      <c r="K694" s="328"/>
      <c r="L694" s="139"/>
      <c r="M694" s="139"/>
      <c r="N694" s="139"/>
      <c r="Q694" s="347"/>
      <c r="R694" s="194" t="s">
        <v>93</v>
      </c>
      <c r="S694" s="194"/>
      <c r="T694" s="194"/>
      <c r="U694" s="194"/>
      <c r="AP694" s="295">
        <f>A694</f>
        <v>17</v>
      </c>
      <c r="AQ694" s="295" t="str">
        <f>C694</f>
        <v>Direct Emissions per CONVENTIONAL Functional Unit</v>
      </c>
      <c r="AR694" s="296"/>
      <c r="AS694" s="296"/>
      <c r="AT694" s="296"/>
      <c r="AU694" s="296"/>
      <c r="AV694" s="296"/>
      <c r="AW694" s="296"/>
      <c r="AX694" s="296"/>
      <c r="AY694" s="296"/>
      <c r="AZ694" s="296"/>
      <c r="BA694" s="296"/>
      <c r="BB694" s="296"/>
      <c r="BC694" s="296"/>
      <c r="BD694" s="296"/>
      <c r="BE694" s="296"/>
      <c r="BF694" s="296"/>
      <c r="BG694" s="296"/>
      <c r="BH694" s="296"/>
      <c r="BI694" s="296"/>
      <c r="BJ694" s="296"/>
      <c r="BK694" s="296"/>
      <c r="BL694" s="296"/>
      <c r="BM694" s="296"/>
      <c r="BN694" s="296"/>
      <c r="BO694" s="296"/>
      <c r="BP694" s="296"/>
      <c r="BQ694" s="296"/>
      <c r="BR694" s="296"/>
      <c r="BS694" s="296"/>
      <c r="BT694" s="296"/>
      <c r="BU694" s="296"/>
      <c r="BV694" s="296"/>
      <c r="BW694" s="296"/>
    </row>
    <row r="695" spans="1:76" s="55" customFormat="1" x14ac:dyDescent="0.25">
      <c r="A695" s="195"/>
      <c r="B695" s="196"/>
      <c r="C695" s="195"/>
      <c r="D695" s="120"/>
      <c r="E695" s="120"/>
      <c r="F695" s="120"/>
      <c r="G695" s="120"/>
      <c r="J695" s="120"/>
      <c r="K695" s="120"/>
      <c r="L695" s="122"/>
      <c r="M695" s="122"/>
      <c r="N695" s="122"/>
      <c r="Q695" s="81"/>
      <c r="Y695" s="91"/>
      <c r="AO695" s="91"/>
      <c r="AP695" s="28"/>
      <c r="AQ695" s="28"/>
      <c r="AR695" s="28"/>
      <c r="AS695" s="28"/>
      <c r="AT695" s="198" t="s">
        <v>171</v>
      </c>
      <c r="AU695" s="198"/>
      <c r="AV695" s="28"/>
      <c r="AW695" s="198" t="s">
        <v>96</v>
      </c>
      <c r="AX695" s="198"/>
      <c r="AY695" s="28"/>
      <c r="AZ695" s="198" t="s">
        <v>97</v>
      </c>
      <c r="BA695" s="198"/>
      <c r="BB695" s="28"/>
      <c r="BC695" s="198" t="s">
        <v>98</v>
      </c>
      <c r="BD695" s="198"/>
      <c r="BE695" s="28"/>
      <c r="BF695" s="198" t="s">
        <v>99</v>
      </c>
      <c r="BG695" s="198"/>
      <c r="BH695" s="28"/>
      <c r="BI695" s="198" t="s">
        <v>100</v>
      </c>
      <c r="BJ695" s="198"/>
      <c r="BK695" s="28"/>
      <c r="BL695" s="198" t="s">
        <v>101</v>
      </c>
      <c r="BM695" s="198"/>
      <c r="BN695" s="28"/>
      <c r="BO695" s="198" t="s">
        <v>102</v>
      </c>
      <c r="BP695" s="198"/>
      <c r="BQ695" s="28"/>
      <c r="BR695" s="198" t="s">
        <v>103</v>
      </c>
      <c r="BS695" s="198"/>
      <c r="BT695" s="28"/>
      <c r="BU695" s="198" t="s">
        <v>104</v>
      </c>
      <c r="BV695" s="198"/>
      <c r="BW695" s="28"/>
      <c r="BX695" s="91"/>
    </row>
    <row r="696" spans="1:76" s="55" customFormat="1" ht="30.75" thickBot="1" x14ac:dyDescent="0.3">
      <c r="A696" s="199" t="s">
        <v>105</v>
      </c>
      <c r="B696" s="200" t="s">
        <v>106</v>
      </c>
      <c r="C696" s="201" t="s">
        <v>107</v>
      </c>
      <c r="D696" s="202" t="s">
        <v>108</v>
      </c>
      <c r="E696" s="202" t="s">
        <v>109</v>
      </c>
      <c r="F696" s="201" t="s">
        <v>110</v>
      </c>
      <c r="G696" s="201" t="s">
        <v>111</v>
      </c>
      <c r="H696" s="202" t="s">
        <v>112</v>
      </c>
      <c r="I696" s="203" t="s">
        <v>113</v>
      </c>
      <c r="J696" s="204" t="s">
        <v>114</v>
      </c>
      <c r="K696" s="205" t="s">
        <v>115</v>
      </c>
      <c r="L696" s="302" t="s">
        <v>116</v>
      </c>
      <c r="M696" s="207" t="s">
        <v>117</v>
      </c>
      <c r="N696" s="208" t="s">
        <v>118</v>
      </c>
      <c r="O696" s="208" t="s">
        <v>119</v>
      </c>
      <c r="P696" s="210"/>
      <c r="Q696" s="211" t="s">
        <v>120</v>
      </c>
      <c r="R696" s="212" t="s">
        <v>121</v>
      </c>
      <c r="S696" s="212" t="s">
        <v>122</v>
      </c>
      <c r="T696" s="212" t="s">
        <v>123</v>
      </c>
      <c r="U696" s="213" t="s">
        <v>124</v>
      </c>
      <c r="V696" s="210"/>
      <c r="W696" s="210"/>
      <c r="Y696" s="91"/>
      <c r="AO696" s="91"/>
      <c r="AP696" s="210"/>
      <c r="AQ696" s="210"/>
      <c r="AR696" s="213" t="s">
        <v>125</v>
      </c>
      <c r="AS696" s="210"/>
      <c r="AT696" s="215" t="s">
        <v>121</v>
      </c>
      <c r="AU696" s="215" t="s">
        <v>122</v>
      </c>
      <c r="AV696" s="210"/>
      <c r="AW696" s="215" t="s">
        <v>121</v>
      </c>
      <c r="AX696" s="215" t="s">
        <v>122</v>
      </c>
      <c r="AY696" s="210"/>
      <c r="AZ696" s="215" t="s">
        <v>121</v>
      </c>
      <c r="BA696" s="215" t="s">
        <v>122</v>
      </c>
      <c r="BB696" s="210"/>
      <c r="BC696" s="215" t="s">
        <v>121</v>
      </c>
      <c r="BD696" s="215" t="s">
        <v>122</v>
      </c>
      <c r="BE696" s="210"/>
      <c r="BF696" s="215" t="s">
        <v>121</v>
      </c>
      <c r="BG696" s="215" t="s">
        <v>122</v>
      </c>
      <c r="BH696" s="210"/>
      <c r="BI696" s="215" t="s">
        <v>121</v>
      </c>
      <c r="BJ696" s="215" t="s">
        <v>122</v>
      </c>
      <c r="BK696" s="210"/>
      <c r="BL696" s="215" t="s">
        <v>121</v>
      </c>
      <c r="BM696" s="215" t="s">
        <v>122</v>
      </c>
      <c r="BN696" s="210"/>
      <c r="BO696" s="215" t="s">
        <v>121</v>
      </c>
      <c r="BP696" s="215" t="s">
        <v>122</v>
      </c>
      <c r="BQ696" s="210"/>
      <c r="BR696" s="215" t="s">
        <v>121</v>
      </c>
      <c r="BS696" s="215" t="s">
        <v>122</v>
      </c>
      <c r="BT696" s="210"/>
      <c r="BU696" s="215" t="s">
        <v>121</v>
      </c>
      <c r="BV696" s="215" t="s">
        <v>122</v>
      </c>
      <c r="BW696" s="210"/>
      <c r="BX696" s="91"/>
    </row>
    <row r="697" spans="1:76" s="55" customFormat="1" x14ac:dyDescent="0.25">
      <c r="A697" s="195">
        <v>1</v>
      </c>
      <c r="B697" s="216" t="str">
        <f t="shared" ref="B697:B760" si="556">CONCATENATE(E697,": ",C697)</f>
        <v>World: FAO. 2017. Global Livestock Environmental Assessment Model (GLEAM)</v>
      </c>
      <c r="C697" s="219" t="s">
        <v>227</v>
      </c>
      <c r="D697" s="219" t="s">
        <v>370</v>
      </c>
      <c r="E697" s="219" t="s">
        <v>95</v>
      </c>
      <c r="F697" s="219" t="s">
        <v>371</v>
      </c>
      <c r="G697" s="220" t="s">
        <v>26</v>
      </c>
      <c r="H697" s="221">
        <v>2010</v>
      </c>
      <c r="I697" s="220"/>
      <c r="J697" s="366">
        <v>1954720022888.7546</v>
      </c>
      <c r="K697" s="367" t="s">
        <v>372</v>
      </c>
      <c r="L697" s="334">
        <f>J697/[1]GHGsources!B14*0.001</f>
        <v>6.7027159283365001E-2</v>
      </c>
      <c r="M697" s="335" t="str">
        <f>'[1]Advanced Controls'!$I$158</f>
        <v>t CH4-CO2eq per kg of protein</v>
      </c>
      <c r="N697" s="238"/>
      <c r="O697" s="227" t="s">
        <v>373</v>
      </c>
      <c r="P697" s="122"/>
      <c r="Q697" s="228"/>
      <c r="R697" s="231">
        <f>IF(Q697="Y","",IF(AND(L697="",J697=""),"",IF(L697="",J697,L697)))</f>
        <v>6.7027159283365001E-2</v>
      </c>
      <c r="S697" s="230">
        <f t="shared" ref="S697:S760" si="557">IF(R697="","",IF($R$910="Y",T697,IF(R697&gt;=$R$902-$AA$35*$R$906,IF(R697&lt;=$R$902+$AA$35*$R$906,R697,""),"")))</f>
        <v>6.7027159283365001E-2</v>
      </c>
      <c r="T697" s="231">
        <f>IF(OR(Q697="Y",IFERROR(R697&gt;R902+R906*$AA$35,0),IFERROR(R697&lt;R902-R906*$AA$35,0)),"",IFERROR(R697*N697,""))</f>
        <v>0</v>
      </c>
      <c r="U697" s="232" t="str">
        <f t="shared" ref="U697:U760" si="558">IF(AND(M697="",K697=""),"",IF(M697="",K697,M697))</f>
        <v>t CH4-CO2eq per kg of protein</v>
      </c>
      <c r="V697" s="28"/>
      <c r="W697" s="28"/>
      <c r="Y697" s="91"/>
      <c r="AO697" s="91"/>
      <c r="AP697" s="28"/>
      <c r="AQ697" s="28"/>
      <c r="AR697" s="233" t="str">
        <f>$U697</f>
        <v>t CH4-CO2eq per kg of protein</v>
      </c>
      <c r="AS697" s="28"/>
      <c r="AT697" s="304">
        <f>IF($E697=$AT$47,R697,"")</f>
        <v>6.7027159283365001E-2</v>
      </c>
      <c r="AU697" s="304">
        <f>IF($E697=$AT$47,S697,"")</f>
        <v>6.7027159283365001E-2</v>
      </c>
      <c r="AV697" s="28"/>
      <c r="AW697" s="304" t="str">
        <f t="shared" ref="AW697:AX712" si="559">IF($E697=$AW$83,R697,"")</f>
        <v/>
      </c>
      <c r="AX697" s="304" t="str">
        <f t="shared" si="559"/>
        <v/>
      </c>
      <c r="AY697" s="28"/>
      <c r="AZ697" s="304" t="str">
        <f t="shared" ref="AZ697:BA712" si="560">IF($E697=$AZ$83,R697,"")</f>
        <v/>
      </c>
      <c r="BA697" s="304" t="str">
        <f t="shared" si="560"/>
        <v/>
      </c>
      <c r="BB697" s="28"/>
      <c r="BC697" s="304" t="str">
        <f t="shared" ref="BC697:BD712" si="561">IF($E697=$BC$83,R697,"")</f>
        <v/>
      </c>
      <c r="BD697" s="304" t="str">
        <f t="shared" si="561"/>
        <v/>
      </c>
      <c r="BE697" s="28"/>
      <c r="BF697" s="304" t="str">
        <f t="shared" ref="BF697:BG712" si="562">IF($E697=$BF$83,R697,"")</f>
        <v/>
      </c>
      <c r="BG697" s="304" t="str">
        <f t="shared" si="562"/>
        <v/>
      </c>
      <c r="BH697" s="28"/>
      <c r="BI697" s="304" t="str">
        <f t="shared" ref="BI697:BJ712" si="563">IF($E697=$BI$83,R697,"")</f>
        <v/>
      </c>
      <c r="BJ697" s="304" t="str">
        <f t="shared" si="563"/>
        <v/>
      </c>
      <c r="BK697" s="28"/>
      <c r="BL697" s="304" t="str">
        <f t="shared" ref="BL697:BM712" si="564">IF($E697=$BL$83,R697,"")</f>
        <v/>
      </c>
      <c r="BM697" s="304" t="str">
        <f t="shared" si="564"/>
        <v/>
      </c>
      <c r="BN697" s="28"/>
      <c r="BO697" s="304" t="str">
        <f t="shared" ref="BO697:BP712" si="565">IF($E697=$BO$83,R697,"")</f>
        <v/>
      </c>
      <c r="BP697" s="304" t="str">
        <f t="shared" si="565"/>
        <v/>
      </c>
      <c r="BQ697" s="28"/>
      <c r="BR697" s="304" t="str">
        <f t="shared" ref="BR697:BS712" si="566">IF($E697=$BR$83,R697,"")</f>
        <v/>
      </c>
      <c r="BS697" s="304" t="str">
        <f t="shared" si="566"/>
        <v/>
      </c>
      <c r="BT697" s="28"/>
      <c r="BU697" s="304" t="str">
        <f t="shared" ref="BU697:BV712" si="567">IF($E697=$BU$83,R697,"")</f>
        <v/>
      </c>
      <c r="BV697" s="304" t="str">
        <f t="shared" si="567"/>
        <v/>
      </c>
      <c r="BW697" s="28"/>
      <c r="BX697" s="91"/>
    </row>
    <row r="698" spans="1:76" s="55" customFormat="1" x14ac:dyDescent="0.25">
      <c r="A698" s="195">
        <v>2</v>
      </c>
      <c r="B698" s="216" t="str">
        <f t="shared" si="556"/>
        <v>Asia (Sans Japan): FAO. 2017. Global Livestock Environmental Assessment Model (GLEAM)</v>
      </c>
      <c r="C698" s="219" t="s">
        <v>227</v>
      </c>
      <c r="D698" s="219" t="s">
        <v>374</v>
      </c>
      <c r="E698" s="219" t="s">
        <v>98</v>
      </c>
      <c r="F698" s="219" t="s">
        <v>375</v>
      </c>
      <c r="G698" s="220" t="s">
        <v>26</v>
      </c>
      <c r="H698" s="221">
        <v>2010</v>
      </c>
      <c r="I698" s="220"/>
      <c r="J698" s="366">
        <v>988917914597.18201</v>
      </c>
      <c r="K698" s="367" t="s">
        <v>372</v>
      </c>
      <c r="L698" s="334">
        <f>J698/[1]GHGsources!B15*0.001</f>
        <v>0.33103626370073086</v>
      </c>
      <c r="M698" s="335" t="str">
        <f>'[1]Advanced Controls'!$I$158</f>
        <v>t CH4-CO2eq per kg of protein</v>
      </c>
      <c r="N698" s="238"/>
      <c r="O698" s="227" t="s">
        <v>373</v>
      </c>
      <c r="P698" s="122"/>
      <c r="Q698" s="228"/>
      <c r="R698" s="231">
        <f t="shared" ref="R698:R761" si="568">IF(Q698="Y","",IF(AND(L698="",J698=""),"",IF(L698="",J698,L698)))</f>
        <v>0.33103626370073086</v>
      </c>
      <c r="S698" s="230">
        <f t="shared" si="557"/>
        <v>0.33103626370073086</v>
      </c>
      <c r="T698" s="231">
        <f t="shared" ref="T698:T710" si="569">IF(OR(Q698="Y",IFERROR(R698&gt;R902+R906*$AA$35,0),IFERROR(R698&lt;R902-R906*$AA$35,0)),"",IFERROR(R698*N698,""))</f>
        <v>0</v>
      </c>
      <c r="U698" s="232" t="str">
        <f t="shared" si="558"/>
        <v>t CH4-CO2eq per kg of protein</v>
      </c>
      <c r="V698" s="28"/>
      <c r="W698" s="28"/>
      <c r="Y698" s="91"/>
      <c r="AO698" s="91"/>
      <c r="AP698" s="28"/>
      <c r="AQ698" s="28"/>
      <c r="AR698" s="237"/>
      <c r="AS698" s="28"/>
      <c r="AT698" s="304" t="str">
        <f t="shared" ref="AT698:AU713" si="570">IF($E698=$AT$47,R698,"")</f>
        <v/>
      </c>
      <c r="AU698" s="304" t="str">
        <f t="shared" si="570"/>
        <v/>
      </c>
      <c r="AV698" s="28"/>
      <c r="AW698" s="304" t="str">
        <f t="shared" si="559"/>
        <v/>
      </c>
      <c r="AX698" s="304" t="str">
        <f t="shared" si="559"/>
        <v/>
      </c>
      <c r="AY698" s="28"/>
      <c r="AZ698" s="304" t="str">
        <f t="shared" si="560"/>
        <v/>
      </c>
      <c r="BA698" s="304" t="str">
        <f t="shared" si="560"/>
        <v/>
      </c>
      <c r="BB698" s="28"/>
      <c r="BC698" s="304">
        <f t="shared" si="561"/>
        <v>0.33103626370073086</v>
      </c>
      <c r="BD698" s="304">
        <f t="shared" si="561"/>
        <v>0.33103626370073086</v>
      </c>
      <c r="BE698" s="28"/>
      <c r="BF698" s="304" t="str">
        <f t="shared" si="562"/>
        <v/>
      </c>
      <c r="BG698" s="304" t="str">
        <f t="shared" si="562"/>
        <v/>
      </c>
      <c r="BH698" s="28"/>
      <c r="BI698" s="304" t="str">
        <f t="shared" si="563"/>
        <v/>
      </c>
      <c r="BJ698" s="304" t="str">
        <f t="shared" si="563"/>
        <v/>
      </c>
      <c r="BK698" s="28"/>
      <c r="BL698" s="304" t="str">
        <f t="shared" si="564"/>
        <v/>
      </c>
      <c r="BM698" s="304" t="str">
        <f t="shared" si="564"/>
        <v/>
      </c>
      <c r="BN698" s="28"/>
      <c r="BO698" s="304" t="str">
        <f t="shared" si="565"/>
        <v/>
      </c>
      <c r="BP698" s="304" t="str">
        <f t="shared" si="565"/>
        <v/>
      </c>
      <c r="BQ698" s="28"/>
      <c r="BR698" s="304" t="str">
        <f t="shared" si="566"/>
        <v/>
      </c>
      <c r="BS698" s="304" t="str">
        <f t="shared" si="566"/>
        <v/>
      </c>
      <c r="BT698" s="28"/>
      <c r="BU698" s="304" t="str">
        <f t="shared" si="567"/>
        <v/>
      </c>
      <c r="BV698" s="304" t="str">
        <f t="shared" si="567"/>
        <v/>
      </c>
      <c r="BW698" s="28"/>
      <c r="BX698" s="91"/>
    </row>
    <row r="699" spans="1:76" s="55" customFormat="1" x14ac:dyDescent="0.25">
      <c r="A699" s="195">
        <v>3</v>
      </c>
      <c r="B699" s="216" t="str">
        <f t="shared" si="556"/>
        <v>Eastern Europe: FAO. 2017. Global Livestock Environmental Assessment Model (GLEAM)</v>
      </c>
      <c r="C699" s="219" t="s">
        <v>227</v>
      </c>
      <c r="D699" s="219" t="s">
        <v>376</v>
      </c>
      <c r="E699" s="219" t="s">
        <v>97</v>
      </c>
      <c r="F699" s="219" t="s">
        <v>97</v>
      </c>
      <c r="G699" s="220" t="s">
        <v>26</v>
      </c>
      <c r="H699" s="221">
        <v>2010</v>
      </c>
      <c r="I699" s="220"/>
      <c r="J699" s="366">
        <v>1159932642190.7026</v>
      </c>
      <c r="K699" s="367" t="s">
        <v>372</v>
      </c>
      <c r="L699" s="334">
        <f>J699/[1]GHGsources!B16*0.001</f>
        <v>0.8645326299496402</v>
      </c>
      <c r="M699" s="335" t="str">
        <f>'[1]Advanced Controls'!$I$158</f>
        <v>t CH4-CO2eq per kg of protein</v>
      </c>
      <c r="N699" s="368"/>
      <c r="O699" s="227" t="s">
        <v>373</v>
      </c>
      <c r="P699" s="122"/>
      <c r="Q699" s="228"/>
      <c r="R699" s="231">
        <f t="shared" si="568"/>
        <v>0.8645326299496402</v>
      </c>
      <c r="S699" s="230">
        <f t="shared" si="557"/>
        <v>0.8645326299496402</v>
      </c>
      <c r="T699" s="231">
        <f t="shared" si="569"/>
        <v>0</v>
      </c>
      <c r="U699" s="232" t="str">
        <f t="shared" si="558"/>
        <v>t CH4-CO2eq per kg of protein</v>
      </c>
      <c r="V699" s="28"/>
      <c r="W699" s="28"/>
      <c r="Y699" s="91"/>
      <c r="AO699" s="91"/>
      <c r="AP699" s="28"/>
      <c r="AQ699" s="28"/>
      <c r="AR699" s="237"/>
      <c r="AS699" s="28"/>
      <c r="AT699" s="304" t="str">
        <f t="shared" si="570"/>
        <v/>
      </c>
      <c r="AU699" s="304" t="str">
        <f t="shared" si="570"/>
        <v/>
      </c>
      <c r="AV699" s="28"/>
      <c r="AW699" s="304" t="str">
        <f t="shared" si="559"/>
        <v/>
      </c>
      <c r="AX699" s="304" t="str">
        <f t="shared" si="559"/>
        <v/>
      </c>
      <c r="AY699" s="28"/>
      <c r="AZ699" s="304">
        <f t="shared" si="560"/>
        <v>0.8645326299496402</v>
      </c>
      <c r="BA699" s="304">
        <f t="shared" si="560"/>
        <v>0.8645326299496402</v>
      </c>
      <c r="BB699" s="28"/>
      <c r="BC699" s="304" t="str">
        <f t="shared" si="561"/>
        <v/>
      </c>
      <c r="BD699" s="304" t="str">
        <f t="shared" si="561"/>
        <v/>
      </c>
      <c r="BE699" s="28"/>
      <c r="BF699" s="304" t="str">
        <f t="shared" si="562"/>
        <v/>
      </c>
      <c r="BG699" s="304" t="str">
        <f t="shared" si="562"/>
        <v/>
      </c>
      <c r="BH699" s="28"/>
      <c r="BI699" s="304" t="str">
        <f t="shared" si="563"/>
        <v/>
      </c>
      <c r="BJ699" s="304" t="str">
        <f t="shared" si="563"/>
        <v/>
      </c>
      <c r="BK699" s="28"/>
      <c r="BL699" s="304" t="str">
        <f t="shared" si="564"/>
        <v/>
      </c>
      <c r="BM699" s="304" t="str">
        <f t="shared" si="564"/>
        <v/>
      </c>
      <c r="BN699" s="28"/>
      <c r="BO699" s="304" t="str">
        <f t="shared" si="565"/>
        <v/>
      </c>
      <c r="BP699" s="304" t="str">
        <f t="shared" si="565"/>
        <v/>
      </c>
      <c r="BQ699" s="28"/>
      <c r="BR699" s="304" t="str">
        <f t="shared" si="566"/>
        <v/>
      </c>
      <c r="BS699" s="304" t="str">
        <f t="shared" si="566"/>
        <v/>
      </c>
      <c r="BT699" s="28"/>
      <c r="BU699" s="304" t="str">
        <f t="shared" si="567"/>
        <v/>
      </c>
      <c r="BV699" s="304" t="str">
        <f t="shared" si="567"/>
        <v/>
      </c>
      <c r="BW699" s="28"/>
      <c r="BX699" s="91"/>
    </row>
    <row r="700" spans="1:76" s="55" customFormat="1" x14ac:dyDescent="0.25">
      <c r="A700" s="195">
        <v>4</v>
      </c>
      <c r="B700" s="216" t="str">
        <f t="shared" si="556"/>
        <v>Latin America: FAO. 2017. Global Livestock Environmental Assessment Model (GLEAM)</v>
      </c>
      <c r="C700" s="219" t="s">
        <v>227</v>
      </c>
      <c r="D700" s="219" t="s">
        <v>377</v>
      </c>
      <c r="E700" s="219" t="s">
        <v>100</v>
      </c>
      <c r="F700" s="219" t="s">
        <v>378</v>
      </c>
      <c r="G700" s="220" t="s">
        <v>26</v>
      </c>
      <c r="H700" s="221">
        <v>2010</v>
      </c>
      <c r="I700" s="220"/>
      <c r="J700" s="366">
        <v>514907931391.54724</v>
      </c>
      <c r="K700" s="367" t="s">
        <v>372</v>
      </c>
      <c r="L700" s="334">
        <f>J700/[1]GHGsources!B17*0.001</f>
        <v>8.9602567948134676E-2</v>
      </c>
      <c r="M700" s="335" t="str">
        <f>'[1]Advanced Controls'!$I$158</f>
        <v>t CH4-CO2eq per kg of protein</v>
      </c>
      <c r="N700" s="238"/>
      <c r="O700" s="227" t="s">
        <v>373</v>
      </c>
      <c r="P700" s="122"/>
      <c r="Q700" s="228"/>
      <c r="R700" s="231">
        <f t="shared" si="568"/>
        <v>8.9602567948134676E-2</v>
      </c>
      <c r="S700" s="230">
        <f t="shared" si="557"/>
        <v>8.9602567948134676E-2</v>
      </c>
      <c r="T700" s="231" t="str">
        <f t="shared" si="569"/>
        <v/>
      </c>
      <c r="U700" s="232" t="str">
        <f t="shared" si="558"/>
        <v>t CH4-CO2eq per kg of protein</v>
      </c>
      <c r="V700" s="28"/>
      <c r="W700" s="28"/>
      <c r="Y700" s="91"/>
      <c r="AO700" s="91"/>
      <c r="AP700" s="28"/>
      <c r="AQ700" s="28"/>
      <c r="AR700" s="237"/>
      <c r="AS700" s="28"/>
      <c r="AT700" s="304" t="str">
        <f t="shared" si="570"/>
        <v/>
      </c>
      <c r="AU700" s="304" t="str">
        <f t="shared" si="570"/>
        <v/>
      </c>
      <c r="AV700" s="28"/>
      <c r="AW700" s="304" t="str">
        <f t="shared" si="559"/>
        <v/>
      </c>
      <c r="AX700" s="304" t="str">
        <f t="shared" si="559"/>
        <v/>
      </c>
      <c r="AY700" s="28"/>
      <c r="AZ700" s="304" t="str">
        <f t="shared" si="560"/>
        <v/>
      </c>
      <c r="BA700" s="304" t="str">
        <f t="shared" si="560"/>
        <v/>
      </c>
      <c r="BB700" s="28"/>
      <c r="BC700" s="304" t="str">
        <f t="shared" si="561"/>
        <v/>
      </c>
      <c r="BD700" s="304" t="str">
        <f t="shared" si="561"/>
        <v/>
      </c>
      <c r="BE700" s="28"/>
      <c r="BF700" s="304" t="str">
        <f t="shared" si="562"/>
        <v/>
      </c>
      <c r="BG700" s="304" t="str">
        <f t="shared" si="562"/>
        <v/>
      </c>
      <c r="BH700" s="28"/>
      <c r="BI700" s="304">
        <f t="shared" si="563"/>
        <v>8.9602567948134676E-2</v>
      </c>
      <c r="BJ700" s="304">
        <f t="shared" si="563"/>
        <v>8.9602567948134676E-2</v>
      </c>
      <c r="BK700" s="28"/>
      <c r="BL700" s="304" t="str">
        <f t="shared" si="564"/>
        <v/>
      </c>
      <c r="BM700" s="304" t="str">
        <f t="shared" si="564"/>
        <v/>
      </c>
      <c r="BN700" s="28"/>
      <c r="BO700" s="304" t="str">
        <f t="shared" si="565"/>
        <v/>
      </c>
      <c r="BP700" s="304" t="str">
        <f t="shared" si="565"/>
        <v/>
      </c>
      <c r="BQ700" s="28"/>
      <c r="BR700" s="304" t="str">
        <f t="shared" si="566"/>
        <v/>
      </c>
      <c r="BS700" s="304" t="str">
        <f t="shared" si="566"/>
        <v/>
      </c>
      <c r="BT700" s="28"/>
      <c r="BU700" s="304" t="str">
        <f t="shared" si="567"/>
        <v/>
      </c>
      <c r="BV700" s="304" t="str">
        <f t="shared" si="567"/>
        <v/>
      </c>
      <c r="BW700" s="28"/>
      <c r="BX700" s="91"/>
    </row>
    <row r="701" spans="1:76" s="55" customFormat="1" x14ac:dyDescent="0.25">
      <c r="A701" s="195">
        <v>5</v>
      </c>
      <c r="B701" s="216" t="str">
        <f t="shared" si="556"/>
        <v>Middle East and Africa: FAO. 2017. Global Livestock Environmental Assessment Model (GLEAM)</v>
      </c>
      <c r="C701" s="219" t="s">
        <v>227</v>
      </c>
      <c r="D701" s="219" t="s">
        <v>379</v>
      </c>
      <c r="E701" s="219" t="s">
        <v>99</v>
      </c>
      <c r="F701" s="219" t="s">
        <v>380</v>
      </c>
      <c r="G701" s="220" t="s">
        <v>26</v>
      </c>
      <c r="H701" s="221">
        <v>2010</v>
      </c>
      <c r="I701" s="220"/>
      <c r="J701" s="366">
        <v>387823811413.72742</v>
      </c>
      <c r="K701" s="367" t="s">
        <v>372</v>
      </c>
      <c r="L701" s="334">
        <f>J701/[1]GHGsources!B18*0.001</f>
        <v>0.2026234316771803</v>
      </c>
      <c r="M701" s="335" t="str">
        <f>'[1]Advanced Controls'!$I$158</f>
        <v>t CH4-CO2eq per kg of protein</v>
      </c>
      <c r="N701" s="238"/>
      <c r="O701" s="227" t="s">
        <v>373</v>
      </c>
      <c r="P701" s="122"/>
      <c r="Q701" s="228"/>
      <c r="R701" s="231">
        <f t="shared" si="568"/>
        <v>0.2026234316771803</v>
      </c>
      <c r="S701" s="230">
        <f t="shared" si="557"/>
        <v>0.2026234316771803</v>
      </c>
      <c r="T701" s="231">
        <f t="shared" si="569"/>
        <v>0</v>
      </c>
      <c r="U701" s="232" t="str">
        <f t="shared" si="558"/>
        <v>t CH4-CO2eq per kg of protein</v>
      </c>
      <c r="V701" s="28"/>
      <c r="W701" s="28"/>
      <c r="Y701" s="91"/>
      <c r="AO701" s="91"/>
      <c r="AP701" s="28"/>
      <c r="AQ701" s="28"/>
      <c r="AR701" s="237"/>
      <c r="AS701" s="28"/>
      <c r="AT701" s="304" t="str">
        <f t="shared" si="570"/>
        <v/>
      </c>
      <c r="AU701" s="304" t="str">
        <f t="shared" si="570"/>
        <v/>
      </c>
      <c r="AV701" s="28"/>
      <c r="AW701" s="304" t="str">
        <f t="shared" si="559"/>
        <v/>
      </c>
      <c r="AX701" s="304" t="str">
        <f t="shared" si="559"/>
        <v/>
      </c>
      <c r="AY701" s="28"/>
      <c r="AZ701" s="304" t="str">
        <f t="shared" si="560"/>
        <v/>
      </c>
      <c r="BA701" s="304" t="str">
        <f t="shared" si="560"/>
        <v/>
      </c>
      <c r="BB701" s="28"/>
      <c r="BC701" s="304" t="str">
        <f t="shared" si="561"/>
        <v/>
      </c>
      <c r="BD701" s="304" t="str">
        <f t="shared" si="561"/>
        <v/>
      </c>
      <c r="BE701" s="28"/>
      <c r="BF701" s="304">
        <f t="shared" si="562"/>
        <v>0.2026234316771803</v>
      </c>
      <c r="BG701" s="304">
        <f t="shared" si="562"/>
        <v>0.2026234316771803</v>
      </c>
      <c r="BH701" s="28"/>
      <c r="BI701" s="304" t="str">
        <f t="shared" si="563"/>
        <v/>
      </c>
      <c r="BJ701" s="304" t="str">
        <f t="shared" si="563"/>
        <v/>
      </c>
      <c r="BK701" s="28"/>
      <c r="BL701" s="304" t="str">
        <f t="shared" si="564"/>
        <v/>
      </c>
      <c r="BM701" s="304" t="str">
        <f t="shared" si="564"/>
        <v/>
      </c>
      <c r="BN701" s="28"/>
      <c r="BO701" s="304" t="str">
        <f t="shared" si="565"/>
        <v/>
      </c>
      <c r="BP701" s="304" t="str">
        <f t="shared" si="565"/>
        <v/>
      </c>
      <c r="BQ701" s="28"/>
      <c r="BR701" s="304" t="str">
        <f t="shared" si="566"/>
        <v/>
      </c>
      <c r="BS701" s="304" t="str">
        <f t="shared" si="566"/>
        <v/>
      </c>
      <c r="BT701" s="28"/>
      <c r="BU701" s="304" t="str">
        <f t="shared" si="567"/>
        <v/>
      </c>
      <c r="BV701" s="304" t="str">
        <f t="shared" si="567"/>
        <v/>
      </c>
      <c r="BW701" s="28"/>
      <c r="BX701" s="91"/>
    </row>
    <row r="702" spans="1:76" s="55" customFormat="1" x14ac:dyDescent="0.25">
      <c r="A702" s="195">
        <v>6</v>
      </c>
      <c r="B702" s="216" t="str">
        <f t="shared" si="556"/>
        <v>OECD90: FAO. 2017. Global Livestock Environmental Assessment Model (GLEAM)</v>
      </c>
      <c r="C702" s="219" t="s">
        <v>227</v>
      </c>
      <c r="D702" s="219" t="s">
        <v>381</v>
      </c>
      <c r="E702" s="219" t="s">
        <v>96</v>
      </c>
      <c r="F702" s="219" t="s">
        <v>179</v>
      </c>
      <c r="G702" s="220" t="s">
        <v>26</v>
      </c>
      <c r="H702" s="221">
        <v>2010</v>
      </c>
      <c r="I702" s="220"/>
      <c r="J702" s="366">
        <v>153840077488.30319</v>
      </c>
      <c r="K702" s="367" t="s">
        <v>372</v>
      </c>
      <c r="L702" s="334">
        <f>J702/[1]GHGsources!B19*0.001</f>
        <v>3.1103920126210993E-2</v>
      </c>
      <c r="M702" s="335" t="str">
        <f>'[1]Advanced Controls'!$I$158</f>
        <v>t CH4-CO2eq per kg of protein</v>
      </c>
      <c r="N702" s="238"/>
      <c r="O702" s="227" t="s">
        <v>373</v>
      </c>
      <c r="P702" s="122"/>
      <c r="Q702" s="228"/>
      <c r="R702" s="231">
        <f t="shared" si="568"/>
        <v>3.1103920126210993E-2</v>
      </c>
      <c r="S702" s="230">
        <f t="shared" si="557"/>
        <v>3.1103920126210993E-2</v>
      </c>
      <c r="T702" s="231">
        <f t="shared" si="569"/>
        <v>0</v>
      </c>
      <c r="U702" s="232" t="str">
        <f t="shared" si="558"/>
        <v>t CH4-CO2eq per kg of protein</v>
      </c>
      <c r="V702" s="28"/>
      <c r="W702" s="28"/>
      <c r="Y702" s="91"/>
      <c r="AO702" s="91"/>
      <c r="AP702" s="28"/>
      <c r="AQ702" s="28"/>
      <c r="AR702" s="237"/>
      <c r="AS702" s="28"/>
      <c r="AT702" s="304" t="str">
        <f t="shared" si="570"/>
        <v/>
      </c>
      <c r="AU702" s="304" t="str">
        <f t="shared" si="570"/>
        <v/>
      </c>
      <c r="AV702" s="28"/>
      <c r="AW702" s="304">
        <f t="shared" si="559"/>
        <v>3.1103920126210993E-2</v>
      </c>
      <c r="AX702" s="304">
        <f t="shared" si="559"/>
        <v>3.1103920126210993E-2</v>
      </c>
      <c r="AY702" s="28"/>
      <c r="AZ702" s="304" t="str">
        <f t="shared" si="560"/>
        <v/>
      </c>
      <c r="BA702" s="304" t="str">
        <f t="shared" si="560"/>
        <v/>
      </c>
      <c r="BB702" s="28"/>
      <c r="BC702" s="304" t="str">
        <f t="shared" si="561"/>
        <v/>
      </c>
      <c r="BD702" s="304" t="str">
        <f t="shared" si="561"/>
        <v/>
      </c>
      <c r="BE702" s="28"/>
      <c r="BF702" s="304" t="str">
        <f t="shared" si="562"/>
        <v/>
      </c>
      <c r="BG702" s="304" t="str">
        <f t="shared" si="562"/>
        <v/>
      </c>
      <c r="BH702" s="28"/>
      <c r="BI702" s="304" t="str">
        <f t="shared" si="563"/>
        <v/>
      </c>
      <c r="BJ702" s="304" t="str">
        <f t="shared" si="563"/>
        <v/>
      </c>
      <c r="BK702" s="28"/>
      <c r="BL702" s="304" t="str">
        <f t="shared" si="564"/>
        <v/>
      </c>
      <c r="BM702" s="304" t="str">
        <f t="shared" si="564"/>
        <v/>
      </c>
      <c r="BN702" s="28"/>
      <c r="BO702" s="304" t="str">
        <f t="shared" si="565"/>
        <v/>
      </c>
      <c r="BP702" s="304" t="str">
        <f t="shared" si="565"/>
        <v/>
      </c>
      <c r="BQ702" s="28"/>
      <c r="BR702" s="304" t="str">
        <f t="shared" si="566"/>
        <v/>
      </c>
      <c r="BS702" s="304" t="str">
        <f t="shared" si="566"/>
        <v/>
      </c>
      <c r="BT702" s="28"/>
      <c r="BU702" s="304" t="str">
        <f t="shared" si="567"/>
        <v/>
      </c>
      <c r="BV702" s="304" t="str">
        <f t="shared" si="567"/>
        <v/>
      </c>
      <c r="BW702" s="28"/>
      <c r="BX702" s="91"/>
    </row>
    <row r="703" spans="1:76" s="55" customFormat="1" x14ac:dyDescent="0.25">
      <c r="A703" s="195">
        <v>7</v>
      </c>
      <c r="B703" s="216" t="str">
        <f t="shared" si="556"/>
        <v>OECD90: FAO. 2017. Global Livestock Environmental Assessment Model (GLEAM)</v>
      </c>
      <c r="C703" s="219" t="s">
        <v>227</v>
      </c>
      <c r="D703" s="219" t="s">
        <v>382</v>
      </c>
      <c r="E703" s="219" t="s">
        <v>96</v>
      </c>
      <c r="F703" s="219" t="s">
        <v>185</v>
      </c>
      <c r="G703" s="220" t="s">
        <v>26</v>
      </c>
      <c r="H703" s="221">
        <v>2010</v>
      </c>
      <c r="I703" s="220"/>
      <c r="J703" s="366">
        <v>219756775438.82965</v>
      </c>
      <c r="K703" s="367" t="s">
        <v>372</v>
      </c>
      <c r="L703" s="337">
        <f>J703/[1]GHGsources!B20*0.001</f>
        <v>0.18566253287691029</v>
      </c>
      <c r="M703" s="335" t="str">
        <f>'[1]Advanced Controls'!$I$158</f>
        <v>t CH4-CO2eq per kg of protein</v>
      </c>
      <c r="N703" s="238"/>
      <c r="O703" s="227" t="s">
        <v>373</v>
      </c>
      <c r="P703" s="122"/>
      <c r="Q703" s="228"/>
      <c r="R703" s="231">
        <f t="shared" si="568"/>
        <v>0.18566253287691029</v>
      </c>
      <c r="S703" s="230">
        <f t="shared" si="557"/>
        <v>0.18566253287691029</v>
      </c>
      <c r="T703" s="231" t="str">
        <f t="shared" si="569"/>
        <v/>
      </c>
      <c r="U703" s="232" t="str">
        <f t="shared" si="558"/>
        <v>t CH4-CO2eq per kg of protein</v>
      </c>
      <c r="V703" s="28"/>
      <c r="W703" s="28"/>
      <c r="Y703" s="91"/>
      <c r="AO703" s="91"/>
      <c r="AP703" s="28"/>
      <c r="AQ703" s="28"/>
      <c r="AR703" s="237"/>
      <c r="AS703" s="28"/>
      <c r="AT703" s="304" t="str">
        <f t="shared" si="570"/>
        <v/>
      </c>
      <c r="AU703" s="304" t="str">
        <f t="shared" si="570"/>
        <v/>
      </c>
      <c r="AV703" s="28"/>
      <c r="AW703" s="304">
        <f t="shared" si="559"/>
        <v>0.18566253287691029</v>
      </c>
      <c r="AX703" s="304">
        <f t="shared" si="559"/>
        <v>0.18566253287691029</v>
      </c>
      <c r="AY703" s="28"/>
      <c r="AZ703" s="304" t="str">
        <f t="shared" si="560"/>
        <v/>
      </c>
      <c r="BA703" s="304" t="str">
        <f t="shared" si="560"/>
        <v/>
      </c>
      <c r="BB703" s="28"/>
      <c r="BC703" s="304" t="str">
        <f t="shared" si="561"/>
        <v/>
      </c>
      <c r="BD703" s="304" t="str">
        <f t="shared" si="561"/>
        <v/>
      </c>
      <c r="BE703" s="28"/>
      <c r="BF703" s="304" t="str">
        <f t="shared" si="562"/>
        <v/>
      </c>
      <c r="BG703" s="304" t="str">
        <f t="shared" si="562"/>
        <v/>
      </c>
      <c r="BH703" s="28"/>
      <c r="BI703" s="304" t="str">
        <f t="shared" si="563"/>
        <v/>
      </c>
      <c r="BJ703" s="304" t="str">
        <f t="shared" si="563"/>
        <v/>
      </c>
      <c r="BK703" s="28"/>
      <c r="BL703" s="304" t="str">
        <f t="shared" si="564"/>
        <v/>
      </c>
      <c r="BM703" s="304" t="str">
        <f t="shared" si="564"/>
        <v/>
      </c>
      <c r="BN703" s="28"/>
      <c r="BO703" s="304" t="str">
        <f t="shared" si="565"/>
        <v/>
      </c>
      <c r="BP703" s="304" t="str">
        <f t="shared" si="565"/>
        <v/>
      </c>
      <c r="BQ703" s="28"/>
      <c r="BR703" s="304" t="str">
        <f t="shared" si="566"/>
        <v/>
      </c>
      <c r="BS703" s="304" t="str">
        <f t="shared" si="566"/>
        <v/>
      </c>
      <c r="BT703" s="28"/>
      <c r="BU703" s="304" t="str">
        <f t="shared" si="567"/>
        <v/>
      </c>
      <c r="BV703" s="304" t="str">
        <f t="shared" si="567"/>
        <v/>
      </c>
      <c r="BW703" s="28"/>
      <c r="BX703" s="91"/>
    </row>
    <row r="704" spans="1:76" s="55" customFormat="1" x14ac:dyDescent="0.25">
      <c r="A704" s="195">
        <v>8</v>
      </c>
      <c r="B704" s="216" t="str">
        <f t="shared" si="556"/>
        <v>Eastern Europe: FAO. 2017. Global Livestock Environmental Assessment Model (GLEAM)</v>
      </c>
      <c r="C704" s="219" t="s">
        <v>227</v>
      </c>
      <c r="D704" s="219" t="s">
        <v>383</v>
      </c>
      <c r="E704" s="219" t="s">
        <v>97</v>
      </c>
      <c r="F704" s="219" t="s">
        <v>384</v>
      </c>
      <c r="G704" s="220" t="s">
        <v>26</v>
      </c>
      <c r="H704" s="221">
        <v>2010</v>
      </c>
      <c r="I704" s="220"/>
      <c r="J704" s="369">
        <v>79476038100.886444</v>
      </c>
      <c r="K704" s="367" t="s">
        <v>372</v>
      </c>
      <c r="L704" s="334">
        <f>J704/[1]GHGsources!B21*0.001</f>
        <v>7.176785139378071E-2</v>
      </c>
      <c r="M704" s="335" t="str">
        <f>'[1]Advanced Controls'!$I$158</f>
        <v>t CH4-CO2eq per kg of protein</v>
      </c>
      <c r="N704" s="238"/>
      <c r="O704" s="227" t="s">
        <v>373</v>
      </c>
      <c r="P704" s="122"/>
      <c r="Q704" s="228"/>
      <c r="R704" s="231">
        <f t="shared" si="568"/>
        <v>7.176785139378071E-2</v>
      </c>
      <c r="S704" s="230">
        <f t="shared" si="557"/>
        <v>7.176785139378071E-2</v>
      </c>
      <c r="T704" s="231" t="str">
        <f t="shared" si="569"/>
        <v/>
      </c>
      <c r="U704" s="232" t="str">
        <f t="shared" si="558"/>
        <v>t CH4-CO2eq per kg of protein</v>
      </c>
      <c r="V704" s="28"/>
      <c r="W704" s="28"/>
      <c r="Y704" s="91"/>
      <c r="AO704" s="91"/>
      <c r="AP704" s="28"/>
      <c r="AQ704" s="28"/>
      <c r="AR704" s="237"/>
      <c r="AS704" s="28"/>
      <c r="AT704" s="304" t="str">
        <f t="shared" si="570"/>
        <v/>
      </c>
      <c r="AU704" s="304" t="str">
        <f t="shared" si="570"/>
        <v/>
      </c>
      <c r="AV704" s="28"/>
      <c r="AW704" s="304" t="str">
        <f t="shared" si="559"/>
        <v/>
      </c>
      <c r="AX704" s="304" t="str">
        <f t="shared" si="559"/>
        <v/>
      </c>
      <c r="AY704" s="28"/>
      <c r="AZ704" s="304">
        <f t="shared" si="560"/>
        <v>7.176785139378071E-2</v>
      </c>
      <c r="BA704" s="304">
        <f t="shared" si="560"/>
        <v>7.176785139378071E-2</v>
      </c>
      <c r="BB704" s="28"/>
      <c r="BC704" s="304" t="str">
        <f t="shared" si="561"/>
        <v/>
      </c>
      <c r="BD704" s="304" t="str">
        <f t="shared" si="561"/>
        <v/>
      </c>
      <c r="BE704" s="28"/>
      <c r="BF704" s="304" t="str">
        <f t="shared" si="562"/>
        <v/>
      </c>
      <c r="BG704" s="304" t="str">
        <f t="shared" si="562"/>
        <v/>
      </c>
      <c r="BH704" s="28"/>
      <c r="BI704" s="304" t="str">
        <f t="shared" si="563"/>
        <v/>
      </c>
      <c r="BJ704" s="304" t="str">
        <f t="shared" si="563"/>
        <v/>
      </c>
      <c r="BK704" s="28"/>
      <c r="BL704" s="304" t="str">
        <f t="shared" si="564"/>
        <v/>
      </c>
      <c r="BM704" s="304" t="str">
        <f t="shared" si="564"/>
        <v/>
      </c>
      <c r="BN704" s="28"/>
      <c r="BO704" s="304" t="str">
        <f t="shared" si="565"/>
        <v/>
      </c>
      <c r="BP704" s="304" t="str">
        <f t="shared" si="565"/>
        <v/>
      </c>
      <c r="BQ704" s="28"/>
      <c r="BR704" s="304" t="str">
        <f t="shared" si="566"/>
        <v/>
      </c>
      <c r="BS704" s="304" t="str">
        <f t="shared" si="566"/>
        <v/>
      </c>
      <c r="BT704" s="28"/>
      <c r="BU704" s="304" t="str">
        <f t="shared" si="567"/>
        <v/>
      </c>
      <c r="BV704" s="304" t="str">
        <f t="shared" si="567"/>
        <v/>
      </c>
      <c r="BW704" s="28"/>
      <c r="BX704" s="91"/>
    </row>
    <row r="705" spans="1:76" s="55" customFormat="1" x14ac:dyDescent="0.25">
      <c r="A705" s="195">
        <v>9</v>
      </c>
      <c r="B705" s="216" t="str">
        <f t="shared" si="556"/>
        <v>Asia (Sans Japan): FAO. 2017. Global Livestock Environmental Assessment Model (GLEAM)</v>
      </c>
      <c r="C705" s="219" t="s">
        <v>227</v>
      </c>
      <c r="D705" s="219" t="s">
        <v>385</v>
      </c>
      <c r="E705" s="219" t="s">
        <v>98</v>
      </c>
      <c r="F705" s="219" t="s">
        <v>386</v>
      </c>
      <c r="G705" s="220" t="s">
        <v>26</v>
      </c>
      <c r="H705" s="221">
        <v>2010</v>
      </c>
      <c r="I705" s="220"/>
      <c r="J705" s="369">
        <v>13931749238.232733</v>
      </c>
      <c r="K705" s="367" t="s">
        <v>372</v>
      </c>
      <c r="L705" s="334">
        <f>J705/[1]GHGsources!B22*0.001</f>
        <v>4.2063459405688114E-3</v>
      </c>
      <c r="M705" s="335" t="str">
        <f>'[1]Advanced Controls'!$I$158</f>
        <v>t CH4-CO2eq per kg of protein</v>
      </c>
      <c r="N705" s="238"/>
      <c r="O705" s="227" t="s">
        <v>373</v>
      </c>
      <c r="P705" s="122"/>
      <c r="Q705" s="228"/>
      <c r="R705" s="231">
        <f t="shared" si="568"/>
        <v>4.2063459405688114E-3</v>
      </c>
      <c r="S705" s="230">
        <f t="shared" si="557"/>
        <v>4.2063459405688114E-3</v>
      </c>
      <c r="T705" s="231">
        <f t="shared" si="569"/>
        <v>0</v>
      </c>
      <c r="U705" s="232" t="str">
        <f t="shared" si="558"/>
        <v>t CH4-CO2eq per kg of protein</v>
      </c>
      <c r="V705" s="28"/>
      <c r="W705" s="28"/>
      <c r="Y705" s="91"/>
      <c r="AO705" s="91"/>
      <c r="AP705" s="28"/>
      <c r="AQ705" s="28"/>
      <c r="AR705" s="237"/>
      <c r="AS705" s="28"/>
      <c r="AT705" s="304" t="str">
        <f t="shared" si="570"/>
        <v/>
      </c>
      <c r="AU705" s="304" t="str">
        <f t="shared" si="570"/>
        <v/>
      </c>
      <c r="AV705" s="28"/>
      <c r="AW705" s="304" t="str">
        <f t="shared" si="559"/>
        <v/>
      </c>
      <c r="AX705" s="304" t="str">
        <f t="shared" si="559"/>
        <v/>
      </c>
      <c r="AY705" s="28"/>
      <c r="AZ705" s="304" t="str">
        <f t="shared" si="560"/>
        <v/>
      </c>
      <c r="BA705" s="304" t="str">
        <f t="shared" si="560"/>
        <v/>
      </c>
      <c r="BB705" s="28"/>
      <c r="BC705" s="304">
        <f t="shared" si="561"/>
        <v>4.2063459405688114E-3</v>
      </c>
      <c r="BD705" s="304">
        <f t="shared" si="561"/>
        <v>4.2063459405688114E-3</v>
      </c>
      <c r="BE705" s="28"/>
      <c r="BF705" s="304" t="str">
        <f t="shared" si="562"/>
        <v/>
      </c>
      <c r="BG705" s="304" t="str">
        <f t="shared" si="562"/>
        <v/>
      </c>
      <c r="BH705" s="28"/>
      <c r="BI705" s="304" t="str">
        <f t="shared" si="563"/>
        <v/>
      </c>
      <c r="BJ705" s="304" t="str">
        <f t="shared" si="563"/>
        <v/>
      </c>
      <c r="BK705" s="28"/>
      <c r="BL705" s="304" t="str">
        <f t="shared" si="564"/>
        <v/>
      </c>
      <c r="BM705" s="304" t="str">
        <f t="shared" si="564"/>
        <v/>
      </c>
      <c r="BN705" s="28"/>
      <c r="BO705" s="304" t="str">
        <f t="shared" si="565"/>
        <v/>
      </c>
      <c r="BP705" s="304" t="str">
        <f t="shared" si="565"/>
        <v/>
      </c>
      <c r="BQ705" s="28"/>
      <c r="BR705" s="304" t="str">
        <f t="shared" si="566"/>
        <v/>
      </c>
      <c r="BS705" s="304" t="str">
        <f t="shared" si="566"/>
        <v/>
      </c>
      <c r="BT705" s="28"/>
      <c r="BU705" s="304" t="str">
        <f t="shared" si="567"/>
        <v/>
      </c>
      <c r="BV705" s="304" t="str">
        <f t="shared" si="567"/>
        <v/>
      </c>
      <c r="BW705" s="28"/>
      <c r="BX705" s="91"/>
    </row>
    <row r="706" spans="1:76" s="55" customFormat="1" x14ac:dyDescent="0.25">
      <c r="A706" s="195">
        <v>10</v>
      </c>
      <c r="B706" s="216" t="str">
        <f t="shared" si="556"/>
        <v>Middle East and Africa: FAO. 2017. Global Livestock Environmental Assessment Model (GLEAM)</v>
      </c>
      <c r="C706" s="219" t="s">
        <v>227</v>
      </c>
      <c r="D706" s="219" t="s">
        <v>387</v>
      </c>
      <c r="E706" s="219" t="s">
        <v>99</v>
      </c>
      <c r="F706" s="219" t="s">
        <v>388</v>
      </c>
      <c r="G706" s="220" t="s">
        <v>26</v>
      </c>
      <c r="H706" s="221">
        <v>2010</v>
      </c>
      <c r="I706" s="220"/>
      <c r="J706" s="369">
        <v>3233266793.7533302</v>
      </c>
      <c r="K706" s="367" t="s">
        <v>372</v>
      </c>
      <c r="L706" s="334">
        <f>J706/[1]GHGsources!B23*0.001</f>
        <v>2.9876742275997681E-3</v>
      </c>
      <c r="M706" s="335" t="str">
        <f>'[1]Advanced Controls'!$I$158</f>
        <v>t CH4-CO2eq per kg of protein</v>
      </c>
      <c r="N706" s="238"/>
      <c r="O706" s="227" t="s">
        <v>373</v>
      </c>
      <c r="P706" s="122"/>
      <c r="Q706" s="228"/>
      <c r="R706" s="231">
        <f t="shared" si="568"/>
        <v>2.9876742275997681E-3</v>
      </c>
      <c r="S706" s="230">
        <f t="shared" si="557"/>
        <v>2.9876742275997681E-3</v>
      </c>
      <c r="T706" s="231">
        <f t="shared" si="569"/>
        <v>0</v>
      </c>
      <c r="U706" s="232" t="str">
        <f t="shared" si="558"/>
        <v>t CH4-CO2eq per kg of protein</v>
      </c>
      <c r="V706" s="28"/>
      <c r="W706" s="28"/>
      <c r="Y706" s="91"/>
      <c r="AO706" s="91"/>
      <c r="AP706" s="28"/>
      <c r="AQ706" s="28"/>
      <c r="AR706" s="237"/>
      <c r="AS706" s="28"/>
      <c r="AT706" s="304" t="str">
        <f t="shared" si="570"/>
        <v/>
      </c>
      <c r="AU706" s="304" t="str">
        <f t="shared" si="570"/>
        <v/>
      </c>
      <c r="AV706" s="28"/>
      <c r="AW706" s="304" t="str">
        <f t="shared" si="559"/>
        <v/>
      </c>
      <c r="AX706" s="304" t="str">
        <f t="shared" si="559"/>
        <v/>
      </c>
      <c r="AY706" s="28"/>
      <c r="AZ706" s="304" t="str">
        <f t="shared" si="560"/>
        <v/>
      </c>
      <c r="BA706" s="304" t="str">
        <f t="shared" si="560"/>
        <v/>
      </c>
      <c r="BB706" s="28"/>
      <c r="BC706" s="304" t="str">
        <f t="shared" si="561"/>
        <v/>
      </c>
      <c r="BD706" s="304" t="str">
        <f t="shared" si="561"/>
        <v/>
      </c>
      <c r="BE706" s="28"/>
      <c r="BF706" s="304">
        <f t="shared" si="562"/>
        <v>2.9876742275997681E-3</v>
      </c>
      <c r="BG706" s="304">
        <f t="shared" si="562"/>
        <v>2.9876742275997681E-3</v>
      </c>
      <c r="BH706" s="28"/>
      <c r="BI706" s="304" t="str">
        <f t="shared" si="563"/>
        <v/>
      </c>
      <c r="BJ706" s="304" t="str">
        <f t="shared" si="563"/>
        <v/>
      </c>
      <c r="BK706" s="28"/>
      <c r="BL706" s="304" t="str">
        <f t="shared" si="564"/>
        <v/>
      </c>
      <c r="BM706" s="304" t="str">
        <f t="shared" si="564"/>
        <v/>
      </c>
      <c r="BN706" s="28"/>
      <c r="BO706" s="304" t="str">
        <f t="shared" si="565"/>
        <v/>
      </c>
      <c r="BP706" s="304" t="str">
        <f t="shared" si="565"/>
        <v/>
      </c>
      <c r="BQ706" s="28"/>
      <c r="BR706" s="304" t="str">
        <f t="shared" si="566"/>
        <v/>
      </c>
      <c r="BS706" s="304" t="str">
        <f t="shared" si="566"/>
        <v/>
      </c>
      <c r="BT706" s="28"/>
      <c r="BU706" s="304" t="str">
        <f t="shared" si="567"/>
        <v/>
      </c>
      <c r="BV706" s="304" t="str">
        <f t="shared" si="567"/>
        <v/>
      </c>
      <c r="BW706" s="28"/>
      <c r="BX706" s="91"/>
    </row>
    <row r="707" spans="1:76" s="55" customFormat="1" x14ac:dyDescent="0.25">
      <c r="A707" s="195">
        <v>11</v>
      </c>
      <c r="B707" s="216" t="str">
        <f t="shared" si="556"/>
        <v>OECD90: FAO. 2017. Global Livestock Environmental Assessment Model (GLEAM)</v>
      </c>
      <c r="C707" s="219" t="s">
        <v>227</v>
      </c>
      <c r="D707" s="219" t="s">
        <v>389</v>
      </c>
      <c r="E707" s="219" t="s">
        <v>96</v>
      </c>
      <c r="F707" s="219" t="s">
        <v>176</v>
      </c>
      <c r="G707" s="220" t="s">
        <v>26</v>
      </c>
      <c r="H707" s="221">
        <v>2010</v>
      </c>
      <c r="I707" s="220"/>
      <c r="J707" s="369">
        <v>10698482444.479401</v>
      </c>
      <c r="K707" s="367" t="s">
        <v>372</v>
      </c>
      <c r="L707" s="334">
        <f>J707/[1]GHGsources!B24*0.001</f>
        <v>1.9303797748122548E-3</v>
      </c>
      <c r="M707" s="335" t="str">
        <f>'[1]Advanced Controls'!$I$158</f>
        <v>t CH4-CO2eq per kg of protein</v>
      </c>
      <c r="N707" s="238"/>
      <c r="O707" s="227" t="s">
        <v>373</v>
      </c>
      <c r="P707" s="122"/>
      <c r="Q707" s="228"/>
      <c r="R707" s="231">
        <f t="shared" si="568"/>
        <v>1.9303797748122548E-3</v>
      </c>
      <c r="S707" s="230">
        <f t="shared" si="557"/>
        <v>1.9303797748122548E-3</v>
      </c>
      <c r="T707" s="231">
        <f t="shared" si="569"/>
        <v>0</v>
      </c>
      <c r="U707" s="232" t="str">
        <f t="shared" si="558"/>
        <v>t CH4-CO2eq per kg of protein</v>
      </c>
      <c r="V707" s="28"/>
      <c r="W707" s="28"/>
      <c r="Y707" s="91"/>
      <c r="AO707" s="91"/>
      <c r="AP707" s="28"/>
      <c r="AQ707" s="28"/>
      <c r="AR707" s="237"/>
      <c r="AS707" s="28"/>
      <c r="AT707" s="304" t="str">
        <f t="shared" si="570"/>
        <v/>
      </c>
      <c r="AU707" s="304" t="str">
        <f t="shared" si="570"/>
        <v/>
      </c>
      <c r="AV707" s="28"/>
      <c r="AW707" s="304">
        <f t="shared" si="559"/>
        <v>1.9303797748122548E-3</v>
      </c>
      <c r="AX707" s="304">
        <f t="shared" si="559"/>
        <v>1.9303797748122548E-3</v>
      </c>
      <c r="AY707" s="28"/>
      <c r="AZ707" s="304" t="str">
        <f t="shared" si="560"/>
        <v/>
      </c>
      <c r="BA707" s="304" t="str">
        <f t="shared" si="560"/>
        <v/>
      </c>
      <c r="BB707" s="28"/>
      <c r="BC707" s="304" t="str">
        <f t="shared" si="561"/>
        <v/>
      </c>
      <c r="BD707" s="304" t="str">
        <f t="shared" si="561"/>
        <v/>
      </c>
      <c r="BE707" s="28"/>
      <c r="BF707" s="304" t="str">
        <f t="shared" si="562"/>
        <v/>
      </c>
      <c r="BG707" s="304" t="str">
        <f t="shared" si="562"/>
        <v/>
      </c>
      <c r="BH707" s="28"/>
      <c r="BI707" s="304" t="str">
        <f t="shared" si="563"/>
        <v/>
      </c>
      <c r="BJ707" s="304" t="str">
        <f t="shared" si="563"/>
        <v/>
      </c>
      <c r="BK707" s="28"/>
      <c r="BL707" s="304" t="str">
        <f t="shared" si="564"/>
        <v/>
      </c>
      <c r="BM707" s="304" t="str">
        <f t="shared" si="564"/>
        <v/>
      </c>
      <c r="BN707" s="28"/>
      <c r="BO707" s="304" t="str">
        <f t="shared" si="565"/>
        <v/>
      </c>
      <c r="BP707" s="304" t="str">
        <f t="shared" si="565"/>
        <v/>
      </c>
      <c r="BQ707" s="28"/>
      <c r="BR707" s="304" t="str">
        <f t="shared" si="566"/>
        <v/>
      </c>
      <c r="BS707" s="304" t="str">
        <f t="shared" si="566"/>
        <v/>
      </c>
      <c r="BT707" s="28"/>
      <c r="BU707" s="304" t="str">
        <f t="shared" si="567"/>
        <v/>
      </c>
      <c r="BV707" s="304" t="str">
        <f t="shared" si="567"/>
        <v/>
      </c>
      <c r="BW707" s="28"/>
      <c r="BX707" s="91"/>
    </row>
    <row r="708" spans="1:76" s="55" customFormat="1" x14ac:dyDescent="0.25">
      <c r="A708" s="195">
        <v>12</v>
      </c>
      <c r="B708" s="216" t="str">
        <f t="shared" si="556"/>
        <v>World: FAO. 2017. Global Livestock Environmental Assessment Model (GLEAM)</v>
      </c>
      <c r="C708" s="219" t="s">
        <v>227</v>
      </c>
      <c r="D708" s="219" t="s">
        <v>370</v>
      </c>
      <c r="E708" s="219" t="s">
        <v>95</v>
      </c>
      <c r="F708" s="219" t="s">
        <v>371</v>
      </c>
      <c r="G708" s="220" t="s">
        <v>26</v>
      </c>
      <c r="H708" s="221">
        <v>2010</v>
      </c>
      <c r="I708" s="220"/>
      <c r="J708" s="370">
        <v>416180172380.1073</v>
      </c>
      <c r="K708" s="367" t="s">
        <v>372</v>
      </c>
      <c r="L708" s="334">
        <f>J708/[1]GHGsources!C14*0.001</f>
        <v>0.27402557846256831</v>
      </c>
      <c r="M708" s="335" t="str">
        <f>'[1]Advanced Controls'!$I$158</f>
        <v>t CH4-CO2eq per kg of protein</v>
      </c>
      <c r="N708" s="238"/>
      <c r="O708" s="227" t="s">
        <v>390</v>
      </c>
      <c r="P708" s="122"/>
      <c r="Q708" s="228"/>
      <c r="R708" s="231">
        <f t="shared" si="568"/>
        <v>0.27402557846256831</v>
      </c>
      <c r="S708" s="230">
        <f t="shared" si="557"/>
        <v>0.27402557846256831</v>
      </c>
      <c r="T708" s="231" t="str">
        <f t="shared" si="569"/>
        <v/>
      </c>
      <c r="U708" s="232" t="str">
        <f t="shared" si="558"/>
        <v>t CH4-CO2eq per kg of protein</v>
      </c>
      <c r="V708" s="28"/>
      <c r="W708" s="28"/>
      <c r="Y708" s="91"/>
      <c r="AO708" s="91"/>
      <c r="AP708" s="28"/>
      <c r="AQ708" s="28"/>
      <c r="AR708" s="237"/>
      <c r="AS708" s="28"/>
      <c r="AT708" s="304">
        <f t="shared" si="570"/>
        <v>0.27402557846256831</v>
      </c>
      <c r="AU708" s="304">
        <f t="shared" si="570"/>
        <v>0.27402557846256831</v>
      </c>
      <c r="AV708" s="28"/>
      <c r="AW708" s="304" t="str">
        <f t="shared" si="559"/>
        <v/>
      </c>
      <c r="AX708" s="304" t="str">
        <f t="shared" si="559"/>
        <v/>
      </c>
      <c r="AY708" s="28"/>
      <c r="AZ708" s="304" t="str">
        <f t="shared" si="560"/>
        <v/>
      </c>
      <c r="BA708" s="304" t="str">
        <f t="shared" si="560"/>
        <v/>
      </c>
      <c r="BB708" s="28"/>
      <c r="BC708" s="304" t="str">
        <f t="shared" si="561"/>
        <v/>
      </c>
      <c r="BD708" s="304" t="str">
        <f t="shared" si="561"/>
        <v/>
      </c>
      <c r="BE708" s="28"/>
      <c r="BF708" s="304" t="str">
        <f t="shared" si="562"/>
        <v/>
      </c>
      <c r="BG708" s="304" t="str">
        <f t="shared" si="562"/>
        <v/>
      </c>
      <c r="BH708" s="28"/>
      <c r="BI708" s="304" t="str">
        <f t="shared" si="563"/>
        <v/>
      </c>
      <c r="BJ708" s="304" t="str">
        <f t="shared" si="563"/>
        <v/>
      </c>
      <c r="BK708" s="28"/>
      <c r="BL708" s="304" t="str">
        <f t="shared" si="564"/>
        <v/>
      </c>
      <c r="BM708" s="304" t="str">
        <f t="shared" si="564"/>
        <v/>
      </c>
      <c r="BN708" s="28"/>
      <c r="BO708" s="304" t="str">
        <f t="shared" si="565"/>
        <v/>
      </c>
      <c r="BP708" s="304" t="str">
        <f t="shared" si="565"/>
        <v/>
      </c>
      <c r="BQ708" s="28"/>
      <c r="BR708" s="304" t="str">
        <f t="shared" si="566"/>
        <v/>
      </c>
      <c r="BS708" s="304" t="str">
        <f t="shared" si="566"/>
        <v/>
      </c>
      <c r="BT708" s="28"/>
      <c r="BU708" s="304" t="str">
        <f t="shared" si="567"/>
        <v/>
      </c>
      <c r="BV708" s="304" t="str">
        <f t="shared" si="567"/>
        <v/>
      </c>
      <c r="BW708" s="28"/>
      <c r="BX708" s="91"/>
    </row>
    <row r="709" spans="1:76" s="55" customFormat="1" x14ac:dyDescent="0.25">
      <c r="A709" s="195">
        <v>13</v>
      </c>
      <c r="B709" s="216" t="str">
        <f t="shared" si="556"/>
        <v>Asia (Sans Japan): FAO. 2017. Global Livestock Environmental Assessment Model (GLEAM)</v>
      </c>
      <c r="C709" s="219" t="s">
        <v>227</v>
      </c>
      <c r="D709" s="219" t="s">
        <v>374</v>
      </c>
      <c r="E709" s="219" t="s">
        <v>98</v>
      </c>
      <c r="F709" s="219" t="s">
        <v>375</v>
      </c>
      <c r="G709" s="220" t="s">
        <v>26</v>
      </c>
      <c r="H709" s="221">
        <v>2010</v>
      </c>
      <c r="I709" s="220"/>
      <c r="J709" s="370">
        <v>667272025437.59924</v>
      </c>
      <c r="K709" s="367" t="s">
        <v>372</v>
      </c>
      <c r="L709" s="334">
        <f>J709/[1]GHGsources!C15*0.001</f>
        <v>2.7252087210021037</v>
      </c>
      <c r="M709" s="335" t="str">
        <f>'[1]Advanced Controls'!$I$158</f>
        <v>t CH4-CO2eq per kg of protein</v>
      </c>
      <c r="N709" s="238"/>
      <c r="O709" s="227" t="s">
        <v>390</v>
      </c>
      <c r="P709" s="122"/>
      <c r="Q709" s="228"/>
      <c r="R709" s="231">
        <f t="shared" si="568"/>
        <v>2.7252087210021037</v>
      </c>
      <c r="S709" s="230">
        <f t="shared" si="557"/>
        <v>2.7252087210021037</v>
      </c>
      <c r="T709" s="231">
        <f t="shared" si="569"/>
        <v>0</v>
      </c>
      <c r="U709" s="232" t="str">
        <f t="shared" si="558"/>
        <v>t CH4-CO2eq per kg of protein</v>
      </c>
      <c r="V709" s="28"/>
      <c r="W709" s="28"/>
      <c r="Y709" s="91"/>
      <c r="AO709" s="91"/>
      <c r="AP709" s="28"/>
      <c r="AQ709" s="28"/>
      <c r="AR709" s="237"/>
      <c r="AS709" s="28"/>
      <c r="AT709" s="304" t="str">
        <f t="shared" si="570"/>
        <v/>
      </c>
      <c r="AU709" s="304" t="str">
        <f t="shared" si="570"/>
        <v/>
      </c>
      <c r="AV709" s="28"/>
      <c r="AW709" s="304" t="str">
        <f t="shared" si="559"/>
        <v/>
      </c>
      <c r="AX709" s="304" t="str">
        <f t="shared" si="559"/>
        <v/>
      </c>
      <c r="AY709" s="28"/>
      <c r="AZ709" s="304" t="str">
        <f t="shared" si="560"/>
        <v/>
      </c>
      <c r="BA709" s="304" t="str">
        <f t="shared" si="560"/>
        <v/>
      </c>
      <c r="BB709" s="28"/>
      <c r="BC709" s="304">
        <f t="shared" si="561"/>
        <v>2.7252087210021037</v>
      </c>
      <c r="BD709" s="304">
        <f t="shared" si="561"/>
        <v>2.7252087210021037</v>
      </c>
      <c r="BE709" s="28"/>
      <c r="BF709" s="304" t="str">
        <f t="shared" si="562"/>
        <v/>
      </c>
      <c r="BG709" s="304" t="str">
        <f t="shared" si="562"/>
        <v/>
      </c>
      <c r="BH709" s="28"/>
      <c r="BI709" s="304" t="str">
        <f t="shared" si="563"/>
        <v/>
      </c>
      <c r="BJ709" s="304" t="str">
        <f t="shared" si="563"/>
        <v/>
      </c>
      <c r="BK709" s="28"/>
      <c r="BL709" s="304" t="str">
        <f t="shared" si="564"/>
        <v/>
      </c>
      <c r="BM709" s="304" t="str">
        <f t="shared" si="564"/>
        <v/>
      </c>
      <c r="BN709" s="28"/>
      <c r="BO709" s="304" t="str">
        <f t="shared" si="565"/>
        <v/>
      </c>
      <c r="BP709" s="304" t="str">
        <f t="shared" si="565"/>
        <v/>
      </c>
      <c r="BQ709" s="28"/>
      <c r="BR709" s="304" t="str">
        <f t="shared" si="566"/>
        <v/>
      </c>
      <c r="BS709" s="304" t="str">
        <f t="shared" si="566"/>
        <v/>
      </c>
      <c r="BT709" s="28"/>
      <c r="BU709" s="304" t="str">
        <f t="shared" si="567"/>
        <v/>
      </c>
      <c r="BV709" s="304" t="str">
        <f t="shared" si="567"/>
        <v/>
      </c>
      <c r="BW709" s="28"/>
      <c r="BX709" s="91"/>
    </row>
    <row r="710" spans="1:76" s="55" customFormat="1" x14ac:dyDescent="0.25">
      <c r="A710" s="195">
        <v>14</v>
      </c>
      <c r="B710" s="216" t="str">
        <f t="shared" si="556"/>
        <v>Eastern Europe: FAO. 2017. Global Livestock Environmental Assessment Model (GLEAM)</v>
      </c>
      <c r="C710" s="219" t="s">
        <v>227</v>
      </c>
      <c r="D710" s="219" t="s">
        <v>376</v>
      </c>
      <c r="E710" s="219" t="s">
        <v>97</v>
      </c>
      <c r="F710" s="219" t="s">
        <v>97</v>
      </c>
      <c r="G710" s="220" t="s">
        <v>26</v>
      </c>
      <c r="H710" s="221">
        <v>2010</v>
      </c>
      <c r="I710" s="220"/>
      <c r="J710" s="370">
        <v>339867862812.02783</v>
      </c>
      <c r="K710" s="367" t="s">
        <v>372</v>
      </c>
      <c r="L710" s="241"/>
      <c r="M710" s="335" t="str">
        <f>'[1]Advanced Controls'!$I$158</f>
        <v>t CH4-CO2eq per kg of protein</v>
      </c>
      <c r="N710" s="238"/>
      <c r="O710" s="227" t="s">
        <v>390</v>
      </c>
      <c r="P710" s="122"/>
      <c r="Q710" s="228" t="s">
        <v>327</v>
      </c>
      <c r="R710" s="231" t="str">
        <f t="shared" si="568"/>
        <v/>
      </c>
      <c r="S710" s="230" t="str">
        <f t="shared" si="557"/>
        <v/>
      </c>
      <c r="T710" s="231" t="str">
        <f t="shared" si="569"/>
        <v/>
      </c>
      <c r="U710" s="232" t="str">
        <f t="shared" si="558"/>
        <v>t CH4-CO2eq per kg of protein</v>
      </c>
      <c r="V710" s="28"/>
      <c r="W710" s="28"/>
      <c r="Y710" s="91"/>
      <c r="AO710" s="91"/>
      <c r="AP710" s="28"/>
      <c r="AQ710" s="28"/>
      <c r="AR710" s="237"/>
      <c r="AS710" s="28"/>
      <c r="AT710" s="304" t="str">
        <f t="shared" si="570"/>
        <v/>
      </c>
      <c r="AU710" s="304" t="str">
        <f t="shared" si="570"/>
        <v/>
      </c>
      <c r="AV710" s="28"/>
      <c r="AW710" s="304" t="str">
        <f t="shared" si="559"/>
        <v/>
      </c>
      <c r="AX710" s="304" t="str">
        <f t="shared" si="559"/>
        <v/>
      </c>
      <c r="AY710" s="28"/>
      <c r="AZ710" s="304" t="str">
        <f t="shared" si="560"/>
        <v/>
      </c>
      <c r="BA710" s="304" t="str">
        <f t="shared" si="560"/>
        <v/>
      </c>
      <c r="BB710" s="28"/>
      <c r="BC710" s="304" t="str">
        <f t="shared" si="561"/>
        <v/>
      </c>
      <c r="BD710" s="304" t="str">
        <f t="shared" si="561"/>
        <v/>
      </c>
      <c r="BE710" s="28"/>
      <c r="BF710" s="304" t="str">
        <f t="shared" si="562"/>
        <v/>
      </c>
      <c r="BG710" s="304" t="str">
        <f t="shared" si="562"/>
        <v/>
      </c>
      <c r="BH710" s="28"/>
      <c r="BI710" s="304" t="str">
        <f t="shared" si="563"/>
        <v/>
      </c>
      <c r="BJ710" s="304" t="str">
        <f t="shared" si="563"/>
        <v/>
      </c>
      <c r="BK710" s="28"/>
      <c r="BL710" s="304" t="str">
        <f t="shared" si="564"/>
        <v/>
      </c>
      <c r="BM710" s="304" t="str">
        <f t="shared" si="564"/>
        <v/>
      </c>
      <c r="BN710" s="28"/>
      <c r="BO710" s="304" t="str">
        <f t="shared" si="565"/>
        <v/>
      </c>
      <c r="BP710" s="304" t="str">
        <f t="shared" si="565"/>
        <v/>
      </c>
      <c r="BQ710" s="28"/>
      <c r="BR710" s="304" t="str">
        <f t="shared" si="566"/>
        <v/>
      </c>
      <c r="BS710" s="304" t="str">
        <f t="shared" si="566"/>
        <v/>
      </c>
      <c r="BT710" s="28"/>
      <c r="BU710" s="304" t="str">
        <f t="shared" si="567"/>
        <v/>
      </c>
      <c r="BV710" s="304" t="str">
        <f t="shared" si="567"/>
        <v/>
      </c>
      <c r="BW710" s="28"/>
      <c r="BX710" s="91"/>
    </row>
    <row r="711" spans="1:76" s="55" customFormat="1" x14ac:dyDescent="0.25">
      <c r="A711" s="195">
        <v>15</v>
      </c>
      <c r="B711" s="216" t="str">
        <f t="shared" si="556"/>
        <v>Latin America: FAO. 2017. Global Livestock Environmental Assessment Model (GLEAM)</v>
      </c>
      <c r="C711" s="219" t="s">
        <v>227</v>
      </c>
      <c r="D711" s="219" t="s">
        <v>377</v>
      </c>
      <c r="E711" s="219" t="s">
        <v>100</v>
      </c>
      <c r="F711" s="219" t="s">
        <v>378</v>
      </c>
      <c r="G711" s="220" t="s">
        <v>26</v>
      </c>
      <c r="H711" s="221">
        <v>2010</v>
      </c>
      <c r="I711" s="220"/>
      <c r="J711" s="370">
        <v>327404162625.57147</v>
      </c>
      <c r="K711" s="367" t="s">
        <v>372</v>
      </c>
      <c r="L711" s="334">
        <f>J711/[1]GHGsources!C17*0.001</f>
        <v>2.0627433247250608</v>
      </c>
      <c r="M711" s="335" t="str">
        <f>'[1]Advanced Controls'!$I$158</f>
        <v>t CH4-CO2eq per kg of protein</v>
      </c>
      <c r="N711" s="238"/>
      <c r="O711" s="227" t="s">
        <v>390</v>
      </c>
      <c r="P711" s="122"/>
      <c r="Q711" s="228"/>
      <c r="R711" s="231">
        <f t="shared" si="568"/>
        <v>2.0627433247250608</v>
      </c>
      <c r="S711" s="230">
        <f t="shared" si="557"/>
        <v>2.0627433247250608</v>
      </c>
      <c r="T711" s="231">
        <f>IF(OR(Q711="Y",IFERROR(R711&gt;R915+R1029*$AA$35,0),IFERROR(R711&lt;R915-R1029*$AA$35,0)),"",IFERROR(R711*N711,""))</f>
        <v>0</v>
      </c>
      <c r="U711" s="232" t="str">
        <f t="shared" si="558"/>
        <v>t CH4-CO2eq per kg of protein</v>
      </c>
      <c r="V711" s="28"/>
      <c r="W711" s="28"/>
      <c r="Y711" s="91"/>
      <c r="AO711" s="91"/>
      <c r="AP711" s="28"/>
      <c r="AQ711" s="28"/>
      <c r="AR711" s="237"/>
      <c r="AS711" s="28"/>
      <c r="AT711" s="304" t="str">
        <f t="shared" si="570"/>
        <v/>
      </c>
      <c r="AU711" s="304" t="str">
        <f t="shared" si="570"/>
        <v/>
      </c>
      <c r="AV711" s="28"/>
      <c r="AW711" s="304" t="str">
        <f t="shared" si="559"/>
        <v/>
      </c>
      <c r="AX711" s="304" t="str">
        <f t="shared" si="559"/>
        <v/>
      </c>
      <c r="AY711" s="28"/>
      <c r="AZ711" s="304" t="str">
        <f t="shared" si="560"/>
        <v/>
      </c>
      <c r="BA711" s="304" t="str">
        <f t="shared" si="560"/>
        <v/>
      </c>
      <c r="BB711" s="28"/>
      <c r="BC711" s="304" t="str">
        <f t="shared" si="561"/>
        <v/>
      </c>
      <c r="BD711" s="304" t="str">
        <f t="shared" si="561"/>
        <v/>
      </c>
      <c r="BE711" s="28"/>
      <c r="BF711" s="304" t="str">
        <f t="shared" si="562"/>
        <v/>
      </c>
      <c r="BG711" s="304" t="str">
        <f t="shared" si="562"/>
        <v/>
      </c>
      <c r="BH711" s="28"/>
      <c r="BI711" s="304">
        <f t="shared" si="563"/>
        <v>2.0627433247250608</v>
      </c>
      <c r="BJ711" s="304">
        <f t="shared" si="563"/>
        <v>2.0627433247250608</v>
      </c>
      <c r="BK711" s="28"/>
      <c r="BL711" s="304" t="str">
        <f t="shared" si="564"/>
        <v/>
      </c>
      <c r="BM711" s="304" t="str">
        <f t="shared" si="564"/>
        <v/>
      </c>
      <c r="BN711" s="28"/>
      <c r="BO711" s="304" t="str">
        <f t="shared" si="565"/>
        <v/>
      </c>
      <c r="BP711" s="304" t="str">
        <f t="shared" si="565"/>
        <v/>
      </c>
      <c r="BQ711" s="28"/>
      <c r="BR711" s="304" t="str">
        <f t="shared" si="566"/>
        <v/>
      </c>
      <c r="BS711" s="304" t="str">
        <f t="shared" si="566"/>
        <v/>
      </c>
      <c r="BT711" s="28"/>
      <c r="BU711" s="304" t="str">
        <f t="shared" si="567"/>
        <v/>
      </c>
      <c r="BV711" s="304" t="str">
        <f t="shared" si="567"/>
        <v/>
      </c>
      <c r="BW711" s="28"/>
      <c r="BX711" s="91"/>
    </row>
    <row r="712" spans="1:76" s="55" customFormat="1" x14ac:dyDescent="0.25">
      <c r="A712" s="195">
        <v>16</v>
      </c>
      <c r="B712" s="216" t="str">
        <f t="shared" si="556"/>
        <v>Middle East and Africa: FAO. 2017. Global Livestock Environmental Assessment Model (GLEAM)</v>
      </c>
      <c r="C712" s="219" t="s">
        <v>227</v>
      </c>
      <c r="D712" s="219" t="s">
        <v>379</v>
      </c>
      <c r="E712" s="219" t="s">
        <v>99</v>
      </c>
      <c r="F712" s="219" t="s">
        <v>380</v>
      </c>
      <c r="G712" s="220" t="s">
        <v>26</v>
      </c>
      <c r="H712" s="221">
        <v>2010</v>
      </c>
      <c r="I712" s="220"/>
      <c r="J712" s="370">
        <v>12463700186.456337</v>
      </c>
      <c r="K712" s="367" t="s">
        <v>372</v>
      </c>
      <c r="L712" s="241"/>
      <c r="M712" s="335" t="str">
        <f>'[1]Advanced Controls'!$I$158</f>
        <v>t CH4-CO2eq per kg of protein</v>
      </c>
      <c r="N712" s="238"/>
      <c r="O712" s="227" t="s">
        <v>390</v>
      </c>
      <c r="P712" s="122"/>
      <c r="Q712" s="228" t="s">
        <v>327</v>
      </c>
      <c r="R712" s="231" t="str">
        <f t="shared" si="568"/>
        <v/>
      </c>
      <c r="S712" s="230" t="str">
        <f t="shared" si="557"/>
        <v/>
      </c>
      <c r="T712" s="231" t="str">
        <f>IF(OR(Q712="Y",IFERROR(R712&gt;R916+R1030*$AA$35,0),IFERROR(R712&lt;R916-R1030*$AA$35,0)),"",IFERROR(R712*N712,""))</f>
        <v/>
      </c>
      <c r="U712" s="232" t="str">
        <f t="shared" si="558"/>
        <v>t CH4-CO2eq per kg of protein</v>
      </c>
      <c r="V712" s="28"/>
      <c r="W712" s="28"/>
      <c r="Y712" s="91"/>
      <c r="AO712" s="91"/>
      <c r="AP712" s="28"/>
      <c r="AQ712" s="28"/>
      <c r="AR712" s="237"/>
      <c r="AS712" s="28"/>
      <c r="AT712" s="304" t="str">
        <f t="shared" si="570"/>
        <v/>
      </c>
      <c r="AU712" s="304" t="str">
        <f t="shared" si="570"/>
        <v/>
      </c>
      <c r="AV712" s="28"/>
      <c r="AW712" s="304" t="str">
        <f t="shared" si="559"/>
        <v/>
      </c>
      <c r="AX712" s="304" t="str">
        <f t="shared" si="559"/>
        <v/>
      </c>
      <c r="AY712" s="28"/>
      <c r="AZ712" s="304" t="str">
        <f t="shared" si="560"/>
        <v/>
      </c>
      <c r="BA712" s="304" t="str">
        <f t="shared" si="560"/>
        <v/>
      </c>
      <c r="BB712" s="28"/>
      <c r="BC712" s="304" t="str">
        <f t="shared" si="561"/>
        <v/>
      </c>
      <c r="BD712" s="304" t="str">
        <f t="shared" si="561"/>
        <v/>
      </c>
      <c r="BE712" s="28"/>
      <c r="BF712" s="304" t="str">
        <f t="shared" si="562"/>
        <v/>
      </c>
      <c r="BG712" s="304" t="str">
        <f t="shared" si="562"/>
        <v/>
      </c>
      <c r="BH712" s="28"/>
      <c r="BI712" s="304" t="str">
        <f t="shared" si="563"/>
        <v/>
      </c>
      <c r="BJ712" s="304" t="str">
        <f t="shared" si="563"/>
        <v/>
      </c>
      <c r="BK712" s="28"/>
      <c r="BL712" s="304" t="str">
        <f t="shared" si="564"/>
        <v/>
      </c>
      <c r="BM712" s="304" t="str">
        <f t="shared" si="564"/>
        <v/>
      </c>
      <c r="BN712" s="28"/>
      <c r="BO712" s="304" t="str">
        <f t="shared" si="565"/>
        <v/>
      </c>
      <c r="BP712" s="304" t="str">
        <f t="shared" si="565"/>
        <v/>
      </c>
      <c r="BQ712" s="28"/>
      <c r="BR712" s="304" t="str">
        <f t="shared" si="566"/>
        <v/>
      </c>
      <c r="BS712" s="304" t="str">
        <f t="shared" si="566"/>
        <v/>
      </c>
      <c r="BT712" s="28"/>
      <c r="BU712" s="304" t="str">
        <f t="shared" si="567"/>
        <v/>
      </c>
      <c r="BV712" s="304" t="str">
        <f t="shared" si="567"/>
        <v/>
      </c>
      <c r="BW712" s="28"/>
      <c r="BX712" s="91"/>
    </row>
    <row r="713" spans="1:76" s="55" customFormat="1" x14ac:dyDescent="0.25">
      <c r="A713" s="195">
        <v>17</v>
      </c>
      <c r="B713" s="216" t="str">
        <f t="shared" si="556"/>
        <v>OECD90: FAO. 2017. Global Livestock Environmental Assessment Model (GLEAM)</v>
      </c>
      <c r="C713" s="219" t="s">
        <v>227</v>
      </c>
      <c r="D713" s="219" t="s">
        <v>381</v>
      </c>
      <c r="E713" s="219" t="s">
        <v>96</v>
      </c>
      <c r="F713" s="219" t="s">
        <v>179</v>
      </c>
      <c r="G713" s="220" t="s">
        <v>26</v>
      </c>
      <c r="H713" s="221">
        <v>2010</v>
      </c>
      <c r="I713" s="220"/>
      <c r="J713" s="370">
        <v>31368334268.169998</v>
      </c>
      <c r="K713" s="367" t="s">
        <v>372</v>
      </c>
      <c r="L713" s="334">
        <f>J713/[1]GHGsources!C19*0.001</f>
        <v>2.9749610864725124E-2</v>
      </c>
      <c r="M713" s="335" t="str">
        <f>'[1]Advanced Controls'!$I$158</f>
        <v>t CH4-CO2eq per kg of protein</v>
      </c>
      <c r="N713" s="238"/>
      <c r="O713" s="227" t="s">
        <v>390</v>
      </c>
      <c r="P713" s="122"/>
      <c r="Q713" s="228"/>
      <c r="R713" s="231">
        <f t="shared" si="568"/>
        <v>2.9749610864725124E-2</v>
      </c>
      <c r="S713" s="230">
        <f t="shared" si="557"/>
        <v>2.9749610864725124E-2</v>
      </c>
      <c r="T713" s="231">
        <f>IF(OR(Q713="Y",IFERROR(R713&gt;R917+R1031*$AA$35,0),IFERROR(R713&lt;R917-R1031*$AA$35,0)),"",IFERROR(R713*N713,""))</f>
        <v>0</v>
      </c>
      <c r="U713" s="232" t="str">
        <f t="shared" si="558"/>
        <v>t CH4-CO2eq per kg of protein</v>
      </c>
      <c r="V713" s="28"/>
      <c r="W713" s="28"/>
      <c r="Y713" s="91"/>
      <c r="AO713" s="91"/>
      <c r="AP713" s="28"/>
      <c r="AQ713" s="28"/>
      <c r="AR713" s="237"/>
      <c r="AS713" s="28"/>
      <c r="AT713" s="304" t="str">
        <f t="shared" si="570"/>
        <v/>
      </c>
      <c r="AU713" s="304" t="str">
        <f t="shared" si="570"/>
        <v/>
      </c>
      <c r="AV713" s="28"/>
      <c r="AW713" s="304">
        <f t="shared" ref="AW713:AX776" si="571">IF($E713=$AW$83,R713,"")</f>
        <v>2.9749610864725124E-2</v>
      </c>
      <c r="AX713" s="304">
        <f t="shared" si="571"/>
        <v>2.9749610864725124E-2</v>
      </c>
      <c r="AY713" s="28"/>
      <c r="AZ713" s="304" t="str">
        <f t="shared" ref="AZ713:BA776" si="572">IF($E713=$AZ$83,R713,"")</f>
        <v/>
      </c>
      <c r="BA713" s="304" t="str">
        <f t="shared" si="572"/>
        <v/>
      </c>
      <c r="BB713" s="28"/>
      <c r="BC713" s="304" t="str">
        <f t="shared" ref="BC713:BD776" si="573">IF($E713=$BC$83,R713,"")</f>
        <v/>
      </c>
      <c r="BD713" s="304" t="str">
        <f t="shared" si="573"/>
        <v/>
      </c>
      <c r="BE713" s="28"/>
      <c r="BF713" s="304" t="str">
        <f t="shared" ref="BF713:BG776" si="574">IF($E713=$BF$83,R713,"")</f>
        <v/>
      </c>
      <c r="BG713" s="304" t="str">
        <f t="shared" si="574"/>
        <v/>
      </c>
      <c r="BH713" s="28"/>
      <c r="BI713" s="304" t="str">
        <f t="shared" ref="BI713:BJ776" si="575">IF($E713=$BI$83,R713,"")</f>
        <v/>
      </c>
      <c r="BJ713" s="304" t="str">
        <f t="shared" si="575"/>
        <v/>
      </c>
      <c r="BK713" s="28"/>
      <c r="BL713" s="304" t="str">
        <f t="shared" ref="BL713:BM776" si="576">IF($E713=$BL$83,R713,"")</f>
        <v/>
      </c>
      <c r="BM713" s="304" t="str">
        <f t="shared" si="576"/>
        <v/>
      </c>
      <c r="BN713" s="28"/>
      <c r="BO713" s="304" t="str">
        <f t="shared" ref="BO713:BP776" si="577">IF($E713=$BO$83,R713,"")</f>
        <v/>
      </c>
      <c r="BP713" s="304" t="str">
        <f t="shared" si="577"/>
        <v/>
      </c>
      <c r="BQ713" s="28"/>
      <c r="BR713" s="304" t="str">
        <f t="shared" ref="BR713:BS776" si="578">IF($E713=$BR$83,R713,"")</f>
        <v/>
      </c>
      <c r="BS713" s="304" t="str">
        <f t="shared" si="578"/>
        <v/>
      </c>
      <c r="BT713" s="28"/>
      <c r="BU713" s="304" t="str">
        <f t="shared" ref="BU713:BV776" si="579">IF($E713=$BU$83,R713,"")</f>
        <v/>
      </c>
      <c r="BV713" s="304" t="str">
        <f t="shared" si="579"/>
        <v/>
      </c>
      <c r="BW713" s="28"/>
      <c r="BX713" s="91"/>
    </row>
    <row r="714" spans="1:76" s="55" customFormat="1" x14ac:dyDescent="0.25">
      <c r="A714" s="195">
        <v>18</v>
      </c>
      <c r="B714" s="216" t="str">
        <f t="shared" si="556"/>
        <v>OECD90: FAO. 2017. Global Livestock Environmental Assessment Model (GLEAM)</v>
      </c>
      <c r="C714" s="219" t="s">
        <v>227</v>
      </c>
      <c r="D714" s="219" t="s">
        <v>382</v>
      </c>
      <c r="E714" s="219" t="s">
        <v>96</v>
      </c>
      <c r="F714" s="219" t="s">
        <v>185</v>
      </c>
      <c r="G714" s="220" t="s">
        <v>26</v>
      </c>
      <c r="H714" s="221">
        <v>2010</v>
      </c>
      <c r="I714" s="220"/>
      <c r="J714" s="370">
        <v>6754878405.2026005</v>
      </c>
      <c r="K714" s="367" t="s">
        <v>372</v>
      </c>
      <c r="L714" s="334">
        <f>J714/[1]GHGsources!C20*0.001</f>
        <v>0.17224349365195762</v>
      </c>
      <c r="M714" s="335" t="str">
        <f>'[1]Advanced Controls'!$I$158</f>
        <v>t CH4-CO2eq per kg of protein</v>
      </c>
      <c r="N714" s="238"/>
      <c r="O714" s="227" t="s">
        <v>390</v>
      </c>
      <c r="P714" s="122"/>
      <c r="Q714" s="228"/>
      <c r="R714" s="231">
        <f t="shared" si="568"/>
        <v>0.17224349365195762</v>
      </c>
      <c r="S714" s="230">
        <f t="shared" si="557"/>
        <v>0.17224349365195762</v>
      </c>
      <c r="T714" s="231" t="str">
        <f>IF(OR(Q714="Y",IFERROR(R714&gt;R918+R1032*$AA$35,0),IFERROR(R714&lt;R918-R1032*$AA$35,0)),"",IFERROR(R714*N714,""))</f>
        <v/>
      </c>
      <c r="U714" s="232" t="str">
        <f t="shared" si="558"/>
        <v>t CH4-CO2eq per kg of protein</v>
      </c>
      <c r="V714" s="28"/>
      <c r="W714" s="28"/>
      <c r="Y714" s="91"/>
      <c r="AO714" s="91"/>
      <c r="AP714" s="28"/>
      <c r="AQ714" s="28"/>
      <c r="AR714" s="237"/>
      <c r="AS714" s="28"/>
      <c r="AT714" s="304" t="str">
        <f t="shared" ref="AT714:AU777" si="580">IF($E714=$AT$47,R714,"")</f>
        <v/>
      </c>
      <c r="AU714" s="304" t="str">
        <f t="shared" si="580"/>
        <v/>
      </c>
      <c r="AV714" s="28"/>
      <c r="AW714" s="304">
        <f t="shared" si="571"/>
        <v>0.17224349365195762</v>
      </c>
      <c r="AX714" s="304">
        <f t="shared" si="571"/>
        <v>0.17224349365195762</v>
      </c>
      <c r="AY714" s="28"/>
      <c r="AZ714" s="304" t="str">
        <f t="shared" si="572"/>
        <v/>
      </c>
      <c r="BA714" s="304" t="str">
        <f t="shared" si="572"/>
        <v/>
      </c>
      <c r="BB714" s="28"/>
      <c r="BC714" s="304" t="str">
        <f t="shared" si="573"/>
        <v/>
      </c>
      <c r="BD714" s="304" t="str">
        <f t="shared" si="573"/>
        <v/>
      </c>
      <c r="BE714" s="28"/>
      <c r="BF714" s="304" t="str">
        <f t="shared" si="574"/>
        <v/>
      </c>
      <c r="BG714" s="304" t="str">
        <f t="shared" si="574"/>
        <v/>
      </c>
      <c r="BH714" s="28"/>
      <c r="BI714" s="304" t="str">
        <f t="shared" si="575"/>
        <v/>
      </c>
      <c r="BJ714" s="304" t="str">
        <f t="shared" si="575"/>
        <v/>
      </c>
      <c r="BK714" s="28"/>
      <c r="BL714" s="304" t="str">
        <f t="shared" si="576"/>
        <v/>
      </c>
      <c r="BM714" s="304" t="str">
        <f t="shared" si="576"/>
        <v/>
      </c>
      <c r="BN714" s="28"/>
      <c r="BO714" s="304" t="str">
        <f t="shared" si="577"/>
        <v/>
      </c>
      <c r="BP714" s="304" t="str">
        <f t="shared" si="577"/>
        <v/>
      </c>
      <c r="BQ714" s="28"/>
      <c r="BR714" s="304" t="str">
        <f t="shared" si="578"/>
        <v/>
      </c>
      <c r="BS714" s="304" t="str">
        <f t="shared" si="578"/>
        <v/>
      </c>
      <c r="BT714" s="28"/>
      <c r="BU714" s="304" t="str">
        <f t="shared" si="579"/>
        <v/>
      </c>
      <c r="BV714" s="304" t="str">
        <f t="shared" si="579"/>
        <v/>
      </c>
      <c r="BW714" s="28"/>
      <c r="BX714" s="91"/>
    </row>
    <row r="715" spans="1:76" s="55" customFormat="1" x14ac:dyDescent="0.25">
      <c r="A715" s="195">
        <v>19</v>
      </c>
      <c r="B715" s="216" t="str">
        <f t="shared" si="556"/>
        <v>Eastern Europe: FAO. 2017. Global Livestock Environmental Assessment Model (GLEAM)</v>
      </c>
      <c r="C715" s="219" t="s">
        <v>227</v>
      </c>
      <c r="D715" s="219" t="s">
        <v>383</v>
      </c>
      <c r="E715" s="219" t="s">
        <v>97</v>
      </c>
      <c r="F715" s="219" t="s">
        <v>384</v>
      </c>
      <c r="G715" s="220" t="s">
        <v>26</v>
      </c>
      <c r="H715" s="221">
        <v>2010</v>
      </c>
      <c r="I715" s="220"/>
      <c r="J715" s="370">
        <v>76776928746.339996</v>
      </c>
      <c r="K715" s="367" t="s">
        <v>372</v>
      </c>
      <c r="L715" s="241"/>
      <c r="M715" s="335" t="str">
        <f>'[1]Advanced Controls'!$I$158</f>
        <v>t CH4-CO2eq per kg of protein</v>
      </c>
      <c r="N715" s="238"/>
      <c r="O715" s="227" t="s">
        <v>390</v>
      </c>
      <c r="P715" s="122"/>
      <c r="Q715" s="228" t="s">
        <v>327</v>
      </c>
      <c r="R715" s="231" t="str">
        <f t="shared" si="568"/>
        <v/>
      </c>
      <c r="S715" s="230" t="str">
        <f t="shared" si="557"/>
        <v/>
      </c>
      <c r="T715" s="231" t="str">
        <f t="shared" ref="T715:T746" si="581">IF(OR(Q715="Y",IFERROR(R715&gt;R1029+R1033*$AA$35,0),IFERROR(R715&lt;R1029-R1033*$AA$35,0)),"",IFERROR(R715*N715,""))</f>
        <v/>
      </c>
      <c r="U715" s="232" t="str">
        <f t="shared" si="558"/>
        <v>t CH4-CO2eq per kg of protein</v>
      </c>
      <c r="V715" s="28"/>
      <c r="W715" s="28"/>
      <c r="Y715" s="91"/>
      <c r="AO715" s="91"/>
      <c r="AP715" s="28"/>
      <c r="AQ715" s="28"/>
      <c r="AR715" s="237"/>
      <c r="AS715" s="28"/>
      <c r="AT715" s="304" t="str">
        <f t="shared" si="580"/>
        <v/>
      </c>
      <c r="AU715" s="304" t="str">
        <f t="shared" si="580"/>
        <v/>
      </c>
      <c r="AV715" s="28"/>
      <c r="AW715" s="304" t="str">
        <f t="shared" si="571"/>
        <v/>
      </c>
      <c r="AX715" s="304" t="str">
        <f t="shared" si="571"/>
        <v/>
      </c>
      <c r="AY715" s="28"/>
      <c r="AZ715" s="304" t="str">
        <f t="shared" si="572"/>
        <v/>
      </c>
      <c r="BA715" s="304" t="str">
        <f t="shared" si="572"/>
        <v/>
      </c>
      <c r="BB715" s="28"/>
      <c r="BC715" s="304" t="str">
        <f t="shared" si="573"/>
        <v/>
      </c>
      <c r="BD715" s="304" t="str">
        <f t="shared" si="573"/>
        <v/>
      </c>
      <c r="BE715" s="28"/>
      <c r="BF715" s="304" t="str">
        <f t="shared" si="574"/>
        <v/>
      </c>
      <c r="BG715" s="304" t="str">
        <f t="shared" si="574"/>
        <v/>
      </c>
      <c r="BH715" s="28"/>
      <c r="BI715" s="304" t="str">
        <f t="shared" si="575"/>
        <v/>
      </c>
      <c r="BJ715" s="304" t="str">
        <f t="shared" si="575"/>
        <v/>
      </c>
      <c r="BK715" s="28"/>
      <c r="BL715" s="304" t="str">
        <f t="shared" si="576"/>
        <v/>
      </c>
      <c r="BM715" s="304" t="str">
        <f t="shared" si="576"/>
        <v/>
      </c>
      <c r="BN715" s="28"/>
      <c r="BO715" s="304" t="str">
        <f t="shared" si="577"/>
        <v/>
      </c>
      <c r="BP715" s="304" t="str">
        <f t="shared" si="577"/>
        <v/>
      </c>
      <c r="BQ715" s="28"/>
      <c r="BR715" s="304" t="str">
        <f t="shared" si="578"/>
        <v/>
      </c>
      <c r="BS715" s="304" t="str">
        <f t="shared" si="578"/>
        <v/>
      </c>
      <c r="BT715" s="28"/>
      <c r="BU715" s="304" t="str">
        <f t="shared" si="579"/>
        <v/>
      </c>
      <c r="BV715" s="304" t="str">
        <f t="shared" si="579"/>
        <v/>
      </c>
      <c r="BW715" s="28"/>
      <c r="BX715" s="91"/>
    </row>
    <row r="716" spans="1:76" s="55" customFormat="1" x14ac:dyDescent="0.25">
      <c r="A716" s="195">
        <v>20</v>
      </c>
      <c r="B716" s="216" t="str">
        <f t="shared" si="556"/>
        <v>Asia (Sans Japan): FAO. 2017. Global Livestock Environmental Assessment Model (GLEAM)</v>
      </c>
      <c r="C716" s="219" t="s">
        <v>227</v>
      </c>
      <c r="D716" s="219" t="s">
        <v>385</v>
      </c>
      <c r="E716" s="219" t="s">
        <v>98</v>
      </c>
      <c r="F716" s="219" t="s">
        <v>386</v>
      </c>
      <c r="G716" s="220" t="s">
        <v>26</v>
      </c>
      <c r="H716" s="221">
        <v>2010</v>
      </c>
      <c r="I716" s="220"/>
      <c r="J716" s="370"/>
      <c r="K716" s="367" t="s">
        <v>372</v>
      </c>
      <c r="L716" s="241"/>
      <c r="M716" s="335" t="str">
        <f>'[1]Advanced Controls'!$I$158</f>
        <v>t CH4-CO2eq per kg of protein</v>
      </c>
      <c r="N716" s="238"/>
      <c r="O716" s="227" t="s">
        <v>390</v>
      </c>
      <c r="P716" s="122"/>
      <c r="Q716" s="228"/>
      <c r="R716" s="231" t="str">
        <f t="shared" si="568"/>
        <v/>
      </c>
      <c r="S716" s="230" t="str">
        <f t="shared" si="557"/>
        <v/>
      </c>
      <c r="T716" s="231" t="str">
        <f t="shared" si="581"/>
        <v/>
      </c>
      <c r="U716" s="232" t="str">
        <f t="shared" si="558"/>
        <v>t CH4-CO2eq per kg of protein</v>
      </c>
      <c r="V716" s="28"/>
      <c r="W716" s="28"/>
      <c r="Y716" s="91"/>
      <c r="AO716" s="91"/>
      <c r="AP716" s="28"/>
      <c r="AQ716" s="28"/>
      <c r="AR716" s="237"/>
      <c r="AS716" s="28"/>
      <c r="AT716" s="304" t="str">
        <f t="shared" si="580"/>
        <v/>
      </c>
      <c r="AU716" s="304" t="str">
        <f t="shared" si="580"/>
        <v/>
      </c>
      <c r="AV716" s="28"/>
      <c r="AW716" s="304" t="str">
        <f t="shared" si="571"/>
        <v/>
      </c>
      <c r="AX716" s="304" t="str">
        <f t="shared" si="571"/>
        <v/>
      </c>
      <c r="AY716" s="28"/>
      <c r="AZ716" s="304" t="str">
        <f t="shared" si="572"/>
        <v/>
      </c>
      <c r="BA716" s="304" t="str">
        <f t="shared" si="572"/>
        <v/>
      </c>
      <c r="BB716" s="28"/>
      <c r="BC716" s="304" t="str">
        <f t="shared" si="573"/>
        <v/>
      </c>
      <c r="BD716" s="304" t="str">
        <f t="shared" si="573"/>
        <v/>
      </c>
      <c r="BE716" s="28"/>
      <c r="BF716" s="304" t="str">
        <f t="shared" si="574"/>
        <v/>
      </c>
      <c r="BG716" s="304" t="str">
        <f t="shared" si="574"/>
        <v/>
      </c>
      <c r="BH716" s="28"/>
      <c r="BI716" s="304" t="str">
        <f t="shared" si="575"/>
        <v/>
      </c>
      <c r="BJ716" s="304" t="str">
        <f t="shared" si="575"/>
        <v/>
      </c>
      <c r="BK716" s="28"/>
      <c r="BL716" s="304" t="str">
        <f t="shared" si="576"/>
        <v/>
      </c>
      <c r="BM716" s="304" t="str">
        <f t="shared" si="576"/>
        <v/>
      </c>
      <c r="BN716" s="28"/>
      <c r="BO716" s="304" t="str">
        <f t="shared" si="577"/>
        <v/>
      </c>
      <c r="BP716" s="304" t="str">
        <f t="shared" si="577"/>
        <v/>
      </c>
      <c r="BQ716" s="28"/>
      <c r="BR716" s="304" t="str">
        <f t="shared" si="578"/>
        <v/>
      </c>
      <c r="BS716" s="304" t="str">
        <f t="shared" si="578"/>
        <v/>
      </c>
      <c r="BT716" s="28"/>
      <c r="BU716" s="304" t="str">
        <f t="shared" si="579"/>
        <v/>
      </c>
      <c r="BV716" s="304" t="str">
        <f t="shared" si="579"/>
        <v/>
      </c>
      <c r="BW716" s="28"/>
      <c r="BX716" s="91"/>
    </row>
    <row r="717" spans="1:76" s="55" customFormat="1" x14ac:dyDescent="0.25">
      <c r="A717" s="195">
        <v>21</v>
      </c>
      <c r="B717" s="216" t="str">
        <f t="shared" si="556"/>
        <v>Middle East and Africa: FAO. 2017. Global Livestock Environmental Assessment Model (GLEAM)</v>
      </c>
      <c r="C717" s="219" t="s">
        <v>227</v>
      </c>
      <c r="D717" s="219" t="s">
        <v>387</v>
      </c>
      <c r="E717" s="219" t="s">
        <v>99</v>
      </c>
      <c r="F717" s="219" t="s">
        <v>388</v>
      </c>
      <c r="G717" s="220" t="s">
        <v>26</v>
      </c>
      <c r="H717" s="221">
        <v>2010</v>
      </c>
      <c r="I717" s="220"/>
      <c r="J717" s="370">
        <v>53506638041.099998</v>
      </c>
      <c r="K717" s="367" t="s">
        <v>372</v>
      </c>
      <c r="L717" s="334">
        <f>J717/[1]GHGsources!C23*0.001</f>
        <v>3.3893999509179586</v>
      </c>
      <c r="M717" s="335" t="str">
        <f>'[1]Advanced Controls'!$I$158</f>
        <v>t CH4-CO2eq per kg of protein</v>
      </c>
      <c r="N717" s="238"/>
      <c r="O717" s="227" t="s">
        <v>390</v>
      </c>
      <c r="P717" s="122"/>
      <c r="Q717" s="228"/>
      <c r="R717" s="231">
        <f t="shared" si="568"/>
        <v>3.3893999509179586</v>
      </c>
      <c r="S717" s="230" t="str">
        <f t="shared" si="557"/>
        <v/>
      </c>
      <c r="T717" s="231" t="str">
        <f t="shared" si="581"/>
        <v/>
      </c>
      <c r="U717" s="232" t="str">
        <f t="shared" si="558"/>
        <v>t CH4-CO2eq per kg of protein</v>
      </c>
      <c r="V717" s="28"/>
      <c r="W717" s="28"/>
      <c r="Y717" s="91"/>
      <c r="AO717" s="91"/>
      <c r="AP717" s="28"/>
      <c r="AQ717" s="28"/>
      <c r="AR717" s="237"/>
      <c r="AS717" s="28"/>
      <c r="AT717" s="304" t="str">
        <f t="shared" si="580"/>
        <v/>
      </c>
      <c r="AU717" s="304" t="str">
        <f t="shared" si="580"/>
        <v/>
      </c>
      <c r="AV717" s="28"/>
      <c r="AW717" s="304" t="str">
        <f t="shared" si="571"/>
        <v/>
      </c>
      <c r="AX717" s="304" t="str">
        <f t="shared" si="571"/>
        <v/>
      </c>
      <c r="AY717" s="28"/>
      <c r="AZ717" s="304" t="str">
        <f t="shared" si="572"/>
        <v/>
      </c>
      <c r="BA717" s="304" t="str">
        <f t="shared" si="572"/>
        <v/>
      </c>
      <c r="BB717" s="28"/>
      <c r="BC717" s="304" t="str">
        <f t="shared" si="573"/>
        <v/>
      </c>
      <c r="BD717" s="304" t="str">
        <f t="shared" si="573"/>
        <v/>
      </c>
      <c r="BE717" s="28"/>
      <c r="BF717" s="304">
        <f t="shared" si="574"/>
        <v>3.3893999509179586</v>
      </c>
      <c r="BG717" s="304" t="str">
        <f t="shared" si="574"/>
        <v/>
      </c>
      <c r="BH717" s="28"/>
      <c r="BI717" s="304" t="str">
        <f t="shared" si="575"/>
        <v/>
      </c>
      <c r="BJ717" s="304" t="str">
        <f t="shared" si="575"/>
        <v/>
      </c>
      <c r="BK717" s="28"/>
      <c r="BL717" s="304" t="str">
        <f t="shared" si="576"/>
        <v/>
      </c>
      <c r="BM717" s="304" t="str">
        <f t="shared" si="576"/>
        <v/>
      </c>
      <c r="BN717" s="28"/>
      <c r="BO717" s="304" t="str">
        <f t="shared" si="577"/>
        <v/>
      </c>
      <c r="BP717" s="304" t="str">
        <f t="shared" si="577"/>
        <v/>
      </c>
      <c r="BQ717" s="28"/>
      <c r="BR717" s="304" t="str">
        <f t="shared" si="578"/>
        <v/>
      </c>
      <c r="BS717" s="304" t="str">
        <f t="shared" si="578"/>
        <v/>
      </c>
      <c r="BT717" s="28"/>
      <c r="BU717" s="304" t="str">
        <f t="shared" si="579"/>
        <v/>
      </c>
      <c r="BV717" s="304" t="str">
        <f t="shared" si="579"/>
        <v/>
      </c>
      <c r="BW717" s="28"/>
      <c r="BX717" s="91"/>
    </row>
    <row r="718" spans="1:76" s="55" customFormat="1" x14ac:dyDescent="0.25">
      <c r="A718" s="195">
        <v>22</v>
      </c>
      <c r="B718" s="216" t="str">
        <f t="shared" si="556"/>
        <v>OECD90: FAO. 2017. Global Livestock Environmental Assessment Model (GLEAM)</v>
      </c>
      <c r="C718" s="219" t="s">
        <v>227</v>
      </c>
      <c r="D718" s="219" t="s">
        <v>389</v>
      </c>
      <c r="E718" s="219" t="s">
        <v>96</v>
      </c>
      <c r="F718" s="219" t="s">
        <v>176</v>
      </c>
      <c r="G718" s="220" t="s">
        <v>26</v>
      </c>
      <c r="H718" s="221">
        <v>2010</v>
      </c>
      <c r="I718" s="220"/>
      <c r="J718" s="370">
        <v>51133539715.5</v>
      </c>
      <c r="K718" s="367" t="s">
        <v>372</v>
      </c>
      <c r="L718" s="334">
        <f>J718/[1]GHGsources!C24*0.001</f>
        <v>8.8550871197201779</v>
      </c>
      <c r="M718" s="335" t="str">
        <f>'[1]Advanced Controls'!$I$158</f>
        <v>t CH4-CO2eq per kg of protein</v>
      </c>
      <c r="N718" s="238"/>
      <c r="O718" s="227" t="s">
        <v>390</v>
      </c>
      <c r="P718" s="122"/>
      <c r="Q718" s="228"/>
      <c r="R718" s="231">
        <f t="shared" si="568"/>
        <v>8.8550871197201779</v>
      </c>
      <c r="S718" s="230" t="str">
        <f t="shared" si="557"/>
        <v/>
      </c>
      <c r="T718" s="231" t="str">
        <f t="shared" si="581"/>
        <v/>
      </c>
      <c r="U718" s="232" t="str">
        <f t="shared" si="558"/>
        <v>t CH4-CO2eq per kg of protein</v>
      </c>
      <c r="V718" s="28"/>
      <c r="W718" s="28"/>
      <c r="Y718" s="91"/>
      <c r="AO718" s="91"/>
      <c r="AP718" s="28"/>
      <c r="AQ718" s="28"/>
      <c r="AR718" s="237"/>
      <c r="AS718" s="28"/>
      <c r="AT718" s="304" t="str">
        <f t="shared" si="580"/>
        <v/>
      </c>
      <c r="AU718" s="304" t="str">
        <f t="shared" si="580"/>
        <v/>
      </c>
      <c r="AV718" s="28"/>
      <c r="AW718" s="304">
        <f t="shared" si="571"/>
        <v>8.8550871197201779</v>
      </c>
      <c r="AX718" s="304" t="str">
        <f t="shared" si="571"/>
        <v/>
      </c>
      <c r="AY718" s="28"/>
      <c r="AZ718" s="304" t="str">
        <f t="shared" si="572"/>
        <v/>
      </c>
      <c r="BA718" s="304" t="str">
        <f t="shared" si="572"/>
        <v/>
      </c>
      <c r="BB718" s="28"/>
      <c r="BC718" s="304" t="str">
        <f t="shared" si="573"/>
        <v/>
      </c>
      <c r="BD718" s="304" t="str">
        <f t="shared" si="573"/>
        <v/>
      </c>
      <c r="BE718" s="28"/>
      <c r="BF718" s="304" t="str">
        <f t="shared" si="574"/>
        <v/>
      </c>
      <c r="BG718" s="304" t="str">
        <f t="shared" si="574"/>
        <v/>
      </c>
      <c r="BH718" s="28"/>
      <c r="BI718" s="304" t="str">
        <f t="shared" si="575"/>
        <v/>
      </c>
      <c r="BJ718" s="304" t="str">
        <f t="shared" si="575"/>
        <v/>
      </c>
      <c r="BK718" s="28"/>
      <c r="BL718" s="304" t="str">
        <f t="shared" si="576"/>
        <v/>
      </c>
      <c r="BM718" s="304" t="str">
        <f t="shared" si="576"/>
        <v/>
      </c>
      <c r="BN718" s="28"/>
      <c r="BO718" s="304" t="str">
        <f t="shared" si="577"/>
        <v/>
      </c>
      <c r="BP718" s="304" t="str">
        <f t="shared" si="577"/>
        <v/>
      </c>
      <c r="BQ718" s="28"/>
      <c r="BR718" s="304" t="str">
        <f t="shared" si="578"/>
        <v/>
      </c>
      <c r="BS718" s="304" t="str">
        <f t="shared" si="578"/>
        <v/>
      </c>
      <c r="BT718" s="28"/>
      <c r="BU718" s="304" t="str">
        <f t="shared" si="579"/>
        <v/>
      </c>
      <c r="BV718" s="304" t="str">
        <f t="shared" si="579"/>
        <v/>
      </c>
      <c r="BW718" s="28"/>
      <c r="BX718" s="91"/>
    </row>
    <row r="719" spans="1:76" s="55" customFormat="1" x14ac:dyDescent="0.25">
      <c r="A719" s="195">
        <v>23</v>
      </c>
      <c r="B719" s="216" t="str">
        <f t="shared" si="556"/>
        <v>World: FAO. 2017. Global Livestock Environmental Assessment Model (GLEAM)</v>
      </c>
      <c r="C719" s="219" t="s">
        <v>227</v>
      </c>
      <c r="D719" s="219" t="s">
        <v>370</v>
      </c>
      <c r="E719" s="219" t="s">
        <v>95</v>
      </c>
      <c r="F719" s="219" t="s">
        <v>371</v>
      </c>
      <c r="G719" s="220" t="s">
        <v>26</v>
      </c>
      <c r="H719" s="221">
        <v>2010</v>
      </c>
      <c r="I719" s="220"/>
      <c r="J719" s="370">
        <v>537279628859.7149</v>
      </c>
      <c r="K719" s="367" t="s">
        <v>372</v>
      </c>
      <c r="L719" s="334">
        <f>J719/[1]GHGsources!D14*0.001</f>
        <v>5.1970453497040769E-2</v>
      </c>
      <c r="M719" s="335" t="str">
        <f>'[1]Advanced Controls'!$I$158</f>
        <v>t CH4-CO2eq per kg of protein</v>
      </c>
      <c r="N719" s="238"/>
      <c r="O719" s="227" t="s">
        <v>391</v>
      </c>
      <c r="P719" s="122"/>
      <c r="Q719" s="228"/>
      <c r="R719" s="231">
        <f t="shared" si="568"/>
        <v>5.1970453497040769E-2</v>
      </c>
      <c r="S719" s="230">
        <f t="shared" si="557"/>
        <v>5.1970453497040769E-2</v>
      </c>
      <c r="T719" s="231" t="str">
        <f t="shared" si="581"/>
        <v/>
      </c>
      <c r="U719" s="232" t="str">
        <f t="shared" si="558"/>
        <v>t CH4-CO2eq per kg of protein</v>
      </c>
      <c r="V719" s="28"/>
      <c r="W719" s="28"/>
      <c r="Y719" s="91"/>
      <c r="AO719" s="91"/>
      <c r="AP719" s="28"/>
      <c r="AQ719" s="28"/>
      <c r="AR719" s="237"/>
      <c r="AS719" s="28"/>
      <c r="AT719" s="304">
        <f t="shared" si="580"/>
        <v>5.1970453497040769E-2</v>
      </c>
      <c r="AU719" s="304">
        <f t="shared" si="580"/>
        <v>5.1970453497040769E-2</v>
      </c>
      <c r="AV719" s="28"/>
      <c r="AW719" s="304" t="str">
        <f t="shared" si="571"/>
        <v/>
      </c>
      <c r="AX719" s="304" t="str">
        <f t="shared" si="571"/>
        <v/>
      </c>
      <c r="AY719" s="28"/>
      <c r="AZ719" s="304" t="str">
        <f t="shared" si="572"/>
        <v/>
      </c>
      <c r="BA719" s="304" t="str">
        <f t="shared" si="572"/>
        <v/>
      </c>
      <c r="BB719" s="28"/>
      <c r="BC719" s="304" t="str">
        <f t="shared" si="573"/>
        <v/>
      </c>
      <c r="BD719" s="304" t="str">
        <f t="shared" si="573"/>
        <v/>
      </c>
      <c r="BE719" s="28"/>
      <c r="BF719" s="304" t="str">
        <f t="shared" si="574"/>
        <v/>
      </c>
      <c r="BG719" s="304" t="str">
        <f t="shared" si="574"/>
        <v/>
      </c>
      <c r="BH719" s="28"/>
      <c r="BI719" s="304" t="str">
        <f t="shared" si="575"/>
        <v/>
      </c>
      <c r="BJ719" s="304" t="str">
        <f t="shared" si="575"/>
        <v/>
      </c>
      <c r="BK719" s="28"/>
      <c r="BL719" s="304" t="str">
        <f t="shared" si="576"/>
        <v/>
      </c>
      <c r="BM719" s="304" t="str">
        <f t="shared" si="576"/>
        <v/>
      </c>
      <c r="BN719" s="28"/>
      <c r="BO719" s="304" t="str">
        <f t="shared" si="577"/>
        <v/>
      </c>
      <c r="BP719" s="304" t="str">
        <f t="shared" si="577"/>
        <v/>
      </c>
      <c r="BQ719" s="28"/>
      <c r="BR719" s="304" t="str">
        <f t="shared" si="578"/>
        <v/>
      </c>
      <c r="BS719" s="304" t="str">
        <f t="shared" si="578"/>
        <v/>
      </c>
      <c r="BT719" s="28"/>
      <c r="BU719" s="304" t="str">
        <f t="shared" si="579"/>
        <v/>
      </c>
      <c r="BV719" s="304" t="str">
        <f t="shared" si="579"/>
        <v/>
      </c>
      <c r="BW719" s="28"/>
      <c r="BX719" s="91"/>
    </row>
    <row r="720" spans="1:76" s="55" customFormat="1" x14ac:dyDescent="0.25">
      <c r="A720" s="195">
        <v>24</v>
      </c>
      <c r="B720" s="216" t="str">
        <f t="shared" si="556"/>
        <v>Asia (Sans Japan): FAO. 2017. Global Livestock Environmental Assessment Model (GLEAM)</v>
      </c>
      <c r="C720" s="219" t="s">
        <v>227</v>
      </c>
      <c r="D720" s="219" t="s">
        <v>374</v>
      </c>
      <c r="E720" s="219" t="s">
        <v>98</v>
      </c>
      <c r="F720" s="219" t="s">
        <v>375</v>
      </c>
      <c r="G720" s="220" t="s">
        <v>26</v>
      </c>
      <c r="H720" s="221">
        <v>2010</v>
      </c>
      <c r="I720" s="220"/>
      <c r="J720" s="370">
        <v>43066873622.299713</v>
      </c>
      <c r="K720" s="367" t="s">
        <v>372</v>
      </c>
      <c r="L720" s="334">
        <f>J720/[1]GHGsources!D15*0.001</f>
        <v>4.0841569497011072E-2</v>
      </c>
      <c r="M720" s="335" t="str">
        <f>'[1]Advanced Controls'!$I$158</f>
        <v>t CH4-CO2eq per kg of protein</v>
      </c>
      <c r="N720" s="238"/>
      <c r="O720" s="227" t="s">
        <v>391</v>
      </c>
      <c r="P720" s="122"/>
      <c r="Q720" s="228"/>
      <c r="R720" s="231">
        <f t="shared" si="568"/>
        <v>4.0841569497011072E-2</v>
      </c>
      <c r="S720" s="230">
        <f t="shared" si="557"/>
        <v>4.0841569497011072E-2</v>
      </c>
      <c r="T720" s="231">
        <f t="shared" si="581"/>
        <v>0</v>
      </c>
      <c r="U720" s="232" t="str">
        <f t="shared" si="558"/>
        <v>t CH4-CO2eq per kg of protein</v>
      </c>
      <c r="V720" s="28"/>
      <c r="W720" s="28"/>
      <c r="Y720" s="91"/>
      <c r="AO720" s="91"/>
      <c r="AP720" s="28"/>
      <c r="AQ720" s="28"/>
      <c r="AR720" s="237"/>
      <c r="AS720" s="28"/>
      <c r="AT720" s="304" t="str">
        <f t="shared" si="580"/>
        <v/>
      </c>
      <c r="AU720" s="304" t="str">
        <f t="shared" si="580"/>
        <v/>
      </c>
      <c r="AV720" s="28"/>
      <c r="AW720" s="304" t="str">
        <f t="shared" si="571"/>
        <v/>
      </c>
      <c r="AX720" s="304" t="str">
        <f t="shared" si="571"/>
        <v/>
      </c>
      <c r="AY720" s="28"/>
      <c r="AZ720" s="304" t="str">
        <f t="shared" si="572"/>
        <v/>
      </c>
      <c r="BA720" s="304" t="str">
        <f t="shared" si="572"/>
        <v/>
      </c>
      <c r="BB720" s="28"/>
      <c r="BC720" s="304">
        <f t="shared" si="573"/>
        <v>4.0841569497011072E-2</v>
      </c>
      <c r="BD720" s="304">
        <f t="shared" si="573"/>
        <v>4.0841569497011072E-2</v>
      </c>
      <c r="BE720" s="28"/>
      <c r="BF720" s="304" t="str">
        <f t="shared" si="574"/>
        <v/>
      </c>
      <c r="BG720" s="304" t="str">
        <f t="shared" si="574"/>
        <v/>
      </c>
      <c r="BH720" s="28"/>
      <c r="BI720" s="304" t="str">
        <f t="shared" si="575"/>
        <v/>
      </c>
      <c r="BJ720" s="304" t="str">
        <f t="shared" si="575"/>
        <v/>
      </c>
      <c r="BK720" s="28"/>
      <c r="BL720" s="304" t="str">
        <f t="shared" si="576"/>
        <v/>
      </c>
      <c r="BM720" s="304" t="str">
        <f t="shared" si="576"/>
        <v/>
      </c>
      <c r="BN720" s="28"/>
      <c r="BO720" s="304" t="str">
        <f t="shared" si="577"/>
        <v/>
      </c>
      <c r="BP720" s="304" t="str">
        <f t="shared" si="577"/>
        <v/>
      </c>
      <c r="BQ720" s="28"/>
      <c r="BR720" s="304" t="str">
        <f t="shared" si="578"/>
        <v/>
      </c>
      <c r="BS720" s="304" t="str">
        <f t="shared" si="578"/>
        <v/>
      </c>
      <c r="BT720" s="28"/>
      <c r="BU720" s="304" t="str">
        <f t="shared" si="579"/>
        <v/>
      </c>
      <c r="BV720" s="304" t="str">
        <f t="shared" si="579"/>
        <v/>
      </c>
      <c r="BW720" s="28"/>
      <c r="BX720" s="91"/>
    </row>
    <row r="721" spans="1:76" s="55" customFormat="1" x14ac:dyDescent="0.25">
      <c r="A721" s="195">
        <v>25</v>
      </c>
      <c r="B721" s="216" t="str">
        <f t="shared" si="556"/>
        <v>Eastern Europe: FAO. 2017. Global Livestock Environmental Assessment Model (GLEAM)</v>
      </c>
      <c r="C721" s="219" t="s">
        <v>227</v>
      </c>
      <c r="D721" s="219" t="s">
        <v>376</v>
      </c>
      <c r="E721" s="219" t="s">
        <v>97</v>
      </c>
      <c r="F721" s="219" t="s">
        <v>97</v>
      </c>
      <c r="G721" s="220" t="s">
        <v>26</v>
      </c>
      <c r="H721" s="221">
        <v>2010</v>
      </c>
      <c r="I721" s="220"/>
      <c r="J721" s="370">
        <v>54017983771.308533</v>
      </c>
      <c r="K721" s="367" t="s">
        <v>372</v>
      </c>
      <c r="L721" s="334">
        <f>J721/[1]GHGsources!D16*0.001</f>
        <v>0.1812122432973636</v>
      </c>
      <c r="M721" s="335" t="str">
        <f>'[1]Advanced Controls'!$I$158</f>
        <v>t CH4-CO2eq per kg of protein</v>
      </c>
      <c r="N721" s="238"/>
      <c r="O721" s="227" t="s">
        <v>391</v>
      </c>
      <c r="P721" s="122"/>
      <c r="Q721" s="228"/>
      <c r="R721" s="231">
        <f t="shared" si="568"/>
        <v>0.1812122432973636</v>
      </c>
      <c r="S721" s="230">
        <f t="shared" si="557"/>
        <v>0.1812122432973636</v>
      </c>
      <c r="T721" s="231" t="str">
        <f t="shared" si="581"/>
        <v/>
      </c>
      <c r="U721" s="232" t="str">
        <f t="shared" si="558"/>
        <v>t CH4-CO2eq per kg of protein</v>
      </c>
      <c r="V721" s="28"/>
      <c r="W721" s="28"/>
      <c r="Y721" s="91"/>
      <c r="AO721" s="91"/>
      <c r="AP721" s="28"/>
      <c r="AQ721" s="28"/>
      <c r="AR721" s="237"/>
      <c r="AS721" s="28"/>
      <c r="AT721" s="304" t="str">
        <f t="shared" si="580"/>
        <v/>
      </c>
      <c r="AU721" s="304" t="str">
        <f t="shared" si="580"/>
        <v/>
      </c>
      <c r="AV721" s="28"/>
      <c r="AW721" s="304" t="str">
        <f t="shared" si="571"/>
        <v/>
      </c>
      <c r="AX721" s="304" t="str">
        <f t="shared" si="571"/>
        <v/>
      </c>
      <c r="AY721" s="28"/>
      <c r="AZ721" s="304">
        <f t="shared" si="572"/>
        <v>0.1812122432973636</v>
      </c>
      <c r="BA721" s="304">
        <f t="shared" si="572"/>
        <v>0.1812122432973636</v>
      </c>
      <c r="BB721" s="28"/>
      <c r="BC721" s="304" t="str">
        <f t="shared" si="573"/>
        <v/>
      </c>
      <c r="BD721" s="304" t="str">
        <f t="shared" si="573"/>
        <v/>
      </c>
      <c r="BE721" s="28"/>
      <c r="BF721" s="304" t="str">
        <f t="shared" si="574"/>
        <v/>
      </c>
      <c r="BG721" s="304" t="str">
        <f t="shared" si="574"/>
        <v/>
      </c>
      <c r="BH721" s="28"/>
      <c r="BI721" s="304" t="str">
        <f t="shared" si="575"/>
        <v/>
      </c>
      <c r="BJ721" s="304" t="str">
        <f t="shared" si="575"/>
        <v/>
      </c>
      <c r="BK721" s="28"/>
      <c r="BL721" s="304" t="str">
        <f t="shared" si="576"/>
        <v/>
      </c>
      <c r="BM721" s="304" t="str">
        <f t="shared" si="576"/>
        <v/>
      </c>
      <c r="BN721" s="28"/>
      <c r="BO721" s="304" t="str">
        <f t="shared" si="577"/>
        <v/>
      </c>
      <c r="BP721" s="304" t="str">
        <f t="shared" si="577"/>
        <v/>
      </c>
      <c r="BQ721" s="28"/>
      <c r="BR721" s="304" t="str">
        <f t="shared" si="578"/>
        <v/>
      </c>
      <c r="BS721" s="304" t="str">
        <f t="shared" si="578"/>
        <v/>
      </c>
      <c r="BT721" s="28"/>
      <c r="BU721" s="304" t="str">
        <f t="shared" si="579"/>
        <v/>
      </c>
      <c r="BV721" s="304" t="str">
        <f t="shared" si="579"/>
        <v/>
      </c>
      <c r="BW721" s="28"/>
      <c r="BX721" s="91"/>
    </row>
    <row r="722" spans="1:76" s="55" customFormat="1" x14ac:dyDescent="0.25">
      <c r="A722" s="195">
        <v>26</v>
      </c>
      <c r="B722" s="216" t="str">
        <f t="shared" si="556"/>
        <v>Latin America: FAO. 2017. Global Livestock Environmental Assessment Model (GLEAM)</v>
      </c>
      <c r="C722" s="219" t="s">
        <v>227</v>
      </c>
      <c r="D722" s="219" t="s">
        <v>377</v>
      </c>
      <c r="E722" s="219" t="s">
        <v>100</v>
      </c>
      <c r="F722" s="219" t="s">
        <v>378</v>
      </c>
      <c r="G722" s="220" t="s">
        <v>26</v>
      </c>
      <c r="H722" s="221">
        <v>2010</v>
      </c>
      <c r="I722" s="220"/>
      <c r="J722" s="370">
        <v>73517880401.673233</v>
      </c>
      <c r="K722" s="367" t="s">
        <v>372</v>
      </c>
      <c r="L722" s="334">
        <f>J722/[1]GHGsources!D17*0.001</f>
        <v>3.3565414685210224E-2</v>
      </c>
      <c r="M722" s="335" t="str">
        <f>'[1]Advanced Controls'!$I$158</f>
        <v>t CH4-CO2eq per kg of protein</v>
      </c>
      <c r="N722" s="238"/>
      <c r="O722" s="227" t="s">
        <v>391</v>
      </c>
      <c r="P722" s="122"/>
      <c r="Q722" s="228"/>
      <c r="R722" s="231">
        <f t="shared" si="568"/>
        <v>3.3565414685210224E-2</v>
      </c>
      <c r="S722" s="230">
        <f t="shared" si="557"/>
        <v>3.3565414685210224E-2</v>
      </c>
      <c r="T722" s="231">
        <f t="shared" si="581"/>
        <v>0</v>
      </c>
      <c r="U722" s="232" t="str">
        <f t="shared" si="558"/>
        <v>t CH4-CO2eq per kg of protein</v>
      </c>
      <c r="V722" s="28"/>
      <c r="W722" s="28"/>
      <c r="Y722" s="91"/>
      <c r="AO722" s="91"/>
      <c r="AP722" s="28"/>
      <c r="AQ722" s="28"/>
      <c r="AR722" s="237"/>
      <c r="AS722" s="28"/>
      <c r="AT722" s="304" t="str">
        <f t="shared" si="580"/>
        <v/>
      </c>
      <c r="AU722" s="304" t="str">
        <f t="shared" si="580"/>
        <v/>
      </c>
      <c r="AV722" s="28"/>
      <c r="AW722" s="304" t="str">
        <f t="shared" si="571"/>
        <v/>
      </c>
      <c r="AX722" s="304" t="str">
        <f t="shared" si="571"/>
        <v/>
      </c>
      <c r="AY722" s="28"/>
      <c r="AZ722" s="304" t="str">
        <f t="shared" si="572"/>
        <v/>
      </c>
      <c r="BA722" s="304" t="str">
        <f t="shared" si="572"/>
        <v/>
      </c>
      <c r="BB722" s="28"/>
      <c r="BC722" s="304" t="str">
        <f t="shared" si="573"/>
        <v/>
      </c>
      <c r="BD722" s="304" t="str">
        <f t="shared" si="573"/>
        <v/>
      </c>
      <c r="BE722" s="28"/>
      <c r="BF722" s="304" t="str">
        <f t="shared" si="574"/>
        <v/>
      </c>
      <c r="BG722" s="304" t="str">
        <f t="shared" si="574"/>
        <v/>
      </c>
      <c r="BH722" s="28"/>
      <c r="BI722" s="304">
        <f t="shared" si="575"/>
        <v>3.3565414685210224E-2</v>
      </c>
      <c r="BJ722" s="304">
        <f t="shared" si="575"/>
        <v>3.3565414685210224E-2</v>
      </c>
      <c r="BK722" s="28"/>
      <c r="BL722" s="304" t="str">
        <f t="shared" si="576"/>
        <v/>
      </c>
      <c r="BM722" s="304" t="str">
        <f t="shared" si="576"/>
        <v/>
      </c>
      <c r="BN722" s="28"/>
      <c r="BO722" s="304" t="str">
        <f t="shared" si="577"/>
        <v/>
      </c>
      <c r="BP722" s="304" t="str">
        <f t="shared" si="577"/>
        <v/>
      </c>
      <c r="BQ722" s="28"/>
      <c r="BR722" s="304" t="str">
        <f t="shared" si="578"/>
        <v/>
      </c>
      <c r="BS722" s="304" t="str">
        <f t="shared" si="578"/>
        <v/>
      </c>
      <c r="BT722" s="28"/>
      <c r="BU722" s="304" t="str">
        <f t="shared" si="579"/>
        <v/>
      </c>
      <c r="BV722" s="304" t="str">
        <f t="shared" si="579"/>
        <v/>
      </c>
      <c r="BW722" s="28"/>
      <c r="BX722" s="91"/>
    </row>
    <row r="723" spans="1:76" s="55" customFormat="1" x14ac:dyDescent="0.25">
      <c r="A723" s="195">
        <v>27</v>
      </c>
      <c r="B723" s="216" t="str">
        <f t="shared" si="556"/>
        <v>Middle East and Africa: FAO. 2017. Global Livestock Environmental Assessment Model (GLEAM)</v>
      </c>
      <c r="C723" s="219" t="s">
        <v>227</v>
      </c>
      <c r="D723" s="219" t="s">
        <v>379</v>
      </c>
      <c r="E723" s="219" t="s">
        <v>99</v>
      </c>
      <c r="F723" s="219" t="s">
        <v>380</v>
      </c>
      <c r="G723" s="220" t="s">
        <v>26</v>
      </c>
      <c r="H723" s="221">
        <v>2010</v>
      </c>
      <c r="I723" s="220"/>
      <c r="J723" s="370">
        <v>60916692302.831329</v>
      </c>
      <c r="K723" s="367" t="s">
        <v>372</v>
      </c>
      <c r="L723" s="334">
        <f>J723/[1]GHGsources!D18*0.001</f>
        <v>7.8170258559394842E-2</v>
      </c>
      <c r="M723" s="335" t="str">
        <f>'[1]Advanced Controls'!$I$158</f>
        <v>t CH4-CO2eq per kg of protein</v>
      </c>
      <c r="N723" s="238"/>
      <c r="O723" s="227" t="s">
        <v>391</v>
      </c>
      <c r="P723" s="122"/>
      <c r="Q723" s="228"/>
      <c r="R723" s="231">
        <f t="shared" si="568"/>
        <v>7.8170258559394842E-2</v>
      </c>
      <c r="S723" s="230">
        <f t="shared" si="557"/>
        <v>7.8170258559394842E-2</v>
      </c>
      <c r="T723" s="231" t="str">
        <f t="shared" si="581"/>
        <v/>
      </c>
      <c r="U723" s="232" t="str">
        <f t="shared" si="558"/>
        <v>t CH4-CO2eq per kg of protein</v>
      </c>
      <c r="V723" s="28"/>
      <c r="W723" s="28"/>
      <c r="Y723" s="91"/>
      <c r="AO723" s="91"/>
      <c r="AP723" s="28"/>
      <c r="AQ723" s="28"/>
      <c r="AR723" s="237"/>
      <c r="AS723" s="28"/>
      <c r="AT723" s="304" t="str">
        <f t="shared" si="580"/>
        <v/>
      </c>
      <c r="AU723" s="304" t="str">
        <f t="shared" si="580"/>
        <v/>
      </c>
      <c r="AV723" s="28"/>
      <c r="AW723" s="304" t="str">
        <f t="shared" si="571"/>
        <v/>
      </c>
      <c r="AX723" s="304" t="str">
        <f t="shared" si="571"/>
        <v/>
      </c>
      <c r="AY723" s="28"/>
      <c r="AZ723" s="304" t="str">
        <f t="shared" si="572"/>
        <v/>
      </c>
      <c r="BA723" s="304" t="str">
        <f t="shared" si="572"/>
        <v/>
      </c>
      <c r="BB723" s="28"/>
      <c r="BC723" s="304" t="str">
        <f t="shared" si="573"/>
        <v/>
      </c>
      <c r="BD723" s="304" t="str">
        <f t="shared" si="573"/>
        <v/>
      </c>
      <c r="BE723" s="28"/>
      <c r="BF723" s="304">
        <f t="shared" si="574"/>
        <v>7.8170258559394842E-2</v>
      </c>
      <c r="BG723" s="304">
        <f t="shared" si="574"/>
        <v>7.8170258559394842E-2</v>
      </c>
      <c r="BH723" s="28"/>
      <c r="BI723" s="304" t="str">
        <f t="shared" si="575"/>
        <v/>
      </c>
      <c r="BJ723" s="304" t="str">
        <f t="shared" si="575"/>
        <v/>
      </c>
      <c r="BK723" s="28"/>
      <c r="BL723" s="304" t="str">
        <f t="shared" si="576"/>
        <v/>
      </c>
      <c r="BM723" s="304" t="str">
        <f t="shared" si="576"/>
        <v/>
      </c>
      <c r="BN723" s="28"/>
      <c r="BO723" s="304" t="str">
        <f t="shared" si="577"/>
        <v/>
      </c>
      <c r="BP723" s="304" t="str">
        <f t="shared" si="577"/>
        <v/>
      </c>
      <c r="BQ723" s="28"/>
      <c r="BR723" s="304" t="str">
        <f t="shared" si="578"/>
        <v/>
      </c>
      <c r="BS723" s="304" t="str">
        <f t="shared" si="578"/>
        <v/>
      </c>
      <c r="BT723" s="28"/>
      <c r="BU723" s="304" t="str">
        <f t="shared" si="579"/>
        <v/>
      </c>
      <c r="BV723" s="304" t="str">
        <f t="shared" si="579"/>
        <v/>
      </c>
      <c r="BW723" s="28"/>
      <c r="BX723" s="91"/>
    </row>
    <row r="724" spans="1:76" s="55" customFormat="1" x14ac:dyDescent="0.25">
      <c r="A724" s="195">
        <v>28</v>
      </c>
      <c r="B724" s="216" t="str">
        <f t="shared" si="556"/>
        <v>OECD90: FAO. 2017. Global Livestock Environmental Assessment Model (GLEAM)</v>
      </c>
      <c r="C724" s="219" t="s">
        <v>227</v>
      </c>
      <c r="D724" s="219" t="s">
        <v>381</v>
      </c>
      <c r="E724" s="219" t="s">
        <v>96</v>
      </c>
      <c r="F724" s="219" t="s">
        <v>179</v>
      </c>
      <c r="G724" s="220" t="s">
        <v>26</v>
      </c>
      <c r="H724" s="221">
        <v>2010</v>
      </c>
      <c r="I724" s="220"/>
      <c r="J724" s="370">
        <v>2338765597.6271391</v>
      </c>
      <c r="K724" s="367" t="s">
        <v>372</v>
      </c>
      <c r="L724" s="334">
        <f>J724/[1]GHGsources!D19*0.001</f>
        <v>1.2648972968429136E-3</v>
      </c>
      <c r="M724" s="335" t="str">
        <f>'[1]Advanced Controls'!$I$158</f>
        <v>t CH4-CO2eq per kg of protein</v>
      </c>
      <c r="N724" s="238"/>
      <c r="O724" s="227" t="s">
        <v>391</v>
      </c>
      <c r="P724" s="122"/>
      <c r="Q724" s="228"/>
      <c r="R724" s="231">
        <f t="shared" si="568"/>
        <v>1.2648972968429136E-3</v>
      </c>
      <c r="S724" s="230">
        <f t="shared" si="557"/>
        <v>1.2648972968429136E-3</v>
      </c>
      <c r="T724" s="231">
        <f t="shared" si="581"/>
        <v>0</v>
      </c>
      <c r="U724" s="232" t="str">
        <f t="shared" si="558"/>
        <v>t CH4-CO2eq per kg of protein</v>
      </c>
      <c r="V724" s="28"/>
      <c r="W724" s="28"/>
      <c r="Y724" s="91"/>
      <c r="AO724" s="91"/>
      <c r="AP724" s="28"/>
      <c r="AQ724" s="28"/>
      <c r="AR724" s="237"/>
      <c r="AS724" s="28"/>
      <c r="AT724" s="304" t="str">
        <f t="shared" si="580"/>
        <v/>
      </c>
      <c r="AU724" s="304" t="str">
        <f t="shared" si="580"/>
        <v/>
      </c>
      <c r="AV724" s="28"/>
      <c r="AW724" s="304">
        <f t="shared" si="571"/>
        <v>1.2648972968429136E-3</v>
      </c>
      <c r="AX724" s="304">
        <f t="shared" si="571"/>
        <v>1.2648972968429136E-3</v>
      </c>
      <c r="AY724" s="28"/>
      <c r="AZ724" s="304" t="str">
        <f t="shared" si="572"/>
        <v/>
      </c>
      <c r="BA724" s="304" t="str">
        <f t="shared" si="572"/>
        <v/>
      </c>
      <c r="BB724" s="28"/>
      <c r="BC724" s="304" t="str">
        <f t="shared" si="573"/>
        <v/>
      </c>
      <c r="BD724" s="304" t="str">
        <f t="shared" si="573"/>
        <v/>
      </c>
      <c r="BE724" s="28"/>
      <c r="BF724" s="304" t="str">
        <f t="shared" si="574"/>
        <v/>
      </c>
      <c r="BG724" s="304" t="str">
        <f t="shared" si="574"/>
        <v/>
      </c>
      <c r="BH724" s="28"/>
      <c r="BI724" s="304" t="str">
        <f t="shared" si="575"/>
        <v/>
      </c>
      <c r="BJ724" s="304" t="str">
        <f t="shared" si="575"/>
        <v/>
      </c>
      <c r="BK724" s="28"/>
      <c r="BL724" s="304" t="str">
        <f t="shared" si="576"/>
        <v/>
      </c>
      <c r="BM724" s="304" t="str">
        <f t="shared" si="576"/>
        <v/>
      </c>
      <c r="BN724" s="28"/>
      <c r="BO724" s="304" t="str">
        <f t="shared" si="577"/>
        <v/>
      </c>
      <c r="BP724" s="304" t="str">
        <f t="shared" si="577"/>
        <v/>
      </c>
      <c r="BQ724" s="28"/>
      <c r="BR724" s="304" t="str">
        <f t="shared" si="578"/>
        <v/>
      </c>
      <c r="BS724" s="304" t="str">
        <f t="shared" si="578"/>
        <v/>
      </c>
      <c r="BT724" s="28"/>
      <c r="BU724" s="304" t="str">
        <f t="shared" si="579"/>
        <v/>
      </c>
      <c r="BV724" s="304" t="str">
        <f t="shared" si="579"/>
        <v/>
      </c>
      <c r="BW724" s="28"/>
      <c r="BX724" s="91"/>
    </row>
    <row r="725" spans="1:76" s="55" customFormat="1" x14ac:dyDescent="0.25">
      <c r="A725" s="195">
        <v>29</v>
      </c>
      <c r="B725" s="216" t="str">
        <f t="shared" si="556"/>
        <v>OECD90: FAO. 2017. Global Livestock Environmental Assessment Model (GLEAM)</v>
      </c>
      <c r="C725" s="219" t="s">
        <v>227</v>
      </c>
      <c r="D725" s="219" t="s">
        <v>382</v>
      </c>
      <c r="E725" s="219" t="s">
        <v>96</v>
      </c>
      <c r="F725" s="219" t="s">
        <v>185</v>
      </c>
      <c r="G725" s="220" t="s">
        <v>26</v>
      </c>
      <c r="H725" s="221">
        <v>2010</v>
      </c>
      <c r="I725" s="220"/>
      <c r="J725" s="370">
        <v>46287061587.565147</v>
      </c>
      <c r="K725" s="367" t="s">
        <v>372</v>
      </c>
      <c r="L725" s="334">
        <f>J725/[1]GHGsources!D20*0.001</f>
        <v>7.1090486647944859E-2</v>
      </c>
      <c r="M725" s="335" t="str">
        <f>'[1]Advanced Controls'!$I$158</f>
        <v>t CH4-CO2eq per kg of protein</v>
      </c>
      <c r="N725" s="238"/>
      <c r="O725" s="227" t="s">
        <v>391</v>
      </c>
      <c r="P725" s="122"/>
      <c r="Q725" s="228"/>
      <c r="R725" s="231">
        <f t="shared" si="568"/>
        <v>7.1090486647944859E-2</v>
      </c>
      <c r="S725" s="230">
        <f t="shared" si="557"/>
        <v>7.1090486647944859E-2</v>
      </c>
      <c r="T725" s="231" t="str">
        <f t="shared" si="581"/>
        <v/>
      </c>
      <c r="U725" s="232" t="str">
        <f t="shared" si="558"/>
        <v>t CH4-CO2eq per kg of protein</v>
      </c>
      <c r="V725" s="28"/>
      <c r="W725" s="28"/>
      <c r="Y725" s="91"/>
      <c r="AO725" s="91"/>
      <c r="AP725" s="28"/>
      <c r="AQ725" s="28"/>
      <c r="AR725" s="237"/>
      <c r="AS725" s="28"/>
      <c r="AT725" s="304" t="str">
        <f t="shared" si="580"/>
        <v/>
      </c>
      <c r="AU725" s="304" t="str">
        <f t="shared" si="580"/>
        <v/>
      </c>
      <c r="AV725" s="28"/>
      <c r="AW725" s="304">
        <f t="shared" si="571"/>
        <v>7.1090486647944859E-2</v>
      </c>
      <c r="AX725" s="304">
        <f t="shared" si="571"/>
        <v>7.1090486647944859E-2</v>
      </c>
      <c r="AY725" s="28"/>
      <c r="AZ725" s="304" t="str">
        <f t="shared" si="572"/>
        <v/>
      </c>
      <c r="BA725" s="304" t="str">
        <f t="shared" si="572"/>
        <v/>
      </c>
      <c r="BB725" s="28"/>
      <c r="BC725" s="304" t="str">
        <f t="shared" si="573"/>
        <v/>
      </c>
      <c r="BD725" s="304" t="str">
        <f t="shared" si="573"/>
        <v/>
      </c>
      <c r="BE725" s="28"/>
      <c r="BF725" s="304" t="str">
        <f t="shared" si="574"/>
        <v/>
      </c>
      <c r="BG725" s="304" t="str">
        <f t="shared" si="574"/>
        <v/>
      </c>
      <c r="BH725" s="28"/>
      <c r="BI725" s="304" t="str">
        <f t="shared" si="575"/>
        <v/>
      </c>
      <c r="BJ725" s="304" t="str">
        <f t="shared" si="575"/>
        <v/>
      </c>
      <c r="BK725" s="28"/>
      <c r="BL725" s="304" t="str">
        <f t="shared" si="576"/>
        <v/>
      </c>
      <c r="BM725" s="304" t="str">
        <f t="shared" si="576"/>
        <v/>
      </c>
      <c r="BN725" s="28"/>
      <c r="BO725" s="304" t="str">
        <f t="shared" si="577"/>
        <v/>
      </c>
      <c r="BP725" s="304" t="str">
        <f t="shared" si="577"/>
        <v/>
      </c>
      <c r="BQ725" s="28"/>
      <c r="BR725" s="304" t="str">
        <f t="shared" si="578"/>
        <v/>
      </c>
      <c r="BS725" s="304" t="str">
        <f t="shared" si="578"/>
        <v/>
      </c>
      <c r="BT725" s="28"/>
      <c r="BU725" s="304" t="str">
        <f t="shared" si="579"/>
        <v/>
      </c>
      <c r="BV725" s="304" t="str">
        <f t="shared" si="579"/>
        <v/>
      </c>
      <c r="BW725" s="28"/>
      <c r="BX725" s="91"/>
    </row>
    <row r="726" spans="1:76" s="55" customFormat="1" x14ac:dyDescent="0.25">
      <c r="A726" s="195">
        <v>30</v>
      </c>
      <c r="B726" s="216" t="str">
        <f t="shared" si="556"/>
        <v>Eastern Europe: FAO. 2017. Global Livestock Environmental Assessment Model (GLEAM)</v>
      </c>
      <c r="C726" s="219" t="s">
        <v>227</v>
      </c>
      <c r="D726" s="219" t="s">
        <v>383</v>
      </c>
      <c r="E726" s="219" t="s">
        <v>97</v>
      </c>
      <c r="F726" s="219" t="s">
        <v>384</v>
      </c>
      <c r="G726" s="220" t="s">
        <v>26</v>
      </c>
      <c r="H726" s="221">
        <v>2010</v>
      </c>
      <c r="I726" s="220"/>
      <c r="J726" s="370">
        <v>157461583308.2894</v>
      </c>
      <c r="K726" s="367" t="s">
        <v>372</v>
      </c>
      <c r="L726" s="334">
        <f>J726/[1]GHGsources!D21*0.001</f>
        <v>0.32305927502571841</v>
      </c>
      <c r="M726" s="335" t="str">
        <f>'[1]Advanced Controls'!$I$158</f>
        <v>t CH4-CO2eq per kg of protein</v>
      </c>
      <c r="N726" s="238"/>
      <c r="O726" s="227" t="s">
        <v>391</v>
      </c>
      <c r="P726" s="122"/>
      <c r="Q726" s="228"/>
      <c r="R726" s="231">
        <f t="shared" si="568"/>
        <v>0.32305927502571841</v>
      </c>
      <c r="S726" s="230">
        <f t="shared" si="557"/>
        <v>0.32305927502571841</v>
      </c>
      <c r="T726" s="231">
        <f t="shared" si="581"/>
        <v>0</v>
      </c>
      <c r="U726" s="232" t="str">
        <f t="shared" si="558"/>
        <v>t CH4-CO2eq per kg of protein</v>
      </c>
      <c r="V726" s="28"/>
      <c r="W726" s="28"/>
      <c r="Y726" s="91"/>
      <c r="AO726" s="91"/>
      <c r="AP726" s="28"/>
      <c r="AQ726" s="28"/>
      <c r="AR726" s="237"/>
      <c r="AS726" s="28"/>
      <c r="AT726" s="304" t="str">
        <f t="shared" si="580"/>
        <v/>
      </c>
      <c r="AU726" s="304" t="str">
        <f t="shared" si="580"/>
        <v/>
      </c>
      <c r="AV726" s="28"/>
      <c r="AW726" s="304" t="str">
        <f t="shared" si="571"/>
        <v/>
      </c>
      <c r="AX726" s="304" t="str">
        <f t="shared" si="571"/>
        <v/>
      </c>
      <c r="AY726" s="28"/>
      <c r="AZ726" s="304">
        <f t="shared" si="572"/>
        <v>0.32305927502571841</v>
      </c>
      <c r="BA726" s="304">
        <f t="shared" si="572"/>
        <v>0.32305927502571841</v>
      </c>
      <c r="BB726" s="28"/>
      <c r="BC726" s="304" t="str">
        <f t="shared" si="573"/>
        <v/>
      </c>
      <c r="BD726" s="304" t="str">
        <f t="shared" si="573"/>
        <v/>
      </c>
      <c r="BE726" s="28"/>
      <c r="BF726" s="304" t="str">
        <f t="shared" si="574"/>
        <v/>
      </c>
      <c r="BG726" s="304" t="str">
        <f t="shared" si="574"/>
        <v/>
      </c>
      <c r="BH726" s="28"/>
      <c r="BI726" s="304" t="str">
        <f t="shared" si="575"/>
        <v/>
      </c>
      <c r="BJ726" s="304" t="str">
        <f t="shared" si="575"/>
        <v/>
      </c>
      <c r="BK726" s="28"/>
      <c r="BL726" s="304" t="str">
        <f t="shared" si="576"/>
        <v/>
      </c>
      <c r="BM726" s="304" t="str">
        <f t="shared" si="576"/>
        <v/>
      </c>
      <c r="BN726" s="28"/>
      <c r="BO726" s="304" t="str">
        <f t="shared" si="577"/>
        <v/>
      </c>
      <c r="BP726" s="304" t="str">
        <f t="shared" si="577"/>
        <v/>
      </c>
      <c r="BQ726" s="28"/>
      <c r="BR726" s="304" t="str">
        <f t="shared" si="578"/>
        <v/>
      </c>
      <c r="BS726" s="304" t="str">
        <f t="shared" si="578"/>
        <v/>
      </c>
      <c r="BT726" s="28"/>
      <c r="BU726" s="304" t="str">
        <f t="shared" si="579"/>
        <v/>
      </c>
      <c r="BV726" s="304" t="str">
        <f t="shared" si="579"/>
        <v/>
      </c>
      <c r="BW726" s="28"/>
      <c r="BX726" s="91"/>
    </row>
    <row r="727" spans="1:76" s="55" customFormat="1" x14ac:dyDescent="0.25">
      <c r="A727" s="195">
        <v>31</v>
      </c>
      <c r="B727" s="216" t="str">
        <f t="shared" si="556"/>
        <v>Asia (Sans Japan): FAO. 2017. Global Livestock Environmental Assessment Model (GLEAM)</v>
      </c>
      <c r="C727" s="219" t="s">
        <v>227</v>
      </c>
      <c r="D727" s="219" t="s">
        <v>385</v>
      </c>
      <c r="E727" s="219" t="s">
        <v>98</v>
      </c>
      <c r="F727" s="219" t="s">
        <v>386</v>
      </c>
      <c r="G727" s="220" t="s">
        <v>26</v>
      </c>
      <c r="H727" s="221">
        <v>2010</v>
      </c>
      <c r="I727" s="220"/>
      <c r="J727" s="370">
        <v>50783333323.019409</v>
      </c>
      <c r="K727" s="367" t="s">
        <v>372</v>
      </c>
      <c r="L727" s="334">
        <f>J727/[1]GHGsources!D22*0.001</f>
        <v>7.3316766209870862E-2</v>
      </c>
      <c r="M727" s="335" t="str">
        <f>'[1]Advanced Controls'!$I$158</f>
        <v>t CH4-CO2eq per kg of protein</v>
      </c>
      <c r="N727" s="238"/>
      <c r="O727" s="227" t="s">
        <v>391</v>
      </c>
      <c r="P727" s="122"/>
      <c r="Q727" s="228"/>
      <c r="R727" s="231">
        <f t="shared" si="568"/>
        <v>7.3316766209870862E-2</v>
      </c>
      <c r="S727" s="230">
        <f t="shared" si="557"/>
        <v>7.3316766209870862E-2</v>
      </c>
      <c r="T727" s="231">
        <f t="shared" si="581"/>
        <v>0</v>
      </c>
      <c r="U727" s="232" t="str">
        <f t="shared" si="558"/>
        <v>t CH4-CO2eq per kg of protein</v>
      </c>
      <c r="V727" s="28"/>
      <c r="W727" s="28"/>
      <c r="Y727" s="91"/>
      <c r="AO727" s="91"/>
      <c r="AP727" s="28"/>
      <c r="AQ727" s="28"/>
      <c r="AR727" s="237"/>
      <c r="AS727" s="28"/>
      <c r="AT727" s="304" t="str">
        <f t="shared" si="580"/>
        <v/>
      </c>
      <c r="AU727" s="304" t="str">
        <f t="shared" si="580"/>
        <v/>
      </c>
      <c r="AV727" s="28"/>
      <c r="AW727" s="304" t="str">
        <f t="shared" si="571"/>
        <v/>
      </c>
      <c r="AX727" s="304" t="str">
        <f t="shared" si="571"/>
        <v/>
      </c>
      <c r="AY727" s="28"/>
      <c r="AZ727" s="304" t="str">
        <f t="shared" si="572"/>
        <v/>
      </c>
      <c r="BA727" s="304" t="str">
        <f t="shared" si="572"/>
        <v/>
      </c>
      <c r="BB727" s="28"/>
      <c r="BC727" s="304">
        <f t="shared" si="573"/>
        <v>7.3316766209870862E-2</v>
      </c>
      <c r="BD727" s="304">
        <f t="shared" si="573"/>
        <v>7.3316766209870862E-2</v>
      </c>
      <c r="BE727" s="28"/>
      <c r="BF727" s="304" t="str">
        <f t="shared" si="574"/>
        <v/>
      </c>
      <c r="BG727" s="304" t="str">
        <f t="shared" si="574"/>
        <v/>
      </c>
      <c r="BH727" s="28"/>
      <c r="BI727" s="304" t="str">
        <f t="shared" si="575"/>
        <v/>
      </c>
      <c r="BJ727" s="304" t="str">
        <f t="shared" si="575"/>
        <v/>
      </c>
      <c r="BK727" s="28"/>
      <c r="BL727" s="304" t="str">
        <f t="shared" si="576"/>
        <v/>
      </c>
      <c r="BM727" s="304" t="str">
        <f t="shared" si="576"/>
        <v/>
      </c>
      <c r="BN727" s="28"/>
      <c r="BO727" s="304" t="str">
        <f t="shared" si="577"/>
        <v/>
      </c>
      <c r="BP727" s="304" t="str">
        <f t="shared" si="577"/>
        <v/>
      </c>
      <c r="BQ727" s="28"/>
      <c r="BR727" s="304" t="str">
        <f t="shared" si="578"/>
        <v/>
      </c>
      <c r="BS727" s="304" t="str">
        <f t="shared" si="578"/>
        <v/>
      </c>
      <c r="BT727" s="28"/>
      <c r="BU727" s="304" t="str">
        <f t="shared" si="579"/>
        <v/>
      </c>
      <c r="BV727" s="304" t="str">
        <f t="shared" si="579"/>
        <v/>
      </c>
      <c r="BW727" s="28"/>
      <c r="BX727" s="91"/>
    </row>
    <row r="728" spans="1:76" s="55" customFormat="1" x14ac:dyDescent="0.25">
      <c r="A728" s="195">
        <v>32</v>
      </c>
      <c r="B728" s="216" t="str">
        <f t="shared" si="556"/>
        <v>Middle East and Africa: FAO. 2017. Global Livestock Environmental Assessment Model (GLEAM)</v>
      </c>
      <c r="C728" s="219" t="s">
        <v>227</v>
      </c>
      <c r="D728" s="219" t="s">
        <v>387</v>
      </c>
      <c r="E728" s="219" t="s">
        <v>99</v>
      </c>
      <c r="F728" s="219" t="s">
        <v>388</v>
      </c>
      <c r="G728" s="220" t="s">
        <v>26</v>
      </c>
      <c r="H728" s="221">
        <v>2010</v>
      </c>
      <c r="I728" s="220"/>
      <c r="J728" s="370">
        <v>17421673.907900523</v>
      </c>
      <c r="K728" s="367" t="s">
        <v>372</v>
      </c>
      <c r="L728" s="334">
        <f>J728/[1]GHGsources!D23*0.001</f>
        <v>3.3028858699345512E-5</v>
      </c>
      <c r="M728" s="335" t="str">
        <f>'[1]Advanced Controls'!$I$158</f>
        <v>t CH4-CO2eq per kg of protein</v>
      </c>
      <c r="N728" s="238"/>
      <c r="O728" s="227" t="s">
        <v>391</v>
      </c>
      <c r="P728" s="122"/>
      <c r="Q728" s="228"/>
      <c r="R728" s="231">
        <f t="shared" si="568"/>
        <v>3.3028858699345512E-5</v>
      </c>
      <c r="S728" s="230">
        <f t="shared" si="557"/>
        <v>3.3028858699345512E-5</v>
      </c>
      <c r="T728" s="231">
        <f t="shared" si="581"/>
        <v>0</v>
      </c>
      <c r="U728" s="232" t="str">
        <f t="shared" si="558"/>
        <v>t CH4-CO2eq per kg of protein</v>
      </c>
      <c r="V728" s="28"/>
      <c r="W728" s="28"/>
      <c r="Y728" s="91"/>
      <c r="AO728" s="91"/>
      <c r="AP728" s="28"/>
      <c r="AQ728" s="28"/>
      <c r="AR728" s="237"/>
      <c r="AS728" s="28"/>
      <c r="AT728" s="304" t="str">
        <f t="shared" si="580"/>
        <v/>
      </c>
      <c r="AU728" s="304" t="str">
        <f t="shared" si="580"/>
        <v/>
      </c>
      <c r="AV728" s="28"/>
      <c r="AW728" s="304" t="str">
        <f t="shared" si="571"/>
        <v/>
      </c>
      <c r="AX728" s="304" t="str">
        <f t="shared" si="571"/>
        <v/>
      </c>
      <c r="AY728" s="28"/>
      <c r="AZ728" s="304" t="str">
        <f t="shared" si="572"/>
        <v/>
      </c>
      <c r="BA728" s="304" t="str">
        <f t="shared" si="572"/>
        <v/>
      </c>
      <c r="BB728" s="28"/>
      <c r="BC728" s="304" t="str">
        <f t="shared" si="573"/>
        <v/>
      </c>
      <c r="BD728" s="304" t="str">
        <f t="shared" si="573"/>
        <v/>
      </c>
      <c r="BE728" s="28"/>
      <c r="BF728" s="304">
        <f t="shared" si="574"/>
        <v>3.3028858699345512E-5</v>
      </c>
      <c r="BG728" s="304">
        <f t="shared" si="574"/>
        <v>3.3028858699345512E-5</v>
      </c>
      <c r="BH728" s="28"/>
      <c r="BI728" s="304" t="str">
        <f t="shared" si="575"/>
        <v/>
      </c>
      <c r="BJ728" s="304" t="str">
        <f t="shared" si="575"/>
        <v/>
      </c>
      <c r="BK728" s="28"/>
      <c r="BL728" s="304" t="str">
        <f t="shared" si="576"/>
        <v/>
      </c>
      <c r="BM728" s="304" t="str">
        <f t="shared" si="576"/>
        <v/>
      </c>
      <c r="BN728" s="28"/>
      <c r="BO728" s="304" t="str">
        <f t="shared" si="577"/>
        <v/>
      </c>
      <c r="BP728" s="304" t="str">
        <f t="shared" si="577"/>
        <v/>
      </c>
      <c r="BQ728" s="28"/>
      <c r="BR728" s="304" t="str">
        <f t="shared" si="578"/>
        <v/>
      </c>
      <c r="BS728" s="304" t="str">
        <f t="shared" si="578"/>
        <v/>
      </c>
      <c r="BT728" s="28"/>
      <c r="BU728" s="304" t="str">
        <f t="shared" si="579"/>
        <v/>
      </c>
      <c r="BV728" s="304" t="str">
        <f t="shared" si="579"/>
        <v/>
      </c>
      <c r="BW728" s="28"/>
      <c r="BX728" s="91"/>
    </row>
    <row r="729" spans="1:76" s="55" customFormat="1" x14ac:dyDescent="0.25">
      <c r="A729" s="195">
        <v>33</v>
      </c>
      <c r="B729" s="216" t="str">
        <f t="shared" si="556"/>
        <v>OECD90: FAO. 2017. Global Livestock Environmental Assessment Model (GLEAM)</v>
      </c>
      <c r="C729" s="219" t="s">
        <v>227</v>
      </c>
      <c r="D729" s="219" t="s">
        <v>389</v>
      </c>
      <c r="E729" s="219" t="s">
        <v>96</v>
      </c>
      <c r="F729" s="219" t="s">
        <v>176</v>
      </c>
      <c r="G729" s="220" t="s">
        <v>26</v>
      </c>
      <c r="H729" s="221">
        <v>2010</v>
      </c>
      <c r="I729" s="220"/>
      <c r="J729" s="370">
        <v>267217881906.51999</v>
      </c>
      <c r="K729" s="367" t="s">
        <v>372</v>
      </c>
      <c r="L729" s="334">
        <f>J729/[1]GHGsources!D24*0.001</f>
        <v>0.14776338143543255</v>
      </c>
      <c r="M729" s="335" t="str">
        <f>'[1]Advanced Controls'!$I$158</f>
        <v>t CH4-CO2eq per kg of protein</v>
      </c>
      <c r="N729" s="238"/>
      <c r="O729" s="227" t="s">
        <v>391</v>
      </c>
      <c r="P729" s="122"/>
      <c r="Q729" s="228"/>
      <c r="R729" s="231">
        <f t="shared" si="568"/>
        <v>0.14776338143543255</v>
      </c>
      <c r="S729" s="230">
        <f t="shared" si="557"/>
        <v>0.14776338143543255</v>
      </c>
      <c r="T729" s="231">
        <f t="shared" si="581"/>
        <v>0</v>
      </c>
      <c r="U729" s="232" t="str">
        <f t="shared" si="558"/>
        <v>t CH4-CO2eq per kg of protein</v>
      </c>
      <c r="V729" s="28"/>
      <c r="W729" s="28"/>
      <c r="Y729" s="91"/>
      <c r="AO729" s="91"/>
      <c r="AP729" s="28"/>
      <c r="AQ729" s="28"/>
      <c r="AR729" s="237"/>
      <c r="AS729" s="28"/>
      <c r="AT729" s="304" t="str">
        <f t="shared" si="580"/>
        <v/>
      </c>
      <c r="AU729" s="304" t="str">
        <f t="shared" si="580"/>
        <v/>
      </c>
      <c r="AV729" s="28"/>
      <c r="AW729" s="304">
        <f t="shared" si="571"/>
        <v>0.14776338143543255</v>
      </c>
      <c r="AX729" s="304">
        <f t="shared" si="571"/>
        <v>0.14776338143543255</v>
      </c>
      <c r="AY729" s="28"/>
      <c r="AZ729" s="304" t="str">
        <f t="shared" si="572"/>
        <v/>
      </c>
      <c r="BA729" s="304" t="str">
        <f t="shared" si="572"/>
        <v/>
      </c>
      <c r="BB729" s="28"/>
      <c r="BC729" s="304" t="str">
        <f t="shared" si="573"/>
        <v/>
      </c>
      <c r="BD729" s="304" t="str">
        <f t="shared" si="573"/>
        <v/>
      </c>
      <c r="BE729" s="28"/>
      <c r="BF729" s="304" t="str">
        <f t="shared" si="574"/>
        <v/>
      </c>
      <c r="BG729" s="304" t="str">
        <f t="shared" si="574"/>
        <v/>
      </c>
      <c r="BH729" s="28"/>
      <c r="BI729" s="304" t="str">
        <f t="shared" si="575"/>
        <v/>
      </c>
      <c r="BJ729" s="304" t="str">
        <f t="shared" si="575"/>
        <v/>
      </c>
      <c r="BK729" s="28"/>
      <c r="BL729" s="304" t="str">
        <f t="shared" si="576"/>
        <v/>
      </c>
      <c r="BM729" s="304" t="str">
        <f t="shared" si="576"/>
        <v/>
      </c>
      <c r="BN729" s="28"/>
      <c r="BO729" s="304" t="str">
        <f t="shared" si="577"/>
        <v/>
      </c>
      <c r="BP729" s="304" t="str">
        <f t="shared" si="577"/>
        <v/>
      </c>
      <c r="BQ729" s="28"/>
      <c r="BR729" s="304" t="str">
        <f t="shared" si="578"/>
        <v/>
      </c>
      <c r="BS729" s="304" t="str">
        <f t="shared" si="578"/>
        <v/>
      </c>
      <c r="BT729" s="28"/>
      <c r="BU729" s="304" t="str">
        <f t="shared" si="579"/>
        <v/>
      </c>
      <c r="BV729" s="304" t="str">
        <f t="shared" si="579"/>
        <v/>
      </c>
      <c r="BW729" s="28"/>
      <c r="BX729" s="91"/>
    </row>
    <row r="730" spans="1:76" s="55" customFormat="1" x14ac:dyDescent="0.25">
      <c r="A730" s="195">
        <v>34</v>
      </c>
      <c r="B730" s="216" t="str">
        <f t="shared" si="556"/>
        <v>World: FAO. 2017. Global Livestock Environmental Assessment Model (GLEAM)</v>
      </c>
      <c r="C730" s="219" t="s">
        <v>227</v>
      </c>
      <c r="D730" s="219" t="s">
        <v>392</v>
      </c>
      <c r="E730" s="219" t="s">
        <v>95</v>
      </c>
      <c r="F730" s="219" t="s">
        <v>371</v>
      </c>
      <c r="G730" s="220" t="s">
        <v>26</v>
      </c>
      <c r="H730" s="221">
        <v>2010</v>
      </c>
      <c r="I730" s="220"/>
      <c r="J730" s="370">
        <v>171242821423.95776</v>
      </c>
      <c r="K730" s="367" t="s">
        <v>372</v>
      </c>
      <c r="L730" s="334">
        <f>J730/[1]GHGsources!E14*0.001</f>
        <v>9.8949026223158435E-3</v>
      </c>
      <c r="M730" s="335" t="str">
        <f>'[1]Advanced Controls'!$I$158</f>
        <v>t CH4-CO2eq per kg of protein</v>
      </c>
      <c r="N730" s="238"/>
      <c r="O730" s="227" t="s">
        <v>393</v>
      </c>
      <c r="P730" s="122"/>
      <c r="Q730" s="228"/>
      <c r="R730" s="231">
        <f t="shared" si="568"/>
        <v>9.8949026223158435E-3</v>
      </c>
      <c r="S730" s="230">
        <f t="shared" si="557"/>
        <v>9.8949026223158435E-3</v>
      </c>
      <c r="T730" s="231">
        <f t="shared" si="581"/>
        <v>0</v>
      </c>
      <c r="U730" s="232" t="str">
        <f t="shared" si="558"/>
        <v>t CH4-CO2eq per kg of protein</v>
      </c>
      <c r="V730" s="28"/>
      <c r="W730" s="28"/>
      <c r="Y730" s="91"/>
      <c r="AO730" s="91"/>
      <c r="AP730" s="28"/>
      <c r="AQ730" s="28"/>
      <c r="AR730" s="237"/>
      <c r="AS730" s="28"/>
      <c r="AT730" s="304">
        <f t="shared" si="580"/>
        <v>9.8949026223158435E-3</v>
      </c>
      <c r="AU730" s="304">
        <f t="shared" si="580"/>
        <v>9.8949026223158435E-3</v>
      </c>
      <c r="AV730" s="28"/>
      <c r="AW730" s="304" t="str">
        <f t="shared" si="571"/>
        <v/>
      </c>
      <c r="AX730" s="304" t="str">
        <f t="shared" si="571"/>
        <v/>
      </c>
      <c r="AY730" s="28"/>
      <c r="AZ730" s="304" t="str">
        <f t="shared" si="572"/>
        <v/>
      </c>
      <c r="BA730" s="304" t="str">
        <f t="shared" si="572"/>
        <v/>
      </c>
      <c r="BB730" s="28"/>
      <c r="BC730" s="304" t="str">
        <f t="shared" si="573"/>
        <v/>
      </c>
      <c r="BD730" s="304" t="str">
        <f t="shared" si="573"/>
        <v/>
      </c>
      <c r="BE730" s="28"/>
      <c r="BF730" s="304" t="str">
        <f t="shared" si="574"/>
        <v/>
      </c>
      <c r="BG730" s="304" t="str">
        <f t="shared" si="574"/>
        <v/>
      </c>
      <c r="BH730" s="28"/>
      <c r="BI730" s="304" t="str">
        <f t="shared" si="575"/>
        <v/>
      </c>
      <c r="BJ730" s="304" t="str">
        <f t="shared" si="575"/>
        <v/>
      </c>
      <c r="BK730" s="28"/>
      <c r="BL730" s="304" t="str">
        <f t="shared" si="576"/>
        <v/>
      </c>
      <c r="BM730" s="304" t="str">
        <f t="shared" si="576"/>
        <v/>
      </c>
      <c r="BN730" s="28"/>
      <c r="BO730" s="304" t="str">
        <f t="shared" si="577"/>
        <v/>
      </c>
      <c r="BP730" s="304" t="str">
        <f t="shared" si="577"/>
        <v/>
      </c>
      <c r="BQ730" s="28"/>
      <c r="BR730" s="304" t="str">
        <f t="shared" si="578"/>
        <v/>
      </c>
      <c r="BS730" s="304" t="str">
        <f t="shared" si="578"/>
        <v/>
      </c>
      <c r="BT730" s="28"/>
      <c r="BU730" s="304" t="str">
        <f t="shared" si="579"/>
        <v/>
      </c>
      <c r="BV730" s="304" t="str">
        <f t="shared" si="579"/>
        <v/>
      </c>
      <c r="BW730" s="28"/>
      <c r="BX730" s="91"/>
    </row>
    <row r="731" spans="1:76" s="55" customFormat="1" x14ac:dyDescent="0.25">
      <c r="A731" s="195">
        <v>35</v>
      </c>
      <c r="B731" s="216" t="str">
        <f t="shared" si="556"/>
        <v>Asia (Sans Japan): FAO. 2017. Global Livestock Environmental Assessment Model (GLEAM)</v>
      </c>
      <c r="C731" s="219" t="s">
        <v>227</v>
      </c>
      <c r="D731" s="219" t="s">
        <v>394</v>
      </c>
      <c r="E731" s="219" t="s">
        <v>98</v>
      </c>
      <c r="F731" s="219" t="s">
        <v>375</v>
      </c>
      <c r="G731" s="220" t="s">
        <v>26</v>
      </c>
      <c r="H731" s="221">
        <v>2010</v>
      </c>
      <c r="I731" s="220"/>
      <c r="J731" s="370">
        <v>255653930076.85999</v>
      </c>
      <c r="K731" s="367" t="s">
        <v>372</v>
      </c>
      <c r="L731" s="334">
        <f>J731/[1]GHGsources!E15*0.001*0.001</f>
        <v>1.5145355614370844E-4</v>
      </c>
      <c r="M731" s="335" t="str">
        <f>'[1]Advanced Controls'!$I$158</f>
        <v>t CH4-CO2eq per kg of protein</v>
      </c>
      <c r="N731" s="238"/>
      <c r="O731" s="227" t="s">
        <v>393</v>
      </c>
      <c r="P731" s="122"/>
      <c r="Q731" s="228"/>
      <c r="R731" s="231">
        <f t="shared" si="568"/>
        <v>1.5145355614370844E-4</v>
      </c>
      <c r="S731" s="230">
        <f t="shared" si="557"/>
        <v>1.5145355614370844E-4</v>
      </c>
      <c r="T731" s="231">
        <f t="shared" si="581"/>
        <v>0</v>
      </c>
      <c r="U731" s="232" t="str">
        <f t="shared" si="558"/>
        <v>t CH4-CO2eq per kg of protein</v>
      </c>
      <c r="V731" s="28"/>
      <c r="W731" s="28"/>
      <c r="Y731" s="91"/>
      <c r="AO731" s="91"/>
      <c r="AP731" s="28"/>
      <c r="AQ731" s="28"/>
      <c r="AR731" s="237"/>
      <c r="AS731" s="28"/>
      <c r="AT731" s="304" t="str">
        <f t="shared" si="580"/>
        <v/>
      </c>
      <c r="AU731" s="304" t="str">
        <f t="shared" si="580"/>
        <v/>
      </c>
      <c r="AV731" s="28"/>
      <c r="AW731" s="304" t="str">
        <f t="shared" si="571"/>
        <v/>
      </c>
      <c r="AX731" s="304" t="str">
        <f t="shared" si="571"/>
        <v/>
      </c>
      <c r="AY731" s="28"/>
      <c r="AZ731" s="304" t="str">
        <f t="shared" si="572"/>
        <v/>
      </c>
      <c r="BA731" s="304" t="str">
        <f t="shared" si="572"/>
        <v/>
      </c>
      <c r="BB731" s="28"/>
      <c r="BC731" s="304">
        <f t="shared" si="573"/>
        <v>1.5145355614370844E-4</v>
      </c>
      <c r="BD731" s="304">
        <f t="shared" si="573"/>
        <v>1.5145355614370844E-4</v>
      </c>
      <c r="BE731" s="28"/>
      <c r="BF731" s="304" t="str">
        <f t="shared" si="574"/>
        <v/>
      </c>
      <c r="BG731" s="304" t="str">
        <f t="shared" si="574"/>
        <v/>
      </c>
      <c r="BH731" s="28"/>
      <c r="BI731" s="304" t="str">
        <f t="shared" si="575"/>
        <v/>
      </c>
      <c r="BJ731" s="304" t="str">
        <f t="shared" si="575"/>
        <v/>
      </c>
      <c r="BK731" s="28"/>
      <c r="BL731" s="304" t="str">
        <f t="shared" si="576"/>
        <v/>
      </c>
      <c r="BM731" s="304" t="str">
        <f t="shared" si="576"/>
        <v/>
      </c>
      <c r="BN731" s="28"/>
      <c r="BO731" s="304" t="str">
        <f t="shared" si="577"/>
        <v/>
      </c>
      <c r="BP731" s="304" t="str">
        <f t="shared" si="577"/>
        <v/>
      </c>
      <c r="BQ731" s="28"/>
      <c r="BR731" s="304" t="str">
        <f t="shared" si="578"/>
        <v/>
      </c>
      <c r="BS731" s="304" t="str">
        <f t="shared" si="578"/>
        <v/>
      </c>
      <c r="BT731" s="28"/>
      <c r="BU731" s="304" t="str">
        <f t="shared" si="579"/>
        <v/>
      </c>
      <c r="BV731" s="304" t="str">
        <f t="shared" si="579"/>
        <v/>
      </c>
      <c r="BW731" s="28"/>
      <c r="BX731" s="91"/>
    </row>
    <row r="732" spans="1:76" s="55" customFormat="1" x14ac:dyDescent="0.25">
      <c r="A732" s="195">
        <v>36</v>
      </c>
      <c r="B732" s="216" t="str">
        <f t="shared" si="556"/>
        <v>Eastern Europe: FAO. 2017. Global Livestock Environmental Assessment Model (GLEAM)</v>
      </c>
      <c r="C732" s="219" t="s">
        <v>227</v>
      </c>
      <c r="D732" s="219" t="s">
        <v>395</v>
      </c>
      <c r="E732" s="219" t="s">
        <v>97</v>
      </c>
      <c r="F732" s="219" t="s">
        <v>97</v>
      </c>
      <c r="G732" s="220" t="s">
        <v>26</v>
      </c>
      <c r="H732" s="221">
        <v>2010</v>
      </c>
      <c r="I732" s="220"/>
      <c r="J732" s="370">
        <v>355923855411.33105</v>
      </c>
      <c r="K732" s="367" t="s">
        <v>372</v>
      </c>
      <c r="L732" s="334">
        <f>J732/[1]GHGsources!E16*0.001</f>
        <v>0.34105548345805287</v>
      </c>
      <c r="M732" s="335" t="str">
        <f>'[1]Advanced Controls'!$I$158</f>
        <v>t CH4-CO2eq per kg of protein</v>
      </c>
      <c r="N732" s="238"/>
      <c r="O732" s="227" t="s">
        <v>393</v>
      </c>
      <c r="P732" s="122"/>
      <c r="Q732" s="228"/>
      <c r="R732" s="231">
        <f t="shared" si="568"/>
        <v>0.34105548345805287</v>
      </c>
      <c r="S732" s="230">
        <f t="shared" si="557"/>
        <v>0.34105548345805287</v>
      </c>
      <c r="T732" s="231">
        <f t="shared" si="581"/>
        <v>0</v>
      </c>
      <c r="U732" s="232" t="str">
        <f t="shared" si="558"/>
        <v>t CH4-CO2eq per kg of protein</v>
      </c>
      <c r="V732" s="28"/>
      <c r="W732" s="28"/>
      <c r="Y732" s="91"/>
      <c r="AO732" s="91"/>
      <c r="AP732" s="28"/>
      <c r="AQ732" s="28"/>
      <c r="AR732" s="237"/>
      <c r="AS732" s="28"/>
      <c r="AT732" s="304" t="str">
        <f t="shared" si="580"/>
        <v/>
      </c>
      <c r="AU732" s="304" t="str">
        <f t="shared" si="580"/>
        <v/>
      </c>
      <c r="AV732" s="28"/>
      <c r="AW732" s="304" t="str">
        <f t="shared" si="571"/>
        <v/>
      </c>
      <c r="AX732" s="304" t="str">
        <f t="shared" si="571"/>
        <v/>
      </c>
      <c r="AY732" s="28"/>
      <c r="AZ732" s="304">
        <f t="shared" si="572"/>
        <v>0.34105548345805287</v>
      </c>
      <c r="BA732" s="304">
        <f t="shared" si="572"/>
        <v>0.34105548345805287</v>
      </c>
      <c r="BB732" s="28"/>
      <c r="BC732" s="304" t="str">
        <f t="shared" si="573"/>
        <v/>
      </c>
      <c r="BD732" s="304" t="str">
        <f t="shared" si="573"/>
        <v/>
      </c>
      <c r="BE732" s="28"/>
      <c r="BF732" s="304" t="str">
        <f t="shared" si="574"/>
        <v/>
      </c>
      <c r="BG732" s="304" t="str">
        <f t="shared" si="574"/>
        <v/>
      </c>
      <c r="BH732" s="28"/>
      <c r="BI732" s="304" t="str">
        <f t="shared" si="575"/>
        <v/>
      </c>
      <c r="BJ732" s="304" t="str">
        <f t="shared" si="575"/>
        <v/>
      </c>
      <c r="BK732" s="28"/>
      <c r="BL732" s="304" t="str">
        <f t="shared" si="576"/>
        <v/>
      </c>
      <c r="BM732" s="304" t="str">
        <f t="shared" si="576"/>
        <v/>
      </c>
      <c r="BN732" s="28"/>
      <c r="BO732" s="304" t="str">
        <f t="shared" si="577"/>
        <v/>
      </c>
      <c r="BP732" s="304" t="str">
        <f t="shared" si="577"/>
        <v/>
      </c>
      <c r="BQ732" s="28"/>
      <c r="BR732" s="304" t="str">
        <f t="shared" si="578"/>
        <v/>
      </c>
      <c r="BS732" s="304" t="str">
        <f t="shared" si="578"/>
        <v/>
      </c>
      <c r="BT732" s="28"/>
      <c r="BU732" s="304" t="str">
        <f t="shared" si="579"/>
        <v/>
      </c>
      <c r="BV732" s="304" t="str">
        <f t="shared" si="579"/>
        <v/>
      </c>
      <c r="BW732" s="28"/>
      <c r="BX732" s="91"/>
    </row>
    <row r="733" spans="1:76" s="55" customFormat="1" x14ac:dyDescent="0.25">
      <c r="A733" s="195">
        <v>37</v>
      </c>
      <c r="B733" s="216" t="str">
        <f t="shared" si="556"/>
        <v>Latin America: FAO. 2017. Global Livestock Environmental Assessment Model (GLEAM)</v>
      </c>
      <c r="C733" s="219" t="s">
        <v>227</v>
      </c>
      <c r="D733" s="219" t="s">
        <v>396</v>
      </c>
      <c r="E733" s="219" t="s">
        <v>100</v>
      </c>
      <c r="F733" s="219" t="s">
        <v>378</v>
      </c>
      <c r="G733" s="220" t="s">
        <v>26</v>
      </c>
      <c r="H733" s="221">
        <v>2010</v>
      </c>
      <c r="I733" s="220"/>
      <c r="J733" s="370">
        <v>182336923185.71191</v>
      </c>
      <c r="K733" s="367" t="s">
        <v>372</v>
      </c>
      <c r="L733" s="334">
        <f>J733/[1]GHGsources!E17*0.001</f>
        <v>5.3666922075680468E-2</v>
      </c>
      <c r="M733" s="335" t="str">
        <f>'[1]Advanced Controls'!$I$158</f>
        <v>t CH4-CO2eq per kg of protein</v>
      </c>
      <c r="N733" s="238"/>
      <c r="O733" s="227" t="s">
        <v>393</v>
      </c>
      <c r="P733" s="122"/>
      <c r="Q733" s="228"/>
      <c r="R733" s="231">
        <f t="shared" si="568"/>
        <v>5.3666922075680468E-2</v>
      </c>
      <c r="S733" s="230">
        <f t="shared" si="557"/>
        <v>5.3666922075680468E-2</v>
      </c>
      <c r="T733" s="231">
        <f t="shared" si="581"/>
        <v>0</v>
      </c>
      <c r="U733" s="232" t="str">
        <f t="shared" si="558"/>
        <v>t CH4-CO2eq per kg of protein</v>
      </c>
      <c r="V733" s="28"/>
      <c r="W733" s="28"/>
      <c r="Y733" s="91"/>
      <c r="AO733" s="91"/>
      <c r="AP733" s="28"/>
      <c r="AQ733" s="28"/>
      <c r="AR733" s="237"/>
      <c r="AS733" s="28"/>
      <c r="AT733" s="304" t="str">
        <f t="shared" si="580"/>
        <v/>
      </c>
      <c r="AU733" s="304" t="str">
        <f t="shared" si="580"/>
        <v/>
      </c>
      <c r="AV733" s="28"/>
      <c r="AW733" s="304" t="str">
        <f t="shared" si="571"/>
        <v/>
      </c>
      <c r="AX733" s="304" t="str">
        <f t="shared" si="571"/>
        <v/>
      </c>
      <c r="AY733" s="28"/>
      <c r="AZ733" s="304" t="str">
        <f t="shared" si="572"/>
        <v/>
      </c>
      <c r="BA733" s="304" t="str">
        <f t="shared" si="572"/>
        <v/>
      </c>
      <c r="BB733" s="28"/>
      <c r="BC733" s="304" t="str">
        <f t="shared" si="573"/>
        <v/>
      </c>
      <c r="BD733" s="304" t="str">
        <f t="shared" si="573"/>
        <v/>
      </c>
      <c r="BE733" s="28"/>
      <c r="BF733" s="304" t="str">
        <f t="shared" si="574"/>
        <v/>
      </c>
      <c r="BG733" s="304" t="str">
        <f t="shared" si="574"/>
        <v/>
      </c>
      <c r="BH733" s="28"/>
      <c r="BI733" s="304">
        <f t="shared" si="575"/>
        <v>5.3666922075680468E-2</v>
      </c>
      <c r="BJ733" s="304">
        <f t="shared" si="575"/>
        <v>5.3666922075680468E-2</v>
      </c>
      <c r="BK733" s="28"/>
      <c r="BL733" s="304" t="str">
        <f t="shared" si="576"/>
        <v/>
      </c>
      <c r="BM733" s="304" t="str">
        <f t="shared" si="576"/>
        <v/>
      </c>
      <c r="BN733" s="28"/>
      <c r="BO733" s="304" t="str">
        <f t="shared" si="577"/>
        <v/>
      </c>
      <c r="BP733" s="304" t="str">
        <f t="shared" si="577"/>
        <v/>
      </c>
      <c r="BQ733" s="28"/>
      <c r="BR733" s="304" t="str">
        <f t="shared" si="578"/>
        <v/>
      </c>
      <c r="BS733" s="304" t="str">
        <f t="shared" si="578"/>
        <v/>
      </c>
      <c r="BT733" s="28"/>
      <c r="BU733" s="304" t="str">
        <f t="shared" si="579"/>
        <v/>
      </c>
      <c r="BV733" s="304" t="str">
        <f t="shared" si="579"/>
        <v/>
      </c>
      <c r="BW733" s="28"/>
      <c r="BX733" s="91"/>
    </row>
    <row r="734" spans="1:76" s="55" customFormat="1" x14ac:dyDescent="0.25">
      <c r="A734" s="195">
        <v>38</v>
      </c>
      <c r="B734" s="216" t="str">
        <f t="shared" si="556"/>
        <v>Middle East and Africa: FAO. 2017. Global Livestock Environmental Assessment Model (GLEAM)</v>
      </c>
      <c r="C734" s="219" t="s">
        <v>227</v>
      </c>
      <c r="D734" s="219" t="s">
        <v>397</v>
      </c>
      <c r="E734" s="219" t="s">
        <v>99</v>
      </c>
      <c r="F734" s="219" t="s">
        <v>380</v>
      </c>
      <c r="G734" s="220" t="s">
        <v>26</v>
      </c>
      <c r="H734" s="221">
        <v>2010</v>
      </c>
      <c r="I734" s="220"/>
      <c r="J734" s="370">
        <v>102785216164.99364</v>
      </c>
      <c r="K734" s="367" t="s">
        <v>372</v>
      </c>
      <c r="L734" s="334">
        <f>J734/[1]GHGsources!E18*0.001</f>
        <v>9.0581175116006996E-2</v>
      </c>
      <c r="M734" s="335" t="str">
        <f>'[1]Advanced Controls'!$I$158</f>
        <v>t CH4-CO2eq per kg of protein</v>
      </c>
      <c r="N734" s="238"/>
      <c r="O734" s="227" t="s">
        <v>393</v>
      </c>
      <c r="P734" s="122"/>
      <c r="Q734" s="228"/>
      <c r="R734" s="231">
        <f t="shared" si="568"/>
        <v>9.0581175116006996E-2</v>
      </c>
      <c r="S734" s="230">
        <f t="shared" si="557"/>
        <v>9.0581175116006996E-2</v>
      </c>
      <c r="T734" s="231">
        <f t="shared" si="581"/>
        <v>0</v>
      </c>
      <c r="U734" s="232" t="str">
        <f t="shared" si="558"/>
        <v>t CH4-CO2eq per kg of protein</v>
      </c>
      <c r="V734" s="28"/>
      <c r="W734" s="28"/>
      <c r="Y734" s="91"/>
      <c r="AO734" s="91"/>
      <c r="AP734" s="28"/>
      <c r="AQ734" s="28"/>
      <c r="AR734" s="237"/>
      <c r="AS734" s="28"/>
      <c r="AT734" s="304" t="str">
        <f t="shared" si="580"/>
        <v/>
      </c>
      <c r="AU734" s="304" t="str">
        <f t="shared" si="580"/>
        <v/>
      </c>
      <c r="AV734" s="28"/>
      <c r="AW734" s="304" t="str">
        <f t="shared" si="571"/>
        <v/>
      </c>
      <c r="AX734" s="304" t="str">
        <f t="shared" si="571"/>
        <v/>
      </c>
      <c r="AY734" s="28"/>
      <c r="AZ734" s="304" t="str">
        <f t="shared" si="572"/>
        <v/>
      </c>
      <c r="BA734" s="304" t="str">
        <f t="shared" si="572"/>
        <v/>
      </c>
      <c r="BB734" s="28"/>
      <c r="BC734" s="304" t="str">
        <f t="shared" si="573"/>
        <v/>
      </c>
      <c r="BD734" s="304" t="str">
        <f t="shared" si="573"/>
        <v/>
      </c>
      <c r="BE734" s="28"/>
      <c r="BF734" s="304">
        <f t="shared" si="574"/>
        <v>9.0581175116006996E-2</v>
      </c>
      <c r="BG734" s="304">
        <f t="shared" si="574"/>
        <v>9.0581175116006996E-2</v>
      </c>
      <c r="BH734" s="28"/>
      <c r="BI734" s="304" t="str">
        <f t="shared" si="575"/>
        <v/>
      </c>
      <c r="BJ734" s="304" t="str">
        <f t="shared" si="575"/>
        <v/>
      </c>
      <c r="BK734" s="28"/>
      <c r="BL734" s="304" t="str">
        <f t="shared" si="576"/>
        <v/>
      </c>
      <c r="BM734" s="304" t="str">
        <f t="shared" si="576"/>
        <v/>
      </c>
      <c r="BN734" s="28"/>
      <c r="BO734" s="304" t="str">
        <f t="shared" si="577"/>
        <v/>
      </c>
      <c r="BP734" s="304" t="str">
        <f t="shared" si="577"/>
        <v/>
      </c>
      <c r="BQ734" s="28"/>
      <c r="BR734" s="304" t="str">
        <f t="shared" si="578"/>
        <v/>
      </c>
      <c r="BS734" s="304" t="str">
        <f t="shared" si="578"/>
        <v/>
      </c>
      <c r="BT734" s="28"/>
      <c r="BU734" s="304" t="str">
        <f t="shared" si="579"/>
        <v/>
      </c>
      <c r="BV734" s="304" t="str">
        <f t="shared" si="579"/>
        <v/>
      </c>
      <c r="BW734" s="28"/>
      <c r="BX734" s="91"/>
    </row>
    <row r="735" spans="1:76" s="55" customFormat="1" x14ac:dyDescent="0.25">
      <c r="A735" s="195">
        <v>39</v>
      </c>
      <c r="B735" s="216" t="str">
        <f t="shared" si="556"/>
        <v>OECD90: FAO. 2017. Global Livestock Environmental Assessment Model (GLEAM)</v>
      </c>
      <c r="C735" s="219" t="s">
        <v>227</v>
      </c>
      <c r="D735" s="219" t="s">
        <v>398</v>
      </c>
      <c r="E735" s="219" t="s">
        <v>96</v>
      </c>
      <c r="F735" s="219" t="s">
        <v>179</v>
      </c>
      <c r="G735" s="220" t="s">
        <v>26</v>
      </c>
      <c r="H735" s="221">
        <v>2010</v>
      </c>
      <c r="I735" s="220"/>
      <c r="J735" s="370">
        <v>48948514917.911438</v>
      </c>
      <c r="K735" s="367" t="s">
        <v>372</v>
      </c>
      <c r="L735" s="334">
        <f>J735/[1]GHGsources!E19*0.001</f>
        <v>2.3963656758713613E-2</v>
      </c>
      <c r="M735" s="335" t="str">
        <f>'[1]Advanced Controls'!$I$158</f>
        <v>t CH4-CO2eq per kg of protein</v>
      </c>
      <c r="N735" s="238"/>
      <c r="O735" s="227" t="s">
        <v>393</v>
      </c>
      <c r="P735" s="122"/>
      <c r="Q735" s="228"/>
      <c r="R735" s="231">
        <f t="shared" si="568"/>
        <v>2.3963656758713613E-2</v>
      </c>
      <c r="S735" s="230">
        <f t="shared" si="557"/>
        <v>2.3963656758713613E-2</v>
      </c>
      <c r="T735" s="231">
        <f t="shared" si="581"/>
        <v>0</v>
      </c>
      <c r="U735" s="232" t="str">
        <f t="shared" si="558"/>
        <v>t CH4-CO2eq per kg of protein</v>
      </c>
      <c r="V735" s="28"/>
      <c r="W735" s="28"/>
      <c r="Y735" s="91"/>
      <c r="AO735" s="91"/>
      <c r="AP735" s="28"/>
      <c r="AQ735" s="28"/>
      <c r="AR735" s="237"/>
      <c r="AS735" s="28"/>
      <c r="AT735" s="304" t="str">
        <f t="shared" si="580"/>
        <v/>
      </c>
      <c r="AU735" s="304" t="str">
        <f t="shared" si="580"/>
        <v/>
      </c>
      <c r="AV735" s="28"/>
      <c r="AW735" s="304">
        <f t="shared" si="571"/>
        <v>2.3963656758713613E-2</v>
      </c>
      <c r="AX735" s="304">
        <f t="shared" si="571"/>
        <v>2.3963656758713613E-2</v>
      </c>
      <c r="AY735" s="28"/>
      <c r="AZ735" s="304" t="str">
        <f t="shared" si="572"/>
        <v/>
      </c>
      <c r="BA735" s="304" t="str">
        <f t="shared" si="572"/>
        <v/>
      </c>
      <c r="BB735" s="28"/>
      <c r="BC735" s="304" t="str">
        <f t="shared" si="573"/>
        <v/>
      </c>
      <c r="BD735" s="304" t="str">
        <f t="shared" si="573"/>
        <v/>
      </c>
      <c r="BE735" s="28"/>
      <c r="BF735" s="304" t="str">
        <f t="shared" si="574"/>
        <v/>
      </c>
      <c r="BG735" s="304" t="str">
        <f t="shared" si="574"/>
        <v/>
      </c>
      <c r="BH735" s="28"/>
      <c r="BI735" s="304" t="str">
        <f t="shared" si="575"/>
        <v/>
      </c>
      <c r="BJ735" s="304" t="str">
        <f t="shared" si="575"/>
        <v/>
      </c>
      <c r="BK735" s="28"/>
      <c r="BL735" s="304" t="str">
        <f t="shared" si="576"/>
        <v/>
      </c>
      <c r="BM735" s="304" t="str">
        <f t="shared" si="576"/>
        <v/>
      </c>
      <c r="BN735" s="28"/>
      <c r="BO735" s="304" t="str">
        <f t="shared" si="577"/>
        <v/>
      </c>
      <c r="BP735" s="304" t="str">
        <f t="shared" si="577"/>
        <v/>
      </c>
      <c r="BQ735" s="28"/>
      <c r="BR735" s="304" t="str">
        <f t="shared" si="578"/>
        <v/>
      </c>
      <c r="BS735" s="304" t="str">
        <f t="shared" si="578"/>
        <v/>
      </c>
      <c r="BT735" s="28"/>
      <c r="BU735" s="304" t="str">
        <f t="shared" si="579"/>
        <v/>
      </c>
      <c r="BV735" s="304" t="str">
        <f t="shared" si="579"/>
        <v/>
      </c>
      <c r="BW735" s="28"/>
      <c r="BX735" s="91"/>
    </row>
    <row r="736" spans="1:76" s="55" customFormat="1" x14ac:dyDescent="0.25">
      <c r="A736" s="195">
        <v>40</v>
      </c>
      <c r="B736" s="216" t="str">
        <f t="shared" si="556"/>
        <v>OECD90: FAO. 2017. Global Livestock Environmental Assessment Model (GLEAM)</v>
      </c>
      <c r="C736" s="219" t="s">
        <v>227</v>
      </c>
      <c r="D736" s="219" t="s">
        <v>399</v>
      </c>
      <c r="E736" s="219" t="s">
        <v>96</v>
      </c>
      <c r="F736" s="219" t="s">
        <v>185</v>
      </c>
      <c r="G736" s="220" t="s">
        <v>26</v>
      </c>
      <c r="H736" s="221">
        <v>2010</v>
      </c>
      <c r="I736" s="220"/>
      <c r="J736" s="370">
        <v>1383871488.1519036</v>
      </c>
      <c r="K736" s="367" t="s">
        <v>372</v>
      </c>
      <c r="L736" s="334">
        <f>J736/[1]GHGsources!E20*0.001</f>
        <v>2.8052327665056115E-3</v>
      </c>
      <c r="M736" s="335" t="str">
        <f>'[1]Advanced Controls'!$I$158</f>
        <v>t CH4-CO2eq per kg of protein</v>
      </c>
      <c r="N736" s="238"/>
      <c r="O736" s="227" t="s">
        <v>393</v>
      </c>
      <c r="P736" s="122"/>
      <c r="Q736" s="228"/>
      <c r="R736" s="231">
        <f t="shared" si="568"/>
        <v>2.8052327665056115E-3</v>
      </c>
      <c r="S736" s="230">
        <f t="shared" si="557"/>
        <v>2.8052327665056115E-3</v>
      </c>
      <c r="T736" s="231" t="str">
        <f t="shared" si="581"/>
        <v/>
      </c>
      <c r="U736" s="232" t="str">
        <f t="shared" si="558"/>
        <v>t CH4-CO2eq per kg of protein</v>
      </c>
      <c r="V736" s="28"/>
      <c r="W736" s="28"/>
      <c r="Y736" s="91"/>
      <c r="AO736" s="91"/>
      <c r="AP736" s="28"/>
      <c r="AQ736" s="28"/>
      <c r="AR736" s="237"/>
      <c r="AS736" s="28"/>
      <c r="AT736" s="304" t="str">
        <f t="shared" si="580"/>
        <v/>
      </c>
      <c r="AU736" s="304" t="str">
        <f t="shared" si="580"/>
        <v/>
      </c>
      <c r="AV736" s="28"/>
      <c r="AW736" s="304">
        <f t="shared" si="571"/>
        <v>2.8052327665056115E-3</v>
      </c>
      <c r="AX736" s="304">
        <f t="shared" si="571"/>
        <v>2.8052327665056115E-3</v>
      </c>
      <c r="AY736" s="28"/>
      <c r="AZ736" s="304" t="str">
        <f t="shared" si="572"/>
        <v/>
      </c>
      <c r="BA736" s="304" t="str">
        <f t="shared" si="572"/>
        <v/>
      </c>
      <c r="BB736" s="28"/>
      <c r="BC736" s="304" t="str">
        <f t="shared" si="573"/>
        <v/>
      </c>
      <c r="BD736" s="304" t="str">
        <f t="shared" si="573"/>
        <v/>
      </c>
      <c r="BE736" s="28"/>
      <c r="BF736" s="304" t="str">
        <f t="shared" si="574"/>
        <v/>
      </c>
      <c r="BG736" s="304" t="str">
        <f t="shared" si="574"/>
        <v/>
      </c>
      <c r="BH736" s="28"/>
      <c r="BI736" s="304" t="str">
        <f t="shared" si="575"/>
        <v/>
      </c>
      <c r="BJ736" s="304" t="str">
        <f t="shared" si="575"/>
        <v/>
      </c>
      <c r="BK736" s="28"/>
      <c r="BL736" s="304" t="str">
        <f t="shared" si="576"/>
        <v/>
      </c>
      <c r="BM736" s="304" t="str">
        <f t="shared" si="576"/>
        <v/>
      </c>
      <c r="BN736" s="28"/>
      <c r="BO736" s="304" t="str">
        <f t="shared" si="577"/>
        <v/>
      </c>
      <c r="BP736" s="304" t="str">
        <f t="shared" si="577"/>
        <v/>
      </c>
      <c r="BQ736" s="28"/>
      <c r="BR736" s="304" t="str">
        <f t="shared" si="578"/>
        <v/>
      </c>
      <c r="BS736" s="304" t="str">
        <f t="shared" si="578"/>
        <v/>
      </c>
      <c r="BT736" s="28"/>
      <c r="BU736" s="304" t="str">
        <f t="shared" si="579"/>
        <v/>
      </c>
      <c r="BV736" s="304" t="str">
        <f t="shared" si="579"/>
        <v/>
      </c>
      <c r="BW736" s="28"/>
      <c r="BX736" s="91"/>
    </row>
    <row r="737" spans="1:76" s="55" customFormat="1" x14ac:dyDescent="0.25">
      <c r="A737" s="195">
        <v>41</v>
      </c>
      <c r="B737" s="216" t="str">
        <f t="shared" si="556"/>
        <v>Eastern Europe: FAO. 2017. Global Livestock Environmental Assessment Model (GLEAM)</v>
      </c>
      <c r="C737" s="219" t="s">
        <v>227</v>
      </c>
      <c r="D737" s="219" t="s">
        <v>400</v>
      </c>
      <c r="E737" s="219" t="s">
        <v>97</v>
      </c>
      <c r="F737" s="219" t="s">
        <v>384</v>
      </c>
      <c r="G737" s="220" t="s">
        <v>26</v>
      </c>
      <c r="H737" s="221">
        <v>2010</v>
      </c>
      <c r="I737" s="220"/>
      <c r="J737" s="370">
        <v>250957614038.81992</v>
      </c>
      <c r="K737" s="367" t="s">
        <v>372</v>
      </c>
      <c r="L737" s="334">
        <f>J737/[1]GHGsources!E21*0.001</f>
        <v>0.40477247641627728</v>
      </c>
      <c r="M737" s="335" t="str">
        <f>'[1]Advanced Controls'!$I$158</f>
        <v>t CH4-CO2eq per kg of protein</v>
      </c>
      <c r="N737" s="238"/>
      <c r="O737" s="227" t="s">
        <v>393</v>
      </c>
      <c r="P737" s="122"/>
      <c r="Q737" s="228"/>
      <c r="R737" s="231">
        <f t="shared" si="568"/>
        <v>0.40477247641627728</v>
      </c>
      <c r="S737" s="230">
        <f t="shared" si="557"/>
        <v>0.40477247641627728</v>
      </c>
      <c r="T737" s="231">
        <f t="shared" si="581"/>
        <v>0</v>
      </c>
      <c r="U737" s="232" t="str">
        <f t="shared" si="558"/>
        <v>t CH4-CO2eq per kg of protein</v>
      </c>
      <c r="V737" s="28"/>
      <c r="W737" s="28"/>
      <c r="Y737" s="91"/>
      <c r="AO737" s="91"/>
      <c r="AP737" s="28"/>
      <c r="AQ737" s="28"/>
      <c r="AR737" s="237"/>
      <c r="AS737" s="28"/>
      <c r="AT737" s="304" t="str">
        <f t="shared" si="580"/>
        <v/>
      </c>
      <c r="AU737" s="304" t="str">
        <f t="shared" si="580"/>
        <v/>
      </c>
      <c r="AV737" s="28"/>
      <c r="AW737" s="304" t="str">
        <f t="shared" si="571"/>
        <v/>
      </c>
      <c r="AX737" s="304" t="str">
        <f t="shared" si="571"/>
        <v/>
      </c>
      <c r="AY737" s="28"/>
      <c r="AZ737" s="304">
        <f t="shared" si="572"/>
        <v>0.40477247641627728</v>
      </c>
      <c r="BA737" s="304">
        <f t="shared" si="572"/>
        <v>0.40477247641627728</v>
      </c>
      <c r="BB737" s="28"/>
      <c r="BC737" s="304" t="str">
        <f t="shared" si="573"/>
        <v/>
      </c>
      <c r="BD737" s="304" t="str">
        <f t="shared" si="573"/>
        <v/>
      </c>
      <c r="BE737" s="28"/>
      <c r="BF737" s="304" t="str">
        <f t="shared" si="574"/>
        <v/>
      </c>
      <c r="BG737" s="304" t="str">
        <f t="shared" si="574"/>
        <v/>
      </c>
      <c r="BH737" s="28"/>
      <c r="BI737" s="304" t="str">
        <f t="shared" si="575"/>
        <v/>
      </c>
      <c r="BJ737" s="304" t="str">
        <f t="shared" si="575"/>
        <v/>
      </c>
      <c r="BK737" s="28"/>
      <c r="BL737" s="304" t="str">
        <f t="shared" si="576"/>
        <v/>
      </c>
      <c r="BM737" s="304" t="str">
        <f t="shared" si="576"/>
        <v/>
      </c>
      <c r="BN737" s="28"/>
      <c r="BO737" s="304" t="str">
        <f t="shared" si="577"/>
        <v/>
      </c>
      <c r="BP737" s="304" t="str">
        <f t="shared" si="577"/>
        <v/>
      </c>
      <c r="BQ737" s="28"/>
      <c r="BR737" s="304" t="str">
        <f t="shared" si="578"/>
        <v/>
      </c>
      <c r="BS737" s="304" t="str">
        <f t="shared" si="578"/>
        <v/>
      </c>
      <c r="BT737" s="28"/>
      <c r="BU737" s="304" t="str">
        <f t="shared" si="579"/>
        <v/>
      </c>
      <c r="BV737" s="304" t="str">
        <f t="shared" si="579"/>
        <v/>
      </c>
      <c r="BW737" s="28"/>
      <c r="BX737" s="91"/>
    </row>
    <row r="738" spans="1:76" s="55" customFormat="1" x14ac:dyDescent="0.25">
      <c r="A738" s="195">
        <v>42</v>
      </c>
      <c r="B738" s="216" t="str">
        <f t="shared" si="556"/>
        <v>Asia (Sans Japan): FAO. 2017. Global Livestock Environmental Assessment Model (GLEAM)</v>
      </c>
      <c r="C738" s="219" t="s">
        <v>227</v>
      </c>
      <c r="D738" s="219" t="s">
        <v>401</v>
      </c>
      <c r="E738" s="219" t="s">
        <v>98</v>
      </c>
      <c r="F738" s="219" t="s">
        <v>386</v>
      </c>
      <c r="G738" s="220" t="s">
        <v>26</v>
      </c>
      <c r="H738" s="221">
        <v>2010</v>
      </c>
      <c r="I738" s="220"/>
      <c r="J738" s="370">
        <v>68457605258.964142</v>
      </c>
      <c r="K738" s="367" t="s">
        <v>372</v>
      </c>
      <c r="L738" s="334">
        <f>J738/[1]GHGsources!E22*0.001</f>
        <v>2.6134619314475083E-2</v>
      </c>
      <c r="M738" s="335" t="str">
        <f>'[1]Advanced Controls'!$I$158</f>
        <v>t CH4-CO2eq per kg of protein</v>
      </c>
      <c r="N738" s="238"/>
      <c r="O738" s="227" t="s">
        <v>393</v>
      </c>
      <c r="P738" s="122"/>
      <c r="Q738" s="228"/>
      <c r="R738" s="231">
        <f t="shared" si="568"/>
        <v>2.6134619314475083E-2</v>
      </c>
      <c r="S738" s="230">
        <f t="shared" si="557"/>
        <v>2.6134619314475083E-2</v>
      </c>
      <c r="T738" s="231">
        <f t="shared" si="581"/>
        <v>0</v>
      </c>
      <c r="U738" s="232" t="str">
        <f t="shared" si="558"/>
        <v>t CH4-CO2eq per kg of protein</v>
      </c>
      <c r="V738" s="28"/>
      <c r="W738" s="28"/>
      <c r="Y738" s="91"/>
      <c r="AO738" s="91"/>
      <c r="AP738" s="28"/>
      <c r="AQ738" s="28"/>
      <c r="AR738" s="237"/>
      <c r="AS738" s="28"/>
      <c r="AT738" s="304" t="str">
        <f t="shared" si="580"/>
        <v/>
      </c>
      <c r="AU738" s="304" t="str">
        <f t="shared" si="580"/>
        <v/>
      </c>
      <c r="AV738" s="28"/>
      <c r="AW738" s="304" t="str">
        <f t="shared" si="571"/>
        <v/>
      </c>
      <c r="AX738" s="304" t="str">
        <f t="shared" si="571"/>
        <v/>
      </c>
      <c r="AY738" s="28"/>
      <c r="AZ738" s="304" t="str">
        <f t="shared" si="572"/>
        <v/>
      </c>
      <c r="BA738" s="304" t="str">
        <f t="shared" si="572"/>
        <v/>
      </c>
      <c r="BB738" s="28"/>
      <c r="BC738" s="304">
        <f t="shared" si="573"/>
        <v>2.6134619314475083E-2</v>
      </c>
      <c r="BD738" s="304">
        <f t="shared" si="573"/>
        <v>2.6134619314475083E-2</v>
      </c>
      <c r="BE738" s="28"/>
      <c r="BF738" s="304" t="str">
        <f t="shared" si="574"/>
        <v/>
      </c>
      <c r="BG738" s="304" t="str">
        <f t="shared" si="574"/>
        <v/>
      </c>
      <c r="BH738" s="28"/>
      <c r="BI738" s="304" t="str">
        <f t="shared" si="575"/>
        <v/>
      </c>
      <c r="BJ738" s="304" t="str">
        <f t="shared" si="575"/>
        <v/>
      </c>
      <c r="BK738" s="28"/>
      <c r="BL738" s="304" t="str">
        <f t="shared" si="576"/>
        <v/>
      </c>
      <c r="BM738" s="304" t="str">
        <f t="shared" si="576"/>
        <v/>
      </c>
      <c r="BN738" s="28"/>
      <c r="BO738" s="304" t="str">
        <f t="shared" si="577"/>
        <v/>
      </c>
      <c r="BP738" s="304" t="str">
        <f t="shared" si="577"/>
        <v/>
      </c>
      <c r="BQ738" s="28"/>
      <c r="BR738" s="304" t="str">
        <f t="shared" si="578"/>
        <v/>
      </c>
      <c r="BS738" s="304" t="str">
        <f t="shared" si="578"/>
        <v/>
      </c>
      <c r="BT738" s="28"/>
      <c r="BU738" s="304" t="str">
        <f t="shared" si="579"/>
        <v/>
      </c>
      <c r="BV738" s="304" t="str">
        <f t="shared" si="579"/>
        <v/>
      </c>
      <c r="BW738" s="28"/>
      <c r="BX738" s="91"/>
    </row>
    <row r="739" spans="1:76" s="55" customFormat="1" x14ac:dyDescent="0.25">
      <c r="A739" s="195">
        <v>43</v>
      </c>
      <c r="B739" s="216" t="str">
        <f t="shared" si="556"/>
        <v>Middle East and Africa: FAO. 2017. Global Livestock Environmental Assessment Model (GLEAM)</v>
      </c>
      <c r="C739" s="219" t="s">
        <v>227</v>
      </c>
      <c r="D739" s="219" t="s">
        <v>402</v>
      </c>
      <c r="E739" s="219" t="s">
        <v>99</v>
      </c>
      <c r="F739" s="219" t="s">
        <v>388</v>
      </c>
      <c r="G739" s="220" t="s">
        <v>26</v>
      </c>
      <c r="H739" s="221">
        <v>2010</v>
      </c>
      <c r="I739" s="220"/>
      <c r="J739" s="370">
        <v>120977158239.09271</v>
      </c>
      <c r="K739" s="367" t="s">
        <v>372</v>
      </c>
      <c r="L739" s="334">
        <f>J739/[1]GHGsources!E23*0.001</f>
        <v>0.22446939787258938</v>
      </c>
      <c r="M739" s="335" t="str">
        <f>'[1]Advanced Controls'!$I$158</f>
        <v>t CH4-CO2eq per kg of protein</v>
      </c>
      <c r="N739" s="238"/>
      <c r="O739" s="227" t="s">
        <v>393</v>
      </c>
      <c r="P739" s="122"/>
      <c r="Q739" s="228"/>
      <c r="R739" s="231">
        <f t="shared" si="568"/>
        <v>0.22446939787258938</v>
      </c>
      <c r="S739" s="230">
        <f t="shared" si="557"/>
        <v>0.22446939787258938</v>
      </c>
      <c r="T739" s="231" t="str">
        <f t="shared" si="581"/>
        <v/>
      </c>
      <c r="U739" s="232" t="str">
        <f t="shared" si="558"/>
        <v>t CH4-CO2eq per kg of protein</v>
      </c>
      <c r="V739" s="28"/>
      <c r="W739" s="28"/>
      <c r="Y739" s="91"/>
      <c r="AO739" s="91"/>
      <c r="AP739" s="28"/>
      <c r="AQ739" s="28"/>
      <c r="AR739" s="237"/>
      <c r="AS739" s="28"/>
      <c r="AT739" s="304" t="str">
        <f t="shared" si="580"/>
        <v/>
      </c>
      <c r="AU739" s="304" t="str">
        <f t="shared" si="580"/>
        <v/>
      </c>
      <c r="AV739" s="28"/>
      <c r="AW739" s="304" t="str">
        <f t="shared" si="571"/>
        <v/>
      </c>
      <c r="AX739" s="304" t="str">
        <f t="shared" si="571"/>
        <v/>
      </c>
      <c r="AY739" s="28"/>
      <c r="AZ739" s="304" t="str">
        <f t="shared" si="572"/>
        <v/>
      </c>
      <c r="BA739" s="304" t="str">
        <f t="shared" si="572"/>
        <v/>
      </c>
      <c r="BB739" s="28"/>
      <c r="BC739" s="304" t="str">
        <f t="shared" si="573"/>
        <v/>
      </c>
      <c r="BD739" s="304" t="str">
        <f t="shared" si="573"/>
        <v/>
      </c>
      <c r="BE739" s="28"/>
      <c r="BF739" s="304">
        <f t="shared" si="574"/>
        <v>0.22446939787258938</v>
      </c>
      <c r="BG739" s="304">
        <f t="shared" si="574"/>
        <v>0.22446939787258938</v>
      </c>
      <c r="BH739" s="28"/>
      <c r="BI739" s="304" t="str">
        <f t="shared" si="575"/>
        <v/>
      </c>
      <c r="BJ739" s="304" t="str">
        <f t="shared" si="575"/>
        <v/>
      </c>
      <c r="BK739" s="28"/>
      <c r="BL739" s="304" t="str">
        <f t="shared" si="576"/>
        <v/>
      </c>
      <c r="BM739" s="304" t="str">
        <f t="shared" si="576"/>
        <v/>
      </c>
      <c r="BN739" s="28"/>
      <c r="BO739" s="304" t="str">
        <f t="shared" si="577"/>
        <v/>
      </c>
      <c r="BP739" s="304" t="str">
        <f t="shared" si="577"/>
        <v/>
      </c>
      <c r="BQ739" s="28"/>
      <c r="BR739" s="304" t="str">
        <f t="shared" si="578"/>
        <v/>
      </c>
      <c r="BS739" s="304" t="str">
        <f t="shared" si="578"/>
        <v/>
      </c>
      <c r="BT739" s="28"/>
      <c r="BU739" s="304" t="str">
        <f t="shared" si="579"/>
        <v/>
      </c>
      <c r="BV739" s="304" t="str">
        <f t="shared" si="579"/>
        <v/>
      </c>
      <c r="BW739" s="28"/>
      <c r="BX739" s="91"/>
    </row>
    <row r="740" spans="1:76" s="55" customFormat="1" x14ac:dyDescent="0.25">
      <c r="A740" s="195">
        <v>44</v>
      </c>
      <c r="B740" s="216" t="str">
        <f t="shared" si="556"/>
        <v>OECD90: FAO. 2017. Global Livestock Environmental Assessment Model (GLEAM)</v>
      </c>
      <c r="C740" s="219" t="s">
        <v>227</v>
      </c>
      <c r="D740" s="219" t="s">
        <v>403</v>
      </c>
      <c r="E740" s="219" t="s">
        <v>96</v>
      </c>
      <c r="F740" s="219" t="s">
        <v>176</v>
      </c>
      <c r="G740" s="220" t="s">
        <v>26</v>
      </c>
      <c r="H740" s="221">
        <v>2010</v>
      </c>
      <c r="I740" s="220"/>
      <c r="J740" s="370">
        <v>985684400.33327651</v>
      </c>
      <c r="K740" s="367" t="s">
        <v>372</v>
      </c>
      <c r="L740" s="334">
        <f>J740/[1]GHGsources!E24*0.001</f>
        <v>2.6440226287340198E-4</v>
      </c>
      <c r="M740" s="335" t="str">
        <f>'[1]Advanced Controls'!$I$158</f>
        <v>t CH4-CO2eq per kg of protein</v>
      </c>
      <c r="N740" s="238"/>
      <c r="O740" s="227" t="s">
        <v>393</v>
      </c>
      <c r="P740" s="122"/>
      <c r="Q740" s="228"/>
      <c r="R740" s="231">
        <f t="shared" si="568"/>
        <v>2.6440226287340198E-4</v>
      </c>
      <c r="S740" s="230">
        <f t="shared" si="557"/>
        <v>2.6440226287340198E-4</v>
      </c>
      <c r="T740" s="231" t="str">
        <f t="shared" si="581"/>
        <v/>
      </c>
      <c r="U740" s="232" t="str">
        <f t="shared" si="558"/>
        <v>t CH4-CO2eq per kg of protein</v>
      </c>
      <c r="V740" s="28"/>
      <c r="W740" s="28"/>
      <c r="Y740" s="91"/>
      <c r="AO740" s="91"/>
      <c r="AP740" s="28"/>
      <c r="AQ740" s="28"/>
      <c r="AR740" s="237"/>
      <c r="AS740" s="28"/>
      <c r="AT740" s="304" t="str">
        <f t="shared" si="580"/>
        <v/>
      </c>
      <c r="AU740" s="304" t="str">
        <f t="shared" si="580"/>
        <v/>
      </c>
      <c r="AV740" s="28"/>
      <c r="AW740" s="304">
        <f t="shared" si="571"/>
        <v>2.6440226287340198E-4</v>
      </c>
      <c r="AX740" s="304">
        <f t="shared" si="571"/>
        <v>2.6440226287340198E-4</v>
      </c>
      <c r="AY740" s="28"/>
      <c r="AZ740" s="304" t="str">
        <f t="shared" si="572"/>
        <v/>
      </c>
      <c r="BA740" s="304" t="str">
        <f t="shared" si="572"/>
        <v/>
      </c>
      <c r="BB740" s="28"/>
      <c r="BC740" s="304" t="str">
        <f t="shared" si="573"/>
        <v/>
      </c>
      <c r="BD740" s="304" t="str">
        <f t="shared" si="573"/>
        <v/>
      </c>
      <c r="BE740" s="28"/>
      <c r="BF740" s="304" t="str">
        <f t="shared" si="574"/>
        <v/>
      </c>
      <c r="BG740" s="304" t="str">
        <f t="shared" si="574"/>
        <v/>
      </c>
      <c r="BH740" s="28"/>
      <c r="BI740" s="304" t="str">
        <f t="shared" si="575"/>
        <v/>
      </c>
      <c r="BJ740" s="304" t="str">
        <f t="shared" si="575"/>
        <v/>
      </c>
      <c r="BK740" s="28"/>
      <c r="BL740" s="304" t="str">
        <f t="shared" si="576"/>
        <v/>
      </c>
      <c r="BM740" s="304" t="str">
        <f t="shared" si="576"/>
        <v/>
      </c>
      <c r="BN740" s="28"/>
      <c r="BO740" s="304" t="str">
        <f t="shared" si="577"/>
        <v/>
      </c>
      <c r="BP740" s="304" t="str">
        <f t="shared" si="577"/>
        <v/>
      </c>
      <c r="BQ740" s="28"/>
      <c r="BR740" s="304" t="str">
        <f t="shared" si="578"/>
        <v/>
      </c>
      <c r="BS740" s="304" t="str">
        <f t="shared" si="578"/>
        <v/>
      </c>
      <c r="BT740" s="28"/>
      <c r="BU740" s="304" t="str">
        <f t="shared" si="579"/>
        <v/>
      </c>
      <c r="BV740" s="304" t="str">
        <f t="shared" si="579"/>
        <v/>
      </c>
      <c r="BW740" s="28"/>
      <c r="BX740" s="91"/>
    </row>
    <row r="741" spans="1:76" s="55" customFormat="1" x14ac:dyDescent="0.25">
      <c r="A741" s="195">
        <v>45</v>
      </c>
      <c r="B741" s="216" t="str">
        <f t="shared" si="556"/>
        <v>World: FAO. 2017. Global Livestock Environmental Assessment Model (GLEAM)</v>
      </c>
      <c r="C741" s="219" t="s">
        <v>227</v>
      </c>
      <c r="D741" s="219" t="s">
        <v>404</v>
      </c>
      <c r="E741" s="219" t="s">
        <v>95</v>
      </c>
      <c r="F741" s="371" t="s">
        <v>371</v>
      </c>
      <c r="G741" s="220" t="s">
        <v>26</v>
      </c>
      <c r="H741" s="221">
        <v>2010</v>
      </c>
      <c r="I741" s="372"/>
      <c r="J741" s="370">
        <v>2724451517359.9434</v>
      </c>
      <c r="K741" s="367" t="s">
        <v>372</v>
      </c>
      <c r="L741" s="337">
        <f>J741/[1]GHGsources!F14*0.001</f>
        <v>0.26496727745752857</v>
      </c>
      <c r="M741" s="335" t="str">
        <f>'[1]Advanced Controls'!$I$158</f>
        <v>t CH4-CO2eq per kg of protein</v>
      </c>
      <c r="N741" s="238"/>
      <c r="O741" s="227" t="s">
        <v>405</v>
      </c>
      <c r="P741" s="122"/>
      <c r="Q741" s="228"/>
      <c r="R741" s="231">
        <f t="shared" si="568"/>
        <v>0.26496727745752857</v>
      </c>
      <c r="S741" s="230">
        <f t="shared" si="557"/>
        <v>0.26496727745752857</v>
      </c>
      <c r="T741" s="231">
        <f t="shared" si="581"/>
        <v>0</v>
      </c>
      <c r="U741" s="232" t="str">
        <f t="shared" si="558"/>
        <v>t CH4-CO2eq per kg of protein</v>
      </c>
      <c r="V741" s="28"/>
      <c r="W741" s="28"/>
      <c r="Y741" s="91"/>
      <c r="AO741" s="91"/>
      <c r="AP741" s="28"/>
      <c r="AQ741" s="28"/>
      <c r="AR741" s="237"/>
      <c r="AS741" s="28"/>
      <c r="AT741" s="304">
        <f t="shared" si="580"/>
        <v>0.26496727745752857</v>
      </c>
      <c r="AU741" s="304">
        <f t="shared" si="580"/>
        <v>0.26496727745752857</v>
      </c>
      <c r="AV741" s="28"/>
      <c r="AW741" s="304" t="str">
        <f t="shared" si="571"/>
        <v/>
      </c>
      <c r="AX741" s="304" t="str">
        <f t="shared" si="571"/>
        <v/>
      </c>
      <c r="AY741" s="28"/>
      <c r="AZ741" s="304" t="str">
        <f t="shared" si="572"/>
        <v/>
      </c>
      <c r="BA741" s="304" t="str">
        <f t="shared" si="572"/>
        <v/>
      </c>
      <c r="BB741" s="28"/>
      <c r="BC741" s="304" t="str">
        <f t="shared" si="573"/>
        <v/>
      </c>
      <c r="BD741" s="304" t="str">
        <f t="shared" si="573"/>
        <v/>
      </c>
      <c r="BE741" s="28"/>
      <c r="BF741" s="304" t="str">
        <f t="shared" si="574"/>
        <v/>
      </c>
      <c r="BG741" s="304" t="str">
        <f t="shared" si="574"/>
        <v/>
      </c>
      <c r="BH741" s="28"/>
      <c r="BI741" s="304" t="str">
        <f t="shared" si="575"/>
        <v/>
      </c>
      <c r="BJ741" s="304" t="str">
        <f t="shared" si="575"/>
        <v/>
      </c>
      <c r="BK741" s="28"/>
      <c r="BL741" s="304" t="str">
        <f t="shared" si="576"/>
        <v/>
      </c>
      <c r="BM741" s="304" t="str">
        <f t="shared" si="576"/>
        <v/>
      </c>
      <c r="BN741" s="28"/>
      <c r="BO741" s="304" t="str">
        <f t="shared" si="577"/>
        <v/>
      </c>
      <c r="BP741" s="304" t="str">
        <f t="shared" si="577"/>
        <v/>
      </c>
      <c r="BQ741" s="28"/>
      <c r="BR741" s="304" t="str">
        <f t="shared" si="578"/>
        <v/>
      </c>
      <c r="BS741" s="304" t="str">
        <f t="shared" si="578"/>
        <v/>
      </c>
      <c r="BT741" s="28"/>
      <c r="BU741" s="304" t="str">
        <f t="shared" si="579"/>
        <v/>
      </c>
      <c r="BV741" s="304" t="str">
        <f t="shared" si="579"/>
        <v/>
      </c>
      <c r="BW741" s="28"/>
      <c r="BX741" s="91"/>
    </row>
    <row r="742" spans="1:76" s="55" customFormat="1" x14ac:dyDescent="0.25">
      <c r="A742" s="195">
        <v>46</v>
      </c>
      <c r="B742" s="216" t="str">
        <f t="shared" si="556"/>
        <v>Asia (Sans Japan): FAO. 2017. Global Livestock Environmental Assessment Model (GLEAM)</v>
      </c>
      <c r="C742" s="219" t="s">
        <v>227</v>
      </c>
      <c r="D742" s="219" t="s">
        <v>406</v>
      </c>
      <c r="E742" s="219" t="s">
        <v>98</v>
      </c>
      <c r="F742" s="373" t="s">
        <v>375</v>
      </c>
      <c r="G742" s="220" t="s">
        <v>26</v>
      </c>
      <c r="H742" s="221">
        <v>2010</v>
      </c>
      <c r="I742" s="372"/>
      <c r="J742" s="370">
        <v>55261784278.907562</v>
      </c>
      <c r="K742" s="367" t="s">
        <v>372</v>
      </c>
      <c r="L742" s="337">
        <f>J742/[1]GHGsources!F15*0.001</f>
        <v>4.4135904757230816E-2</v>
      </c>
      <c r="M742" s="335" t="str">
        <f>'[1]Advanced Controls'!$I$158</f>
        <v>t CH4-CO2eq per kg of protein</v>
      </c>
      <c r="N742" s="238"/>
      <c r="O742" s="227" t="s">
        <v>405</v>
      </c>
      <c r="P742" s="122"/>
      <c r="Q742" s="228"/>
      <c r="R742" s="231">
        <f t="shared" si="568"/>
        <v>4.4135904757230816E-2</v>
      </c>
      <c r="S742" s="230">
        <f t="shared" si="557"/>
        <v>4.4135904757230816E-2</v>
      </c>
      <c r="T742" s="231">
        <f t="shared" si="581"/>
        <v>0</v>
      </c>
      <c r="U742" s="232" t="str">
        <f t="shared" si="558"/>
        <v>t CH4-CO2eq per kg of protein</v>
      </c>
      <c r="V742" s="28"/>
      <c r="W742" s="28"/>
      <c r="Y742" s="91"/>
      <c r="AO742" s="91"/>
      <c r="AP742" s="28"/>
      <c r="AQ742" s="28"/>
      <c r="AR742" s="237"/>
      <c r="AS742" s="28"/>
      <c r="AT742" s="304" t="str">
        <f t="shared" si="580"/>
        <v/>
      </c>
      <c r="AU742" s="304" t="str">
        <f t="shared" si="580"/>
        <v/>
      </c>
      <c r="AV742" s="28"/>
      <c r="AW742" s="304" t="str">
        <f t="shared" si="571"/>
        <v/>
      </c>
      <c r="AX742" s="304" t="str">
        <f t="shared" si="571"/>
        <v/>
      </c>
      <c r="AY742" s="28"/>
      <c r="AZ742" s="304" t="str">
        <f t="shared" si="572"/>
        <v/>
      </c>
      <c r="BA742" s="304" t="str">
        <f t="shared" si="572"/>
        <v/>
      </c>
      <c r="BB742" s="28"/>
      <c r="BC742" s="304">
        <f t="shared" si="573"/>
        <v>4.4135904757230816E-2</v>
      </c>
      <c r="BD742" s="304">
        <f t="shared" si="573"/>
        <v>4.4135904757230816E-2</v>
      </c>
      <c r="BE742" s="28"/>
      <c r="BF742" s="304" t="str">
        <f t="shared" si="574"/>
        <v/>
      </c>
      <c r="BG742" s="304" t="str">
        <f t="shared" si="574"/>
        <v/>
      </c>
      <c r="BH742" s="28"/>
      <c r="BI742" s="304" t="str">
        <f t="shared" si="575"/>
        <v/>
      </c>
      <c r="BJ742" s="304" t="str">
        <f t="shared" si="575"/>
        <v/>
      </c>
      <c r="BK742" s="28"/>
      <c r="BL742" s="304" t="str">
        <f t="shared" si="576"/>
        <v/>
      </c>
      <c r="BM742" s="304" t="str">
        <f t="shared" si="576"/>
        <v/>
      </c>
      <c r="BN742" s="28"/>
      <c r="BO742" s="304" t="str">
        <f t="shared" si="577"/>
        <v/>
      </c>
      <c r="BP742" s="304" t="str">
        <f t="shared" si="577"/>
        <v/>
      </c>
      <c r="BQ742" s="28"/>
      <c r="BR742" s="304" t="str">
        <f t="shared" si="578"/>
        <v/>
      </c>
      <c r="BS742" s="304" t="str">
        <f t="shared" si="578"/>
        <v/>
      </c>
      <c r="BT742" s="28"/>
      <c r="BU742" s="304" t="str">
        <f t="shared" si="579"/>
        <v/>
      </c>
      <c r="BV742" s="304" t="str">
        <f t="shared" si="579"/>
        <v/>
      </c>
      <c r="BW742" s="28"/>
      <c r="BX742" s="91"/>
    </row>
    <row r="743" spans="1:76" s="55" customFormat="1" x14ac:dyDescent="0.25">
      <c r="A743" s="195">
        <v>47</v>
      </c>
      <c r="B743" s="216" t="str">
        <f t="shared" si="556"/>
        <v>Eastern Europe: FAO. 2017. Global Livestock Environmental Assessment Model (GLEAM)</v>
      </c>
      <c r="C743" s="219" t="s">
        <v>227</v>
      </c>
      <c r="D743" s="219" t="s">
        <v>407</v>
      </c>
      <c r="E743" s="219" t="s">
        <v>97</v>
      </c>
      <c r="F743" s="373" t="s">
        <v>97</v>
      </c>
      <c r="G743" s="220" t="s">
        <v>26</v>
      </c>
      <c r="H743" s="221">
        <v>2010</v>
      </c>
      <c r="I743" s="372"/>
      <c r="J743" s="370">
        <v>2338765597.6271391</v>
      </c>
      <c r="K743" s="367" t="s">
        <v>372</v>
      </c>
      <c r="L743" s="337">
        <f>J743/[1]GHGsources!F16*0.001</f>
        <v>8.8937063619682916E-3</v>
      </c>
      <c r="M743" s="335" t="str">
        <f>'[1]Advanced Controls'!$I$158</f>
        <v>t CH4-CO2eq per kg of protein</v>
      </c>
      <c r="N743" s="238"/>
      <c r="O743" s="227" t="s">
        <v>405</v>
      </c>
      <c r="P743" s="122"/>
      <c r="Q743" s="228"/>
      <c r="R743" s="231">
        <f t="shared" si="568"/>
        <v>8.8937063619682916E-3</v>
      </c>
      <c r="S743" s="230">
        <f t="shared" si="557"/>
        <v>8.8937063619682916E-3</v>
      </c>
      <c r="T743" s="231">
        <f t="shared" si="581"/>
        <v>0</v>
      </c>
      <c r="U743" s="232" t="str">
        <f t="shared" si="558"/>
        <v>t CH4-CO2eq per kg of protein</v>
      </c>
      <c r="V743" s="28"/>
      <c r="W743" s="28"/>
      <c r="Y743" s="91"/>
      <c r="AO743" s="91"/>
      <c r="AP743" s="28"/>
      <c r="AQ743" s="28"/>
      <c r="AR743" s="237"/>
      <c r="AS743" s="28"/>
      <c r="AT743" s="304" t="str">
        <f t="shared" si="580"/>
        <v/>
      </c>
      <c r="AU743" s="304" t="str">
        <f t="shared" si="580"/>
        <v/>
      </c>
      <c r="AV743" s="28"/>
      <c r="AW743" s="304" t="str">
        <f t="shared" si="571"/>
        <v/>
      </c>
      <c r="AX743" s="304" t="str">
        <f t="shared" si="571"/>
        <v/>
      </c>
      <c r="AY743" s="28"/>
      <c r="AZ743" s="304">
        <f t="shared" si="572"/>
        <v>8.8937063619682916E-3</v>
      </c>
      <c r="BA743" s="304">
        <f t="shared" si="572"/>
        <v>8.8937063619682916E-3</v>
      </c>
      <c r="BB743" s="28"/>
      <c r="BC743" s="304" t="str">
        <f t="shared" si="573"/>
        <v/>
      </c>
      <c r="BD743" s="304" t="str">
        <f t="shared" si="573"/>
        <v/>
      </c>
      <c r="BE743" s="28"/>
      <c r="BF743" s="304" t="str">
        <f t="shared" si="574"/>
        <v/>
      </c>
      <c r="BG743" s="304" t="str">
        <f t="shared" si="574"/>
        <v/>
      </c>
      <c r="BH743" s="28"/>
      <c r="BI743" s="304" t="str">
        <f t="shared" si="575"/>
        <v/>
      </c>
      <c r="BJ743" s="304" t="str">
        <f t="shared" si="575"/>
        <v/>
      </c>
      <c r="BK743" s="28"/>
      <c r="BL743" s="304" t="str">
        <f t="shared" si="576"/>
        <v/>
      </c>
      <c r="BM743" s="304" t="str">
        <f t="shared" si="576"/>
        <v/>
      </c>
      <c r="BN743" s="28"/>
      <c r="BO743" s="304" t="str">
        <f t="shared" si="577"/>
        <v/>
      </c>
      <c r="BP743" s="304" t="str">
        <f t="shared" si="577"/>
        <v/>
      </c>
      <c r="BQ743" s="28"/>
      <c r="BR743" s="304" t="str">
        <f t="shared" si="578"/>
        <v/>
      </c>
      <c r="BS743" s="304" t="str">
        <f t="shared" si="578"/>
        <v/>
      </c>
      <c r="BT743" s="28"/>
      <c r="BU743" s="304" t="str">
        <f t="shared" si="579"/>
        <v/>
      </c>
      <c r="BV743" s="304" t="str">
        <f t="shared" si="579"/>
        <v/>
      </c>
      <c r="BW743" s="28"/>
      <c r="BX743" s="91"/>
    </row>
    <row r="744" spans="1:76" s="55" customFormat="1" x14ac:dyDescent="0.25">
      <c r="A744" s="195">
        <v>48</v>
      </c>
      <c r="B744" s="216" t="str">
        <f t="shared" si="556"/>
        <v>Latin America: FAO. 2017. Global Livestock Environmental Assessment Model (GLEAM)</v>
      </c>
      <c r="C744" s="219" t="s">
        <v>227</v>
      </c>
      <c r="D744" s="219" t="s">
        <v>408</v>
      </c>
      <c r="E744" s="219" t="s">
        <v>100</v>
      </c>
      <c r="F744" s="373" t="s">
        <v>378</v>
      </c>
      <c r="G744" s="220" t="s">
        <v>26</v>
      </c>
      <c r="H744" s="221">
        <v>2010</v>
      </c>
      <c r="I744" s="372"/>
      <c r="J744" s="370">
        <v>663999960837.92017</v>
      </c>
      <c r="K744" s="367" t="s">
        <v>372</v>
      </c>
      <c r="L744" s="337">
        <f>J744/[1]GHGsources!F17*0.001</f>
        <v>0.20184380565970603</v>
      </c>
      <c r="M744" s="335" t="str">
        <f>'[1]Advanced Controls'!$I$158</f>
        <v>t CH4-CO2eq per kg of protein</v>
      </c>
      <c r="N744" s="238"/>
      <c r="O744" s="227" t="s">
        <v>405</v>
      </c>
      <c r="P744" s="122"/>
      <c r="Q744" s="228"/>
      <c r="R744" s="231">
        <f t="shared" si="568"/>
        <v>0.20184380565970603</v>
      </c>
      <c r="S744" s="230">
        <f t="shared" si="557"/>
        <v>0.20184380565970603</v>
      </c>
      <c r="T744" s="231" t="str">
        <f t="shared" si="581"/>
        <v/>
      </c>
      <c r="U744" s="232" t="str">
        <f t="shared" si="558"/>
        <v>t CH4-CO2eq per kg of protein</v>
      </c>
      <c r="V744" s="28"/>
      <c r="W744" s="28"/>
      <c r="Y744" s="91"/>
      <c r="AO744" s="91"/>
      <c r="AP744" s="28"/>
      <c r="AQ744" s="28"/>
      <c r="AR744" s="237"/>
      <c r="AS744" s="28"/>
      <c r="AT744" s="304" t="str">
        <f t="shared" si="580"/>
        <v/>
      </c>
      <c r="AU744" s="304" t="str">
        <f t="shared" si="580"/>
        <v/>
      </c>
      <c r="AV744" s="28"/>
      <c r="AW744" s="304" t="str">
        <f t="shared" si="571"/>
        <v/>
      </c>
      <c r="AX744" s="304" t="str">
        <f t="shared" si="571"/>
        <v/>
      </c>
      <c r="AY744" s="28"/>
      <c r="AZ744" s="304" t="str">
        <f t="shared" si="572"/>
        <v/>
      </c>
      <c r="BA744" s="304" t="str">
        <f t="shared" si="572"/>
        <v/>
      </c>
      <c r="BB744" s="28"/>
      <c r="BC744" s="304" t="str">
        <f t="shared" si="573"/>
        <v/>
      </c>
      <c r="BD744" s="304" t="str">
        <f t="shared" si="573"/>
        <v/>
      </c>
      <c r="BE744" s="28"/>
      <c r="BF744" s="304" t="str">
        <f t="shared" si="574"/>
        <v/>
      </c>
      <c r="BG744" s="304" t="str">
        <f t="shared" si="574"/>
        <v/>
      </c>
      <c r="BH744" s="28"/>
      <c r="BI744" s="304">
        <f t="shared" si="575"/>
        <v>0.20184380565970603</v>
      </c>
      <c r="BJ744" s="304">
        <f t="shared" si="575"/>
        <v>0.20184380565970603</v>
      </c>
      <c r="BK744" s="28"/>
      <c r="BL744" s="304" t="str">
        <f t="shared" si="576"/>
        <v/>
      </c>
      <c r="BM744" s="304" t="str">
        <f t="shared" si="576"/>
        <v/>
      </c>
      <c r="BN744" s="28"/>
      <c r="BO744" s="304" t="str">
        <f t="shared" si="577"/>
        <v/>
      </c>
      <c r="BP744" s="304" t="str">
        <f t="shared" si="577"/>
        <v/>
      </c>
      <c r="BQ744" s="28"/>
      <c r="BR744" s="304" t="str">
        <f t="shared" si="578"/>
        <v/>
      </c>
      <c r="BS744" s="304" t="str">
        <f t="shared" si="578"/>
        <v/>
      </c>
      <c r="BT744" s="28"/>
      <c r="BU744" s="304" t="str">
        <f t="shared" si="579"/>
        <v/>
      </c>
      <c r="BV744" s="304" t="str">
        <f t="shared" si="579"/>
        <v/>
      </c>
      <c r="BW744" s="28"/>
      <c r="BX744" s="91"/>
    </row>
    <row r="745" spans="1:76" s="55" customFormat="1" x14ac:dyDescent="0.25">
      <c r="A745" s="195">
        <v>49</v>
      </c>
      <c r="B745" s="216" t="str">
        <f t="shared" si="556"/>
        <v>Middle East and Africa: FAO. 2017. Global Livestock Environmental Assessment Model (GLEAM)</v>
      </c>
      <c r="C745" s="219" t="s">
        <v>227</v>
      </c>
      <c r="D745" s="219" t="s">
        <v>409</v>
      </c>
      <c r="E745" s="219" t="s">
        <v>99</v>
      </c>
      <c r="F745" s="373" t="s">
        <v>380</v>
      </c>
      <c r="G745" s="220" t="s">
        <v>26</v>
      </c>
      <c r="H745" s="221">
        <v>2010</v>
      </c>
      <c r="I745" s="372"/>
      <c r="J745" s="370">
        <v>377785507809.93024</v>
      </c>
      <c r="K745" s="367" t="s">
        <v>372</v>
      </c>
      <c r="L745" s="337">
        <f>J745/[1]GHGsources!F18*0.001</f>
        <v>0.7961390560452275</v>
      </c>
      <c r="M745" s="335" t="str">
        <f>'[1]Advanced Controls'!$I$158</f>
        <v>t CH4-CO2eq per kg of protein</v>
      </c>
      <c r="N745" s="238"/>
      <c r="O745" s="227" t="s">
        <v>405</v>
      </c>
      <c r="P745" s="122"/>
      <c r="Q745" s="228"/>
      <c r="R745" s="231">
        <f t="shared" si="568"/>
        <v>0.7961390560452275</v>
      </c>
      <c r="S745" s="230">
        <f t="shared" si="557"/>
        <v>0.7961390560452275</v>
      </c>
      <c r="T745" s="231">
        <f t="shared" si="581"/>
        <v>0</v>
      </c>
      <c r="U745" s="232" t="str">
        <f t="shared" si="558"/>
        <v>t CH4-CO2eq per kg of protein</v>
      </c>
      <c r="V745" s="28"/>
      <c r="W745" s="28"/>
      <c r="Y745" s="91"/>
      <c r="AO745" s="91"/>
      <c r="AP745" s="28"/>
      <c r="AQ745" s="28"/>
      <c r="AR745" s="237"/>
      <c r="AS745" s="28"/>
      <c r="AT745" s="304" t="str">
        <f t="shared" si="580"/>
        <v/>
      </c>
      <c r="AU745" s="304" t="str">
        <f t="shared" si="580"/>
        <v/>
      </c>
      <c r="AV745" s="28"/>
      <c r="AW745" s="304" t="str">
        <f t="shared" si="571"/>
        <v/>
      </c>
      <c r="AX745" s="304" t="str">
        <f t="shared" si="571"/>
        <v/>
      </c>
      <c r="AY745" s="28"/>
      <c r="AZ745" s="304" t="str">
        <f t="shared" si="572"/>
        <v/>
      </c>
      <c r="BA745" s="304" t="str">
        <f t="shared" si="572"/>
        <v/>
      </c>
      <c r="BB745" s="28"/>
      <c r="BC745" s="304" t="str">
        <f t="shared" si="573"/>
        <v/>
      </c>
      <c r="BD745" s="304" t="str">
        <f t="shared" si="573"/>
        <v/>
      </c>
      <c r="BE745" s="28"/>
      <c r="BF745" s="304">
        <f t="shared" si="574"/>
        <v>0.7961390560452275</v>
      </c>
      <c r="BG745" s="304">
        <f t="shared" si="574"/>
        <v>0.7961390560452275</v>
      </c>
      <c r="BH745" s="28"/>
      <c r="BI745" s="304" t="str">
        <f t="shared" si="575"/>
        <v/>
      </c>
      <c r="BJ745" s="304" t="str">
        <f t="shared" si="575"/>
        <v/>
      </c>
      <c r="BK745" s="28"/>
      <c r="BL745" s="304" t="str">
        <f t="shared" si="576"/>
        <v/>
      </c>
      <c r="BM745" s="304" t="str">
        <f t="shared" si="576"/>
        <v/>
      </c>
      <c r="BN745" s="28"/>
      <c r="BO745" s="304" t="str">
        <f t="shared" si="577"/>
        <v/>
      </c>
      <c r="BP745" s="304" t="str">
        <f t="shared" si="577"/>
        <v/>
      </c>
      <c r="BQ745" s="28"/>
      <c r="BR745" s="304" t="str">
        <f t="shared" si="578"/>
        <v/>
      </c>
      <c r="BS745" s="304" t="str">
        <f t="shared" si="578"/>
        <v/>
      </c>
      <c r="BT745" s="28"/>
      <c r="BU745" s="304" t="str">
        <f t="shared" si="579"/>
        <v/>
      </c>
      <c r="BV745" s="304" t="str">
        <f t="shared" si="579"/>
        <v/>
      </c>
      <c r="BW745" s="28"/>
      <c r="BX745" s="91"/>
    </row>
    <row r="746" spans="1:76" s="55" customFormat="1" x14ac:dyDescent="0.25">
      <c r="A746" s="195">
        <v>50</v>
      </c>
      <c r="B746" s="216" t="str">
        <f t="shared" si="556"/>
        <v>OECD90: FAO. 2017. Global Livestock Environmental Assessment Model (GLEAM)</v>
      </c>
      <c r="C746" s="219" t="s">
        <v>227</v>
      </c>
      <c r="D746" s="219" t="s">
        <v>410</v>
      </c>
      <c r="E746" s="219" t="s">
        <v>96</v>
      </c>
      <c r="F746" s="373" t="s">
        <v>179</v>
      </c>
      <c r="G746" s="220" t="s">
        <v>26</v>
      </c>
      <c r="H746" s="221">
        <v>2010</v>
      </c>
      <c r="I746" s="372"/>
      <c r="J746" s="370">
        <v>126564550497.98865</v>
      </c>
      <c r="K746" s="367" t="s">
        <v>372</v>
      </c>
      <c r="L746" s="337">
        <f>J746/[1]GHGsources!F19*0.001</f>
        <v>6.165647403664213E-2</v>
      </c>
      <c r="M746" s="335" t="str">
        <f>'[1]Advanced Controls'!$I$158</f>
        <v>t CH4-CO2eq per kg of protein</v>
      </c>
      <c r="N746" s="238"/>
      <c r="O746" s="227" t="s">
        <v>405</v>
      </c>
      <c r="P746" s="122"/>
      <c r="Q746" s="228"/>
      <c r="R746" s="231">
        <f t="shared" si="568"/>
        <v>6.165647403664213E-2</v>
      </c>
      <c r="S746" s="230">
        <f t="shared" si="557"/>
        <v>6.165647403664213E-2</v>
      </c>
      <c r="T746" s="231">
        <f t="shared" si="581"/>
        <v>0</v>
      </c>
      <c r="U746" s="232" t="str">
        <f t="shared" si="558"/>
        <v>t CH4-CO2eq per kg of protein</v>
      </c>
      <c r="V746" s="28"/>
      <c r="W746" s="28"/>
      <c r="Y746" s="91"/>
      <c r="AO746" s="91"/>
      <c r="AP746" s="28"/>
      <c r="AQ746" s="28"/>
      <c r="AR746" s="237"/>
      <c r="AS746" s="28"/>
      <c r="AT746" s="304" t="str">
        <f t="shared" si="580"/>
        <v/>
      </c>
      <c r="AU746" s="304" t="str">
        <f t="shared" si="580"/>
        <v/>
      </c>
      <c r="AV746" s="28"/>
      <c r="AW746" s="304">
        <f t="shared" si="571"/>
        <v>6.165647403664213E-2</v>
      </c>
      <c r="AX746" s="304">
        <f t="shared" si="571"/>
        <v>6.165647403664213E-2</v>
      </c>
      <c r="AY746" s="28"/>
      <c r="AZ746" s="304" t="str">
        <f t="shared" si="572"/>
        <v/>
      </c>
      <c r="BA746" s="304" t="str">
        <f t="shared" si="572"/>
        <v/>
      </c>
      <c r="BB746" s="28"/>
      <c r="BC746" s="304" t="str">
        <f t="shared" si="573"/>
        <v/>
      </c>
      <c r="BD746" s="304" t="str">
        <f t="shared" si="573"/>
        <v/>
      </c>
      <c r="BE746" s="28"/>
      <c r="BF746" s="304" t="str">
        <f t="shared" si="574"/>
        <v/>
      </c>
      <c r="BG746" s="304" t="str">
        <f t="shared" si="574"/>
        <v/>
      </c>
      <c r="BH746" s="28"/>
      <c r="BI746" s="304" t="str">
        <f t="shared" si="575"/>
        <v/>
      </c>
      <c r="BJ746" s="304" t="str">
        <f t="shared" si="575"/>
        <v/>
      </c>
      <c r="BK746" s="28"/>
      <c r="BL746" s="304" t="str">
        <f t="shared" si="576"/>
        <v/>
      </c>
      <c r="BM746" s="304" t="str">
        <f t="shared" si="576"/>
        <v/>
      </c>
      <c r="BN746" s="28"/>
      <c r="BO746" s="304" t="str">
        <f t="shared" si="577"/>
        <v/>
      </c>
      <c r="BP746" s="304" t="str">
        <f t="shared" si="577"/>
        <v/>
      </c>
      <c r="BQ746" s="28"/>
      <c r="BR746" s="304" t="str">
        <f t="shared" si="578"/>
        <v/>
      </c>
      <c r="BS746" s="304" t="str">
        <f t="shared" si="578"/>
        <v/>
      </c>
      <c r="BT746" s="28"/>
      <c r="BU746" s="304" t="str">
        <f t="shared" si="579"/>
        <v/>
      </c>
      <c r="BV746" s="304" t="str">
        <f t="shared" si="579"/>
        <v/>
      </c>
      <c r="BW746" s="28"/>
      <c r="BX746" s="91"/>
    </row>
    <row r="747" spans="1:76" s="55" customFormat="1" x14ac:dyDescent="0.25">
      <c r="A747" s="195">
        <v>51</v>
      </c>
      <c r="B747" s="216" t="str">
        <f t="shared" si="556"/>
        <v>OECD90: FAO. 2017. Global Livestock Environmental Assessment Model (GLEAM)</v>
      </c>
      <c r="C747" s="219" t="s">
        <v>227</v>
      </c>
      <c r="D747" s="219" t="s">
        <v>411</v>
      </c>
      <c r="E747" s="219" t="s">
        <v>96</v>
      </c>
      <c r="F747" s="373" t="s">
        <v>185</v>
      </c>
      <c r="G747" s="220" t="s">
        <v>26</v>
      </c>
      <c r="H747" s="221">
        <v>2010</v>
      </c>
      <c r="I747" s="372"/>
      <c r="J747" s="370">
        <v>149962919072.83575</v>
      </c>
      <c r="K747" s="367" t="s">
        <v>372</v>
      </c>
      <c r="L747" s="337">
        <f>J747/[1]GHGsources!F20*0.001</f>
        <v>0.39022840169307199</v>
      </c>
      <c r="M747" s="335" t="str">
        <f>'[1]Advanced Controls'!$I$158</f>
        <v>t CH4-CO2eq per kg of protein</v>
      </c>
      <c r="N747" s="238"/>
      <c r="O747" s="227" t="s">
        <v>405</v>
      </c>
      <c r="P747" s="122"/>
      <c r="Q747" s="228"/>
      <c r="R747" s="231">
        <f t="shared" si="568"/>
        <v>0.39022840169307199</v>
      </c>
      <c r="S747" s="230">
        <f t="shared" si="557"/>
        <v>0.39022840169307199</v>
      </c>
      <c r="T747" s="231">
        <f>IF(OR(Q747="Y",IFERROR(R747&gt;R1061+R1191*$AA$35,0),IFERROR(R747&lt;R1061-R1191*$AA$35,0)),"",IFERROR(R747*N747,""))</f>
        <v>0</v>
      </c>
      <c r="U747" s="232" t="str">
        <f t="shared" si="558"/>
        <v>t CH4-CO2eq per kg of protein</v>
      </c>
      <c r="V747" s="28"/>
      <c r="W747" s="28"/>
      <c r="Y747" s="91"/>
      <c r="AO747" s="91"/>
      <c r="AP747" s="28"/>
      <c r="AQ747" s="28"/>
      <c r="AR747" s="237"/>
      <c r="AS747" s="28"/>
      <c r="AT747" s="304" t="str">
        <f t="shared" si="580"/>
        <v/>
      </c>
      <c r="AU747" s="304" t="str">
        <f t="shared" si="580"/>
        <v/>
      </c>
      <c r="AV747" s="28"/>
      <c r="AW747" s="304">
        <f t="shared" si="571"/>
        <v>0.39022840169307199</v>
      </c>
      <c r="AX747" s="304">
        <f t="shared" si="571"/>
        <v>0.39022840169307199</v>
      </c>
      <c r="AY747" s="28"/>
      <c r="AZ747" s="304" t="str">
        <f t="shared" si="572"/>
        <v/>
      </c>
      <c r="BA747" s="304" t="str">
        <f t="shared" si="572"/>
        <v/>
      </c>
      <c r="BB747" s="28"/>
      <c r="BC747" s="304" t="str">
        <f t="shared" si="573"/>
        <v/>
      </c>
      <c r="BD747" s="304" t="str">
        <f t="shared" si="573"/>
        <v/>
      </c>
      <c r="BE747" s="28"/>
      <c r="BF747" s="304" t="str">
        <f t="shared" si="574"/>
        <v/>
      </c>
      <c r="BG747" s="304" t="str">
        <f t="shared" si="574"/>
        <v/>
      </c>
      <c r="BH747" s="28"/>
      <c r="BI747" s="304" t="str">
        <f t="shared" si="575"/>
        <v/>
      </c>
      <c r="BJ747" s="304" t="str">
        <f t="shared" si="575"/>
        <v/>
      </c>
      <c r="BK747" s="28"/>
      <c r="BL747" s="304" t="str">
        <f t="shared" si="576"/>
        <v/>
      </c>
      <c r="BM747" s="304" t="str">
        <f t="shared" si="576"/>
        <v/>
      </c>
      <c r="BN747" s="28"/>
      <c r="BO747" s="304" t="str">
        <f t="shared" si="577"/>
        <v/>
      </c>
      <c r="BP747" s="304" t="str">
        <f t="shared" si="577"/>
        <v/>
      </c>
      <c r="BQ747" s="28"/>
      <c r="BR747" s="304" t="str">
        <f t="shared" si="578"/>
        <v/>
      </c>
      <c r="BS747" s="304" t="str">
        <f t="shared" si="578"/>
        <v/>
      </c>
      <c r="BT747" s="28"/>
      <c r="BU747" s="304" t="str">
        <f t="shared" si="579"/>
        <v/>
      </c>
      <c r="BV747" s="304" t="str">
        <f t="shared" si="579"/>
        <v/>
      </c>
      <c r="BW747" s="28"/>
      <c r="BX747" s="91"/>
    </row>
    <row r="748" spans="1:76" s="55" customFormat="1" x14ac:dyDescent="0.25">
      <c r="A748" s="195">
        <v>52</v>
      </c>
      <c r="B748" s="216" t="str">
        <f t="shared" si="556"/>
        <v>Eastern Europe: FAO. 2017. Global Livestock Environmental Assessment Model (GLEAM)</v>
      </c>
      <c r="C748" s="219" t="s">
        <v>227</v>
      </c>
      <c r="D748" s="219" t="s">
        <v>412</v>
      </c>
      <c r="E748" s="219" t="s">
        <v>97</v>
      </c>
      <c r="F748" s="373" t="s">
        <v>384</v>
      </c>
      <c r="G748" s="220" t="s">
        <v>26</v>
      </c>
      <c r="H748" s="221">
        <v>2010</v>
      </c>
      <c r="I748" s="372"/>
      <c r="J748" s="370">
        <v>585010594927.69324</v>
      </c>
      <c r="K748" s="367" t="s">
        <v>372</v>
      </c>
      <c r="L748" s="241" t="e">
        <f>J748/[1]GHGsources!F1*0.001</f>
        <v>#DIV/0!</v>
      </c>
      <c r="M748" s="335" t="str">
        <f>'[1]Advanced Controls'!$I$158</f>
        <v>t CH4-CO2eq per kg of protein</v>
      </c>
      <c r="N748" s="238"/>
      <c r="O748" s="227" t="s">
        <v>405</v>
      </c>
      <c r="P748" s="122"/>
      <c r="Q748" s="228" t="s">
        <v>327</v>
      </c>
      <c r="R748" s="231" t="str">
        <f t="shared" si="568"/>
        <v/>
      </c>
      <c r="S748" s="230" t="str">
        <f t="shared" si="557"/>
        <v/>
      </c>
      <c r="T748" s="231" t="str">
        <f>IF(OR(Q748="Y",IFERROR(R748&gt;R1062+R1192*$AA$35,0),IFERROR(R748&lt;R1062-R1192*$AA$35,0)),"",IFERROR(R748*N748,""))</f>
        <v/>
      </c>
      <c r="U748" s="232" t="str">
        <f t="shared" si="558"/>
        <v>t CH4-CO2eq per kg of protein</v>
      </c>
      <c r="V748" s="28"/>
      <c r="W748" s="28"/>
      <c r="Y748" s="91"/>
      <c r="AO748" s="91"/>
      <c r="AP748" s="28"/>
      <c r="AQ748" s="28"/>
      <c r="AR748" s="237"/>
      <c r="AS748" s="28"/>
      <c r="AT748" s="304" t="str">
        <f t="shared" si="580"/>
        <v/>
      </c>
      <c r="AU748" s="304" t="str">
        <f t="shared" si="580"/>
        <v/>
      </c>
      <c r="AV748" s="28"/>
      <c r="AW748" s="304" t="str">
        <f t="shared" si="571"/>
        <v/>
      </c>
      <c r="AX748" s="304" t="str">
        <f t="shared" si="571"/>
        <v/>
      </c>
      <c r="AY748" s="28"/>
      <c r="AZ748" s="304" t="str">
        <f t="shared" si="572"/>
        <v/>
      </c>
      <c r="BA748" s="304" t="str">
        <f t="shared" si="572"/>
        <v/>
      </c>
      <c r="BB748" s="28"/>
      <c r="BC748" s="304" t="str">
        <f t="shared" si="573"/>
        <v/>
      </c>
      <c r="BD748" s="304" t="str">
        <f t="shared" si="573"/>
        <v/>
      </c>
      <c r="BE748" s="28"/>
      <c r="BF748" s="304" t="str">
        <f t="shared" si="574"/>
        <v/>
      </c>
      <c r="BG748" s="304" t="str">
        <f t="shared" si="574"/>
        <v/>
      </c>
      <c r="BH748" s="28"/>
      <c r="BI748" s="304" t="str">
        <f t="shared" si="575"/>
        <v/>
      </c>
      <c r="BJ748" s="304" t="str">
        <f t="shared" si="575"/>
        <v/>
      </c>
      <c r="BK748" s="28"/>
      <c r="BL748" s="304" t="str">
        <f t="shared" si="576"/>
        <v/>
      </c>
      <c r="BM748" s="304" t="str">
        <f t="shared" si="576"/>
        <v/>
      </c>
      <c r="BN748" s="28"/>
      <c r="BO748" s="304" t="str">
        <f t="shared" si="577"/>
        <v/>
      </c>
      <c r="BP748" s="304" t="str">
        <f t="shared" si="577"/>
        <v/>
      </c>
      <c r="BQ748" s="28"/>
      <c r="BR748" s="304" t="str">
        <f t="shared" si="578"/>
        <v/>
      </c>
      <c r="BS748" s="304" t="str">
        <f t="shared" si="578"/>
        <v/>
      </c>
      <c r="BT748" s="28"/>
      <c r="BU748" s="304" t="str">
        <f t="shared" si="579"/>
        <v/>
      </c>
      <c r="BV748" s="304" t="str">
        <f t="shared" si="579"/>
        <v/>
      </c>
      <c r="BW748" s="28"/>
      <c r="BX748" s="91"/>
    </row>
    <row r="749" spans="1:76" s="55" customFormat="1" x14ac:dyDescent="0.25">
      <c r="A749" s="195">
        <v>53</v>
      </c>
      <c r="B749" s="216" t="str">
        <f t="shared" si="556"/>
        <v>Asia (Sans Japan): FAO. 2017. Global Livestock Environmental Assessment Model (GLEAM)</v>
      </c>
      <c r="C749" s="219" t="s">
        <v>227</v>
      </c>
      <c r="D749" s="219" t="s">
        <v>413</v>
      </c>
      <c r="E749" s="219" t="s">
        <v>98</v>
      </c>
      <c r="F749" s="373" t="s">
        <v>386</v>
      </c>
      <c r="G749" s="220" t="s">
        <v>26</v>
      </c>
      <c r="H749" s="221">
        <v>2010</v>
      </c>
      <c r="I749" s="372"/>
      <c r="J749" s="370">
        <v>390194869737.74683</v>
      </c>
      <c r="K749" s="367" t="s">
        <v>372</v>
      </c>
      <c r="L749" s="337">
        <f>J749/[1]GHGsources!F22*0.001</f>
        <v>0.56802978337633403</v>
      </c>
      <c r="M749" s="335" t="str">
        <f>'[1]Advanced Controls'!$I$158</f>
        <v>t CH4-CO2eq per kg of protein</v>
      </c>
      <c r="N749" s="238"/>
      <c r="O749" s="227" t="s">
        <v>405</v>
      </c>
      <c r="P749" s="122"/>
      <c r="Q749" s="228"/>
      <c r="R749" s="231">
        <f t="shared" si="568"/>
        <v>0.56802978337633403</v>
      </c>
      <c r="S749" s="230">
        <f t="shared" si="557"/>
        <v>0.56802978337633403</v>
      </c>
      <c r="T749" s="231">
        <f>IF(OR(Q749="Y",IFERROR(R749&gt;R1063+R1193*$AA$35,0),IFERROR(R749&lt;R1063-R1193*$AA$35,0)),"",IFERROR(R749*N749,""))</f>
        <v>0</v>
      </c>
      <c r="U749" s="232" t="str">
        <f t="shared" si="558"/>
        <v>t CH4-CO2eq per kg of protein</v>
      </c>
      <c r="V749" s="28"/>
      <c r="W749" s="28"/>
      <c r="Y749" s="91"/>
      <c r="AO749" s="91"/>
      <c r="AP749" s="28"/>
      <c r="AQ749" s="28"/>
      <c r="AR749" s="237"/>
      <c r="AS749" s="28"/>
      <c r="AT749" s="304" t="str">
        <f t="shared" si="580"/>
        <v/>
      </c>
      <c r="AU749" s="304" t="str">
        <f t="shared" si="580"/>
        <v/>
      </c>
      <c r="AV749" s="28"/>
      <c r="AW749" s="304" t="str">
        <f t="shared" si="571"/>
        <v/>
      </c>
      <c r="AX749" s="304" t="str">
        <f t="shared" si="571"/>
        <v/>
      </c>
      <c r="AY749" s="28"/>
      <c r="AZ749" s="304" t="str">
        <f t="shared" si="572"/>
        <v/>
      </c>
      <c r="BA749" s="304" t="str">
        <f t="shared" si="572"/>
        <v/>
      </c>
      <c r="BB749" s="28"/>
      <c r="BC749" s="304">
        <f t="shared" si="573"/>
        <v>0.56802978337633403</v>
      </c>
      <c r="BD749" s="304">
        <f t="shared" si="573"/>
        <v>0.56802978337633403</v>
      </c>
      <c r="BE749" s="28"/>
      <c r="BF749" s="304" t="str">
        <f t="shared" si="574"/>
        <v/>
      </c>
      <c r="BG749" s="304" t="str">
        <f t="shared" si="574"/>
        <v/>
      </c>
      <c r="BH749" s="28"/>
      <c r="BI749" s="304" t="str">
        <f t="shared" si="575"/>
        <v/>
      </c>
      <c r="BJ749" s="304" t="str">
        <f t="shared" si="575"/>
        <v/>
      </c>
      <c r="BK749" s="28"/>
      <c r="BL749" s="304" t="str">
        <f t="shared" si="576"/>
        <v/>
      </c>
      <c r="BM749" s="304" t="str">
        <f t="shared" si="576"/>
        <v/>
      </c>
      <c r="BN749" s="28"/>
      <c r="BO749" s="304" t="str">
        <f t="shared" si="577"/>
        <v/>
      </c>
      <c r="BP749" s="304" t="str">
        <f t="shared" si="577"/>
        <v/>
      </c>
      <c r="BQ749" s="28"/>
      <c r="BR749" s="304" t="str">
        <f t="shared" si="578"/>
        <v/>
      </c>
      <c r="BS749" s="304" t="str">
        <f t="shared" si="578"/>
        <v/>
      </c>
      <c r="BT749" s="28"/>
      <c r="BU749" s="304" t="str">
        <f t="shared" si="579"/>
        <v/>
      </c>
      <c r="BV749" s="304" t="str">
        <f t="shared" si="579"/>
        <v/>
      </c>
      <c r="BW749" s="28"/>
      <c r="BX749" s="91"/>
    </row>
    <row r="750" spans="1:76" s="55" customFormat="1" x14ac:dyDescent="0.25">
      <c r="A750" s="195">
        <v>54</v>
      </c>
      <c r="B750" s="216" t="str">
        <f t="shared" si="556"/>
        <v>Middle East and Africa: FAO. 2017. Global Livestock Environmental Assessment Model (GLEAM)</v>
      </c>
      <c r="C750" s="219" t="s">
        <v>227</v>
      </c>
      <c r="D750" s="219" t="s">
        <v>414</v>
      </c>
      <c r="E750" s="219" t="s">
        <v>99</v>
      </c>
      <c r="F750" s="373" t="s">
        <v>388</v>
      </c>
      <c r="G750" s="220" t="s">
        <v>26</v>
      </c>
      <c r="H750" s="221">
        <v>2010</v>
      </c>
      <c r="I750" s="372"/>
      <c r="J750" s="370">
        <v>97377050451.470749</v>
      </c>
      <c r="K750" s="367" t="s">
        <v>372</v>
      </c>
      <c r="L750" s="337">
        <f>J750/[1]GHGsources!F23*0.001</f>
        <v>0.21319842626676044</v>
      </c>
      <c r="M750" s="335" t="str">
        <f>'[1]Advanced Controls'!$I$158</f>
        <v>t CH4-CO2eq per kg of protein</v>
      </c>
      <c r="N750" s="238"/>
      <c r="O750" s="227" t="s">
        <v>405</v>
      </c>
      <c r="P750" s="122"/>
      <c r="Q750" s="228"/>
      <c r="R750" s="231">
        <f t="shared" si="568"/>
        <v>0.21319842626676044</v>
      </c>
      <c r="S750" s="230">
        <f t="shared" si="557"/>
        <v>0.21319842626676044</v>
      </c>
      <c r="T750" s="231">
        <f>IF(OR(Q750="Y",IFERROR(R750&gt;R1064+R1194*$AA$35,0),IFERROR(R750&lt;R1064-R1194*$AA$35,0)),"",IFERROR(R750*N750,""))</f>
        <v>0</v>
      </c>
      <c r="U750" s="232" t="str">
        <f t="shared" si="558"/>
        <v>t CH4-CO2eq per kg of protein</v>
      </c>
      <c r="V750" s="28"/>
      <c r="W750" s="28"/>
      <c r="Y750" s="91"/>
      <c r="AO750" s="91"/>
      <c r="AP750" s="28"/>
      <c r="AQ750" s="28"/>
      <c r="AR750" s="237"/>
      <c r="AS750" s="28"/>
      <c r="AT750" s="304" t="str">
        <f t="shared" si="580"/>
        <v/>
      </c>
      <c r="AU750" s="304" t="str">
        <f t="shared" si="580"/>
        <v/>
      </c>
      <c r="AV750" s="28"/>
      <c r="AW750" s="304" t="str">
        <f t="shared" si="571"/>
        <v/>
      </c>
      <c r="AX750" s="304" t="str">
        <f t="shared" si="571"/>
        <v/>
      </c>
      <c r="AY750" s="28"/>
      <c r="AZ750" s="304" t="str">
        <f t="shared" si="572"/>
        <v/>
      </c>
      <c r="BA750" s="304" t="str">
        <f t="shared" si="572"/>
        <v/>
      </c>
      <c r="BB750" s="28"/>
      <c r="BC750" s="304" t="str">
        <f t="shared" si="573"/>
        <v/>
      </c>
      <c r="BD750" s="304" t="str">
        <f t="shared" si="573"/>
        <v/>
      </c>
      <c r="BE750" s="28"/>
      <c r="BF750" s="304">
        <f t="shared" si="574"/>
        <v>0.21319842626676044</v>
      </c>
      <c r="BG750" s="304">
        <f t="shared" si="574"/>
        <v>0.21319842626676044</v>
      </c>
      <c r="BH750" s="28"/>
      <c r="BI750" s="304" t="str">
        <f t="shared" si="575"/>
        <v/>
      </c>
      <c r="BJ750" s="304" t="str">
        <f t="shared" si="575"/>
        <v/>
      </c>
      <c r="BK750" s="28"/>
      <c r="BL750" s="304" t="str">
        <f t="shared" si="576"/>
        <v/>
      </c>
      <c r="BM750" s="304" t="str">
        <f t="shared" si="576"/>
        <v/>
      </c>
      <c r="BN750" s="28"/>
      <c r="BO750" s="304" t="str">
        <f t="shared" si="577"/>
        <v/>
      </c>
      <c r="BP750" s="304" t="str">
        <f t="shared" si="577"/>
        <v/>
      </c>
      <c r="BQ750" s="28"/>
      <c r="BR750" s="304" t="str">
        <f t="shared" si="578"/>
        <v/>
      </c>
      <c r="BS750" s="304" t="str">
        <f t="shared" si="578"/>
        <v/>
      </c>
      <c r="BT750" s="28"/>
      <c r="BU750" s="304" t="str">
        <f t="shared" si="579"/>
        <v/>
      </c>
      <c r="BV750" s="304" t="str">
        <f t="shared" si="579"/>
        <v/>
      </c>
      <c r="BW750" s="28"/>
      <c r="BX750" s="91"/>
    </row>
    <row r="751" spans="1:76" s="55" customFormat="1" x14ac:dyDescent="0.25">
      <c r="A751" s="195">
        <v>55</v>
      </c>
      <c r="B751" s="216" t="str">
        <f t="shared" si="556"/>
        <v>OECD90: FAO. 2017. Global Livestock Environmental Assessment Model (GLEAM)</v>
      </c>
      <c r="C751" s="219" t="s">
        <v>227</v>
      </c>
      <c r="D751" s="219" t="s">
        <v>415</v>
      </c>
      <c r="E751" s="219" t="s">
        <v>96</v>
      </c>
      <c r="F751" s="373" t="s">
        <v>176</v>
      </c>
      <c r="G751" s="220" t="s">
        <v>26</v>
      </c>
      <c r="H751" s="221">
        <v>2010</v>
      </c>
      <c r="I751" s="372"/>
      <c r="J751" s="370">
        <v>275955514147.82275</v>
      </c>
      <c r="K751" s="367" t="s">
        <v>372</v>
      </c>
      <c r="L751" s="337">
        <f>J751/[1]GHGsources!F24*0.001</f>
        <v>0.23556684665686942</v>
      </c>
      <c r="M751" s="335" t="str">
        <f>'[1]Advanced Controls'!$I$158</f>
        <v>t CH4-CO2eq per kg of protein</v>
      </c>
      <c r="N751" s="238"/>
      <c r="O751" s="227" t="s">
        <v>405</v>
      </c>
      <c r="P751" s="122"/>
      <c r="Q751" s="228"/>
      <c r="R751" s="231">
        <f t="shared" si="568"/>
        <v>0.23556684665686942</v>
      </c>
      <c r="S751" s="230">
        <f t="shared" si="557"/>
        <v>0.23556684665686942</v>
      </c>
      <c r="T751" s="231">
        <f t="shared" ref="T751:T784" si="582">IF(OR(Q751="Y",IFERROR(R751&gt;R1191+R1195*$AA$35,0),IFERROR(R751&lt;R1191-R1195*$AA$35,0)),"",IFERROR(R751*N751,""))</f>
        <v>0</v>
      </c>
      <c r="U751" s="232" t="str">
        <f t="shared" si="558"/>
        <v>t CH4-CO2eq per kg of protein</v>
      </c>
      <c r="V751" s="28"/>
      <c r="W751" s="28"/>
      <c r="Y751" s="91"/>
      <c r="AO751" s="91"/>
      <c r="AP751" s="28"/>
      <c r="AQ751" s="28"/>
      <c r="AR751" s="237"/>
      <c r="AS751" s="28"/>
      <c r="AT751" s="304" t="str">
        <f t="shared" si="580"/>
        <v/>
      </c>
      <c r="AU751" s="304" t="str">
        <f t="shared" si="580"/>
        <v/>
      </c>
      <c r="AV751" s="28"/>
      <c r="AW751" s="304">
        <f t="shared" si="571"/>
        <v>0.23556684665686942</v>
      </c>
      <c r="AX751" s="304">
        <f t="shared" si="571"/>
        <v>0.23556684665686942</v>
      </c>
      <c r="AY751" s="28"/>
      <c r="AZ751" s="304" t="str">
        <f t="shared" si="572"/>
        <v/>
      </c>
      <c r="BA751" s="304" t="str">
        <f t="shared" si="572"/>
        <v/>
      </c>
      <c r="BB751" s="28"/>
      <c r="BC751" s="304" t="str">
        <f t="shared" si="573"/>
        <v/>
      </c>
      <c r="BD751" s="304" t="str">
        <f t="shared" si="573"/>
        <v/>
      </c>
      <c r="BE751" s="28"/>
      <c r="BF751" s="304" t="str">
        <f t="shared" si="574"/>
        <v/>
      </c>
      <c r="BG751" s="304" t="str">
        <f t="shared" si="574"/>
        <v/>
      </c>
      <c r="BH751" s="28"/>
      <c r="BI751" s="304" t="str">
        <f t="shared" si="575"/>
        <v/>
      </c>
      <c r="BJ751" s="304" t="str">
        <f t="shared" si="575"/>
        <v/>
      </c>
      <c r="BK751" s="28"/>
      <c r="BL751" s="304" t="str">
        <f t="shared" si="576"/>
        <v/>
      </c>
      <c r="BM751" s="304" t="str">
        <f t="shared" si="576"/>
        <v/>
      </c>
      <c r="BN751" s="28"/>
      <c r="BO751" s="304" t="str">
        <f t="shared" si="577"/>
        <v/>
      </c>
      <c r="BP751" s="304" t="str">
        <f t="shared" si="577"/>
        <v/>
      </c>
      <c r="BQ751" s="28"/>
      <c r="BR751" s="304" t="str">
        <f t="shared" si="578"/>
        <v/>
      </c>
      <c r="BS751" s="304" t="str">
        <f t="shared" si="578"/>
        <v/>
      </c>
      <c r="BT751" s="28"/>
      <c r="BU751" s="304" t="str">
        <f t="shared" si="579"/>
        <v/>
      </c>
      <c r="BV751" s="304" t="str">
        <f t="shared" si="579"/>
        <v/>
      </c>
      <c r="BW751" s="28"/>
      <c r="BX751" s="91"/>
    </row>
    <row r="752" spans="1:76" s="55" customFormat="1" x14ac:dyDescent="0.25">
      <c r="A752" s="195">
        <v>56</v>
      </c>
      <c r="B752" s="216" t="str">
        <f t="shared" si="556"/>
        <v>World: FAO. 2017. Global Livestock Environmental Assessment Model (GLEAM)</v>
      </c>
      <c r="C752" s="219" t="s">
        <v>227</v>
      </c>
      <c r="D752" s="219" t="s">
        <v>416</v>
      </c>
      <c r="E752" s="219" t="s">
        <v>95</v>
      </c>
      <c r="F752" s="371" t="s">
        <v>371</v>
      </c>
      <c r="G752" s="220" t="s">
        <v>26</v>
      </c>
      <c r="H752" s="221">
        <v>2010</v>
      </c>
      <c r="I752" s="372"/>
      <c r="J752" s="370">
        <v>440934702438.89771</v>
      </c>
      <c r="K752" s="367" t="s">
        <v>372</v>
      </c>
      <c r="L752" s="337">
        <f>J752/[1]GHGsources!G14*0.001</f>
        <v>0.29032470770780699</v>
      </c>
      <c r="M752" s="335" t="str">
        <f>'[1]Advanced Controls'!$I$158</f>
        <v>t CH4-CO2eq per kg of protein</v>
      </c>
      <c r="N752" s="238"/>
      <c r="O752" s="227" t="s">
        <v>417</v>
      </c>
      <c r="P752" s="122"/>
      <c r="Q752" s="228"/>
      <c r="R752" s="231">
        <f t="shared" si="568"/>
        <v>0.29032470770780699</v>
      </c>
      <c r="S752" s="230">
        <f t="shared" si="557"/>
        <v>0.29032470770780699</v>
      </c>
      <c r="T752" s="231">
        <f t="shared" si="582"/>
        <v>0</v>
      </c>
      <c r="U752" s="232" t="str">
        <f t="shared" si="558"/>
        <v>t CH4-CO2eq per kg of protein</v>
      </c>
      <c r="V752" s="28"/>
      <c r="W752" s="28"/>
      <c r="Y752" s="91"/>
      <c r="AO752" s="91"/>
      <c r="AP752" s="28"/>
      <c r="AQ752" s="28"/>
      <c r="AR752" s="237"/>
      <c r="AS752" s="28"/>
      <c r="AT752" s="304">
        <f t="shared" si="580"/>
        <v>0.29032470770780699</v>
      </c>
      <c r="AU752" s="304">
        <f t="shared" si="580"/>
        <v>0.29032470770780699</v>
      </c>
      <c r="AV752" s="28"/>
      <c r="AW752" s="304" t="str">
        <f t="shared" si="571"/>
        <v/>
      </c>
      <c r="AX752" s="304" t="str">
        <f t="shared" si="571"/>
        <v/>
      </c>
      <c r="AY752" s="28"/>
      <c r="AZ752" s="304" t="str">
        <f t="shared" si="572"/>
        <v/>
      </c>
      <c r="BA752" s="304" t="str">
        <f t="shared" si="572"/>
        <v/>
      </c>
      <c r="BB752" s="28"/>
      <c r="BC752" s="304" t="str">
        <f t="shared" si="573"/>
        <v/>
      </c>
      <c r="BD752" s="304" t="str">
        <f t="shared" si="573"/>
        <v/>
      </c>
      <c r="BE752" s="28"/>
      <c r="BF752" s="304" t="str">
        <f t="shared" si="574"/>
        <v/>
      </c>
      <c r="BG752" s="304" t="str">
        <f t="shared" si="574"/>
        <v/>
      </c>
      <c r="BH752" s="28"/>
      <c r="BI752" s="304" t="str">
        <f t="shared" si="575"/>
        <v/>
      </c>
      <c r="BJ752" s="304" t="str">
        <f t="shared" si="575"/>
        <v/>
      </c>
      <c r="BK752" s="28"/>
      <c r="BL752" s="304" t="str">
        <f t="shared" si="576"/>
        <v/>
      </c>
      <c r="BM752" s="304" t="str">
        <f t="shared" si="576"/>
        <v/>
      </c>
      <c r="BN752" s="28"/>
      <c r="BO752" s="304" t="str">
        <f t="shared" si="577"/>
        <v/>
      </c>
      <c r="BP752" s="304" t="str">
        <f t="shared" si="577"/>
        <v/>
      </c>
      <c r="BQ752" s="28"/>
      <c r="BR752" s="304" t="str">
        <f t="shared" si="578"/>
        <v/>
      </c>
      <c r="BS752" s="304" t="str">
        <f t="shared" si="578"/>
        <v/>
      </c>
      <c r="BT752" s="28"/>
      <c r="BU752" s="304" t="str">
        <f t="shared" si="579"/>
        <v/>
      </c>
      <c r="BV752" s="304" t="str">
        <f t="shared" si="579"/>
        <v/>
      </c>
      <c r="BW752" s="28"/>
      <c r="BX752" s="91"/>
    </row>
    <row r="753" spans="1:76" s="55" customFormat="1" x14ac:dyDescent="0.25">
      <c r="A753" s="195">
        <v>57</v>
      </c>
      <c r="B753" s="216" t="str">
        <f t="shared" si="556"/>
        <v>Asia (Sans Japan): FAO. 2017. Global Livestock Environmental Assessment Model (GLEAM)</v>
      </c>
      <c r="C753" s="219" t="s">
        <v>227</v>
      </c>
      <c r="D753" s="219" t="s">
        <v>418</v>
      </c>
      <c r="E753" s="219" t="s">
        <v>98</v>
      </c>
      <c r="F753" s="373" t="s">
        <v>375</v>
      </c>
      <c r="G753" s="220" t="s">
        <v>26</v>
      </c>
      <c r="H753" s="221">
        <v>2010</v>
      </c>
      <c r="I753" s="372"/>
      <c r="J753" s="370">
        <v>14226958486.594559</v>
      </c>
      <c r="K753" s="367" t="s">
        <v>372</v>
      </c>
      <c r="L753" s="337">
        <f>J753/[1]GHGsources!G15*0.001</f>
        <v>5.8104386011950587E-2</v>
      </c>
      <c r="M753" s="335" t="str">
        <f>'[1]Advanced Controls'!$I$158</f>
        <v>t CH4-CO2eq per kg of protein</v>
      </c>
      <c r="N753" s="238"/>
      <c r="O753" s="227" t="s">
        <v>417</v>
      </c>
      <c r="P753" s="122"/>
      <c r="Q753" s="228"/>
      <c r="R753" s="231">
        <f t="shared" si="568"/>
        <v>5.8104386011950587E-2</v>
      </c>
      <c r="S753" s="230">
        <f t="shared" si="557"/>
        <v>5.8104386011950587E-2</v>
      </c>
      <c r="T753" s="231">
        <f t="shared" si="582"/>
        <v>0</v>
      </c>
      <c r="U753" s="232" t="str">
        <f t="shared" si="558"/>
        <v>t CH4-CO2eq per kg of protein</v>
      </c>
      <c r="V753" s="28"/>
      <c r="W753" s="28"/>
      <c r="Y753" s="91"/>
      <c r="AO753" s="91"/>
      <c r="AP753" s="28"/>
      <c r="AQ753" s="28"/>
      <c r="AR753" s="237"/>
      <c r="AS753" s="28"/>
      <c r="AT753" s="304" t="str">
        <f t="shared" si="580"/>
        <v/>
      </c>
      <c r="AU753" s="304" t="str">
        <f t="shared" si="580"/>
        <v/>
      </c>
      <c r="AV753" s="28"/>
      <c r="AW753" s="304" t="str">
        <f t="shared" si="571"/>
        <v/>
      </c>
      <c r="AX753" s="304" t="str">
        <f t="shared" si="571"/>
        <v/>
      </c>
      <c r="AY753" s="28"/>
      <c r="AZ753" s="304" t="str">
        <f t="shared" si="572"/>
        <v/>
      </c>
      <c r="BA753" s="304" t="str">
        <f t="shared" si="572"/>
        <v/>
      </c>
      <c r="BB753" s="28"/>
      <c r="BC753" s="304">
        <f t="shared" si="573"/>
        <v>5.8104386011950587E-2</v>
      </c>
      <c r="BD753" s="304">
        <f t="shared" si="573"/>
        <v>5.8104386011950587E-2</v>
      </c>
      <c r="BE753" s="28"/>
      <c r="BF753" s="304" t="str">
        <f t="shared" si="574"/>
        <v/>
      </c>
      <c r="BG753" s="304" t="str">
        <f t="shared" si="574"/>
        <v/>
      </c>
      <c r="BH753" s="28"/>
      <c r="BI753" s="304" t="str">
        <f t="shared" si="575"/>
        <v/>
      </c>
      <c r="BJ753" s="304" t="str">
        <f t="shared" si="575"/>
        <v/>
      </c>
      <c r="BK753" s="28"/>
      <c r="BL753" s="304" t="str">
        <f t="shared" si="576"/>
        <v/>
      </c>
      <c r="BM753" s="304" t="str">
        <f t="shared" si="576"/>
        <v/>
      </c>
      <c r="BN753" s="28"/>
      <c r="BO753" s="304" t="str">
        <f t="shared" si="577"/>
        <v/>
      </c>
      <c r="BP753" s="304" t="str">
        <f t="shared" si="577"/>
        <v/>
      </c>
      <c r="BQ753" s="28"/>
      <c r="BR753" s="304" t="str">
        <f t="shared" si="578"/>
        <v/>
      </c>
      <c r="BS753" s="304" t="str">
        <f t="shared" si="578"/>
        <v/>
      </c>
      <c r="BT753" s="28"/>
      <c r="BU753" s="304" t="str">
        <f t="shared" si="579"/>
        <v/>
      </c>
      <c r="BV753" s="304" t="str">
        <f t="shared" si="579"/>
        <v/>
      </c>
      <c r="BW753" s="28"/>
      <c r="BX753" s="91"/>
    </row>
    <row r="754" spans="1:76" s="55" customFormat="1" x14ac:dyDescent="0.25">
      <c r="A754" s="195">
        <v>58</v>
      </c>
      <c r="B754" s="216" t="str">
        <f t="shared" si="556"/>
        <v>Eastern Europe: FAO. 2017. Global Livestock Environmental Assessment Model (GLEAM)</v>
      </c>
      <c r="C754" s="219" t="s">
        <v>227</v>
      </c>
      <c r="D754" s="219" t="s">
        <v>419</v>
      </c>
      <c r="E754" s="219" t="s">
        <v>97</v>
      </c>
      <c r="F754" s="373" t="s">
        <v>97</v>
      </c>
      <c r="G754" s="220" t="s">
        <v>26</v>
      </c>
      <c r="H754" s="221">
        <v>2010</v>
      </c>
      <c r="I754" s="372"/>
      <c r="J754" s="370"/>
      <c r="K754" s="367" t="s">
        <v>372</v>
      </c>
      <c r="L754" s="337"/>
      <c r="M754" s="335" t="str">
        <f>'[1]Advanced Controls'!$I$158</f>
        <v>t CH4-CO2eq per kg of protein</v>
      </c>
      <c r="N754" s="238"/>
      <c r="O754" s="227" t="s">
        <v>417</v>
      </c>
      <c r="P754" s="122"/>
      <c r="Q754" s="228"/>
      <c r="R754" s="231" t="str">
        <f t="shared" si="568"/>
        <v/>
      </c>
      <c r="S754" s="230" t="str">
        <f t="shared" si="557"/>
        <v/>
      </c>
      <c r="T754" s="231" t="str">
        <f t="shared" si="582"/>
        <v/>
      </c>
      <c r="U754" s="232" t="str">
        <f t="shared" si="558"/>
        <v>t CH4-CO2eq per kg of protein</v>
      </c>
      <c r="V754" s="28"/>
      <c r="W754" s="28"/>
      <c r="Y754" s="91"/>
      <c r="AO754" s="91"/>
      <c r="AP754" s="28"/>
      <c r="AQ754" s="28"/>
      <c r="AR754" s="237"/>
      <c r="AS754" s="28"/>
      <c r="AT754" s="304" t="str">
        <f t="shared" si="580"/>
        <v/>
      </c>
      <c r="AU754" s="304" t="str">
        <f t="shared" si="580"/>
        <v/>
      </c>
      <c r="AV754" s="28"/>
      <c r="AW754" s="304" t="str">
        <f t="shared" si="571"/>
        <v/>
      </c>
      <c r="AX754" s="304" t="str">
        <f t="shared" si="571"/>
        <v/>
      </c>
      <c r="AY754" s="28"/>
      <c r="AZ754" s="304" t="str">
        <f t="shared" si="572"/>
        <v/>
      </c>
      <c r="BA754" s="304" t="str">
        <f t="shared" si="572"/>
        <v/>
      </c>
      <c r="BB754" s="28"/>
      <c r="BC754" s="304" t="str">
        <f t="shared" si="573"/>
        <v/>
      </c>
      <c r="BD754" s="304" t="str">
        <f t="shared" si="573"/>
        <v/>
      </c>
      <c r="BE754" s="28"/>
      <c r="BF754" s="304" t="str">
        <f t="shared" si="574"/>
        <v/>
      </c>
      <c r="BG754" s="304" t="str">
        <f t="shared" si="574"/>
        <v/>
      </c>
      <c r="BH754" s="28"/>
      <c r="BI754" s="304" t="str">
        <f t="shared" si="575"/>
        <v/>
      </c>
      <c r="BJ754" s="304" t="str">
        <f t="shared" si="575"/>
        <v/>
      </c>
      <c r="BK754" s="28"/>
      <c r="BL754" s="304" t="str">
        <f t="shared" si="576"/>
        <v/>
      </c>
      <c r="BM754" s="304" t="str">
        <f t="shared" si="576"/>
        <v/>
      </c>
      <c r="BN754" s="28"/>
      <c r="BO754" s="304" t="str">
        <f t="shared" si="577"/>
        <v/>
      </c>
      <c r="BP754" s="304" t="str">
        <f t="shared" si="577"/>
        <v/>
      </c>
      <c r="BQ754" s="28"/>
      <c r="BR754" s="304" t="str">
        <f t="shared" si="578"/>
        <v/>
      </c>
      <c r="BS754" s="304" t="str">
        <f t="shared" si="578"/>
        <v/>
      </c>
      <c r="BT754" s="28"/>
      <c r="BU754" s="304" t="str">
        <f t="shared" si="579"/>
        <v/>
      </c>
      <c r="BV754" s="304" t="str">
        <f t="shared" si="579"/>
        <v/>
      </c>
      <c r="BW754" s="28"/>
      <c r="BX754" s="91"/>
    </row>
    <row r="755" spans="1:76" s="55" customFormat="1" x14ac:dyDescent="0.25">
      <c r="A755" s="195">
        <v>59</v>
      </c>
      <c r="B755" s="216" t="str">
        <f t="shared" si="556"/>
        <v>Latin America: FAO. 2017. Global Livestock Environmental Assessment Model (GLEAM)</v>
      </c>
      <c r="C755" s="219" t="s">
        <v>227</v>
      </c>
      <c r="D755" s="219" t="s">
        <v>420</v>
      </c>
      <c r="E755" s="219" t="s">
        <v>100</v>
      </c>
      <c r="F755" s="373" t="s">
        <v>378</v>
      </c>
      <c r="G755" s="220" t="s">
        <v>26</v>
      </c>
      <c r="H755" s="221">
        <v>2010</v>
      </c>
      <c r="I755" s="372"/>
      <c r="J755" s="370">
        <v>12463700186.456337</v>
      </c>
      <c r="K755" s="367" t="s">
        <v>372</v>
      </c>
      <c r="L755" s="337">
        <f>J755/[1]GHGsources!G17*0.001</f>
        <v>7.8525007607766137E-2</v>
      </c>
      <c r="M755" s="335" t="str">
        <f>'[1]Advanced Controls'!$I$158</f>
        <v>t CH4-CO2eq per kg of protein</v>
      </c>
      <c r="N755" s="238"/>
      <c r="O755" s="227" t="s">
        <v>417</v>
      </c>
      <c r="P755" s="122"/>
      <c r="Q755" s="228"/>
      <c r="R755" s="231">
        <f t="shared" si="568"/>
        <v>7.8525007607766137E-2</v>
      </c>
      <c r="S755" s="230">
        <f t="shared" si="557"/>
        <v>7.8525007607766137E-2</v>
      </c>
      <c r="T755" s="231">
        <f t="shared" si="582"/>
        <v>0</v>
      </c>
      <c r="U755" s="232" t="str">
        <f t="shared" si="558"/>
        <v>t CH4-CO2eq per kg of protein</v>
      </c>
      <c r="V755" s="28"/>
      <c r="W755" s="28"/>
      <c r="Y755" s="91"/>
      <c r="AO755" s="91"/>
      <c r="AP755" s="28"/>
      <c r="AQ755" s="28"/>
      <c r="AR755" s="237"/>
      <c r="AS755" s="28"/>
      <c r="AT755" s="304" t="str">
        <f t="shared" si="580"/>
        <v/>
      </c>
      <c r="AU755" s="304" t="str">
        <f t="shared" si="580"/>
        <v/>
      </c>
      <c r="AV755" s="28"/>
      <c r="AW755" s="304" t="str">
        <f t="shared" si="571"/>
        <v/>
      </c>
      <c r="AX755" s="304" t="str">
        <f t="shared" si="571"/>
        <v/>
      </c>
      <c r="AY755" s="28"/>
      <c r="AZ755" s="304" t="str">
        <f t="shared" si="572"/>
        <v/>
      </c>
      <c r="BA755" s="304" t="str">
        <f t="shared" si="572"/>
        <v/>
      </c>
      <c r="BB755" s="28"/>
      <c r="BC755" s="304" t="str">
        <f t="shared" si="573"/>
        <v/>
      </c>
      <c r="BD755" s="304" t="str">
        <f t="shared" si="573"/>
        <v/>
      </c>
      <c r="BE755" s="28"/>
      <c r="BF755" s="304" t="str">
        <f t="shared" si="574"/>
        <v/>
      </c>
      <c r="BG755" s="304" t="str">
        <f t="shared" si="574"/>
        <v/>
      </c>
      <c r="BH755" s="28"/>
      <c r="BI755" s="304">
        <f t="shared" si="575"/>
        <v>7.8525007607766137E-2</v>
      </c>
      <c r="BJ755" s="304">
        <f t="shared" si="575"/>
        <v>7.8525007607766137E-2</v>
      </c>
      <c r="BK755" s="28"/>
      <c r="BL755" s="304" t="str">
        <f t="shared" si="576"/>
        <v/>
      </c>
      <c r="BM755" s="304" t="str">
        <f t="shared" si="576"/>
        <v/>
      </c>
      <c r="BN755" s="28"/>
      <c r="BO755" s="304" t="str">
        <f t="shared" si="577"/>
        <v/>
      </c>
      <c r="BP755" s="304" t="str">
        <f t="shared" si="577"/>
        <v/>
      </c>
      <c r="BQ755" s="28"/>
      <c r="BR755" s="304" t="str">
        <f t="shared" si="578"/>
        <v/>
      </c>
      <c r="BS755" s="304" t="str">
        <f t="shared" si="578"/>
        <v/>
      </c>
      <c r="BT755" s="28"/>
      <c r="BU755" s="304" t="str">
        <f t="shared" si="579"/>
        <v/>
      </c>
      <c r="BV755" s="304" t="str">
        <f t="shared" si="579"/>
        <v/>
      </c>
      <c r="BW755" s="28"/>
      <c r="BX755" s="91"/>
    </row>
    <row r="756" spans="1:76" s="55" customFormat="1" x14ac:dyDescent="0.25">
      <c r="A756" s="195">
        <v>60</v>
      </c>
      <c r="B756" s="216" t="str">
        <f t="shared" si="556"/>
        <v>Middle East and Africa: FAO. 2017. Global Livestock Environmental Assessment Model (GLEAM)</v>
      </c>
      <c r="C756" s="219" t="s">
        <v>227</v>
      </c>
      <c r="D756" s="219" t="s">
        <v>421</v>
      </c>
      <c r="E756" s="219" t="s">
        <v>99</v>
      </c>
      <c r="F756" s="373" t="s">
        <v>380</v>
      </c>
      <c r="G756" s="220" t="s">
        <v>26</v>
      </c>
      <c r="H756" s="221">
        <v>2010</v>
      </c>
      <c r="I756" s="372"/>
      <c r="J756" s="370"/>
      <c r="K756" s="367" t="s">
        <v>372</v>
      </c>
      <c r="L756" s="337"/>
      <c r="M756" s="335" t="str">
        <f>'[1]Advanced Controls'!$I$158</f>
        <v>t CH4-CO2eq per kg of protein</v>
      </c>
      <c r="N756" s="238"/>
      <c r="O756" s="227" t="s">
        <v>417</v>
      </c>
      <c r="P756" s="122"/>
      <c r="Q756" s="228"/>
      <c r="R756" s="231" t="str">
        <f t="shared" si="568"/>
        <v/>
      </c>
      <c r="S756" s="230" t="str">
        <f t="shared" si="557"/>
        <v/>
      </c>
      <c r="T756" s="231" t="str">
        <f t="shared" si="582"/>
        <v/>
      </c>
      <c r="U756" s="232" t="str">
        <f t="shared" si="558"/>
        <v>t CH4-CO2eq per kg of protein</v>
      </c>
      <c r="V756" s="28"/>
      <c r="W756" s="28"/>
      <c r="Y756" s="91"/>
      <c r="AO756" s="91"/>
      <c r="AP756" s="28"/>
      <c r="AQ756" s="28"/>
      <c r="AR756" s="237"/>
      <c r="AS756" s="28"/>
      <c r="AT756" s="304" t="str">
        <f t="shared" si="580"/>
        <v/>
      </c>
      <c r="AU756" s="304" t="str">
        <f t="shared" si="580"/>
        <v/>
      </c>
      <c r="AV756" s="28"/>
      <c r="AW756" s="304" t="str">
        <f t="shared" si="571"/>
        <v/>
      </c>
      <c r="AX756" s="304" t="str">
        <f t="shared" si="571"/>
        <v/>
      </c>
      <c r="AY756" s="28"/>
      <c r="AZ756" s="304" t="str">
        <f t="shared" si="572"/>
        <v/>
      </c>
      <c r="BA756" s="304" t="str">
        <f t="shared" si="572"/>
        <v/>
      </c>
      <c r="BB756" s="28"/>
      <c r="BC756" s="304" t="str">
        <f t="shared" si="573"/>
        <v/>
      </c>
      <c r="BD756" s="304" t="str">
        <f t="shared" si="573"/>
        <v/>
      </c>
      <c r="BE756" s="28"/>
      <c r="BF756" s="304" t="str">
        <f t="shared" si="574"/>
        <v/>
      </c>
      <c r="BG756" s="304" t="str">
        <f t="shared" si="574"/>
        <v/>
      </c>
      <c r="BH756" s="28"/>
      <c r="BI756" s="304" t="str">
        <f t="shared" si="575"/>
        <v/>
      </c>
      <c r="BJ756" s="304" t="str">
        <f t="shared" si="575"/>
        <v/>
      </c>
      <c r="BK756" s="28"/>
      <c r="BL756" s="304" t="str">
        <f t="shared" si="576"/>
        <v/>
      </c>
      <c r="BM756" s="304" t="str">
        <f t="shared" si="576"/>
        <v/>
      </c>
      <c r="BN756" s="28"/>
      <c r="BO756" s="304" t="str">
        <f t="shared" si="577"/>
        <v/>
      </c>
      <c r="BP756" s="304" t="str">
        <f t="shared" si="577"/>
        <v/>
      </c>
      <c r="BQ756" s="28"/>
      <c r="BR756" s="304" t="str">
        <f t="shared" si="578"/>
        <v/>
      </c>
      <c r="BS756" s="304" t="str">
        <f t="shared" si="578"/>
        <v/>
      </c>
      <c r="BT756" s="28"/>
      <c r="BU756" s="304" t="str">
        <f t="shared" si="579"/>
        <v/>
      </c>
      <c r="BV756" s="304" t="str">
        <f t="shared" si="579"/>
        <v/>
      </c>
      <c r="BW756" s="28"/>
      <c r="BX756" s="91"/>
    </row>
    <row r="757" spans="1:76" s="55" customFormat="1" x14ac:dyDescent="0.25">
      <c r="A757" s="195">
        <v>61</v>
      </c>
      <c r="B757" s="216" t="str">
        <f t="shared" si="556"/>
        <v>OECD90: FAO. 2017. Global Livestock Environmental Assessment Model (GLEAM)</v>
      </c>
      <c r="C757" s="219" t="s">
        <v>227</v>
      </c>
      <c r="D757" s="219" t="s">
        <v>422</v>
      </c>
      <c r="E757" s="219" t="s">
        <v>96</v>
      </c>
      <c r="F757" s="373" t="s">
        <v>179</v>
      </c>
      <c r="G757" s="220" t="s">
        <v>26</v>
      </c>
      <c r="H757" s="221">
        <v>2010</v>
      </c>
      <c r="I757" s="372"/>
      <c r="J757" s="370">
        <v>42798084092.451225</v>
      </c>
      <c r="K757" s="367" t="s">
        <v>372</v>
      </c>
      <c r="L757" s="337">
        <f>J757/[1]GHGsources!G19*0.001</f>
        <v>4.058954283709517E-2</v>
      </c>
      <c r="M757" s="335" t="str">
        <f>'[1]Advanced Controls'!$I$158</f>
        <v>t CH4-CO2eq per kg of protein</v>
      </c>
      <c r="N757" s="238"/>
      <c r="O757" s="227" t="s">
        <v>417</v>
      </c>
      <c r="P757" s="122"/>
      <c r="Q757" s="228"/>
      <c r="R757" s="231">
        <f t="shared" si="568"/>
        <v>4.058954283709517E-2</v>
      </c>
      <c r="S757" s="230">
        <f t="shared" si="557"/>
        <v>4.058954283709517E-2</v>
      </c>
      <c r="T757" s="231">
        <f t="shared" si="582"/>
        <v>0</v>
      </c>
      <c r="U757" s="232" t="str">
        <f t="shared" si="558"/>
        <v>t CH4-CO2eq per kg of protein</v>
      </c>
      <c r="V757" s="28"/>
      <c r="W757" s="28"/>
      <c r="Y757" s="91"/>
      <c r="AO757" s="91"/>
      <c r="AP757" s="28"/>
      <c r="AQ757" s="28"/>
      <c r="AR757" s="237"/>
      <c r="AS757" s="28"/>
      <c r="AT757" s="304" t="str">
        <f t="shared" si="580"/>
        <v/>
      </c>
      <c r="AU757" s="304" t="str">
        <f t="shared" si="580"/>
        <v/>
      </c>
      <c r="AV757" s="28"/>
      <c r="AW757" s="304">
        <f t="shared" si="571"/>
        <v>4.058954283709517E-2</v>
      </c>
      <c r="AX757" s="304">
        <f t="shared" si="571"/>
        <v>4.058954283709517E-2</v>
      </c>
      <c r="AY757" s="28"/>
      <c r="AZ757" s="304" t="str">
        <f t="shared" si="572"/>
        <v/>
      </c>
      <c r="BA757" s="304" t="str">
        <f t="shared" si="572"/>
        <v/>
      </c>
      <c r="BB757" s="28"/>
      <c r="BC757" s="304" t="str">
        <f t="shared" si="573"/>
        <v/>
      </c>
      <c r="BD757" s="304" t="str">
        <f t="shared" si="573"/>
        <v/>
      </c>
      <c r="BE757" s="28"/>
      <c r="BF757" s="304" t="str">
        <f t="shared" si="574"/>
        <v/>
      </c>
      <c r="BG757" s="304" t="str">
        <f t="shared" si="574"/>
        <v/>
      </c>
      <c r="BH757" s="28"/>
      <c r="BI757" s="304" t="str">
        <f t="shared" si="575"/>
        <v/>
      </c>
      <c r="BJ757" s="304" t="str">
        <f t="shared" si="575"/>
        <v/>
      </c>
      <c r="BK757" s="28"/>
      <c r="BL757" s="304" t="str">
        <f t="shared" si="576"/>
        <v/>
      </c>
      <c r="BM757" s="304" t="str">
        <f t="shared" si="576"/>
        <v/>
      </c>
      <c r="BN757" s="28"/>
      <c r="BO757" s="304" t="str">
        <f t="shared" si="577"/>
        <v/>
      </c>
      <c r="BP757" s="304" t="str">
        <f t="shared" si="577"/>
        <v/>
      </c>
      <c r="BQ757" s="28"/>
      <c r="BR757" s="304" t="str">
        <f t="shared" si="578"/>
        <v/>
      </c>
      <c r="BS757" s="304" t="str">
        <f t="shared" si="578"/>
        <v/>
      </c>
      <c r="BT757" s="28"/>
      <c r="BU757" s="304" t="str">
        <f t="shared" si="579"/>
        <v/>
      </c>
      <c r="BV757" s="304" t="str">
        <f t="shared" si="579"/>
        <v/>
      </c>
      <c r="BW757" s="28"/>
      <c r="BX757" s="91"/>
    </row>
    <row r="758" spans="1:76" s="55" customFormat="1" x14ac:dyDescent="0.25">
      <c r="A758" s="195">
        <v>62</v>
      </c>
      <c r="B758" s="216" t="str">
        <f t="shared" si="556"/>
        <v>OECD90: FAO. 2017. Global Livestock Environmental Assessment Model (GLEAM)</v>
      </c>
      <c r="C758" s="219" t="s">
        <v>227</v>
      </c>
      <c r="D758" s="219" t="s">
        <v>423</v>
      </c>
      <c r="E758" s="219" t="s">
        <v>96</v>
      </c>
      <c r="F758" s="373" t="s">
        <v>185</v>
      </c>
      <c r="G758" s="220" t="s">
        <v>26</v>
      </c>
      <c r="H758" s="221">
        <v>2010</v>
      </c>
      <c r="I758" s="374"/>
      <c r="J758" s="370">
        <v>2338765597.6271391</v>
      </c>
      <c r="K758" s="367" t="s">
        <v>372</v>
      </c>
      <c r="L758" s="337">
        <f>J758/[1]GHGsources!G20*0.001</f>
        <v>5.9636477994636027E-2</v>
      </c>
      <c r="M758" s="335" t="str">
        <f>'[1]Advanced Controls'!$I$158</f>
        <v>t CH4-CO2eq per kg of protein</v>
      </c>
      <c r="N758" s="238"/>
      <c r="O758" s="227" t="s">
        <v>417</v>
      </c>
      <c r="P758" s="122"/>
      <c r="Q758" s="228"/>
      <c r="R758" s="231">
        <f t="shared" si="568"/>
        <v>5.9636477994636027E-2</v>
      </c>
      <c r="S758" s="230">
        <f t="shared" si="557"/>
        <v>5.9636477994636027E-2</v>
      </c>
      <c r="T758" s="231">
        <f t="shared" si="582"/>
        <v>0</v>
      </c>
      <c r="U758" s="232" t="str">
        <f t="shared" si="558"/>
        <v>t CH4-CO2eq per kg of protein</v>
      </c>
      <c r="V758" s="28"/>
      <c r="W758" s="28"/>
      <c r="Y758" s="91"/>
      <c r="AO758" s="91"/>
      <c r="AP758" s="28"/>
      <c r="AQ758" s="28"/>
      <c r="AR758" s="237"/>
      <c r="AS758" s="28"/>
      <c r="AT758" s="304" t="str">
        <f t="shared" si="580"/>
        <v/>
      </c>
      <c r="AU758" s="304" t="str">
        <f t="shared" si="580"/>
        <v/>
      </c>
      <c r="AV758" s="28"/>
      <c r="AW758" s="304">
        <f t="shared" si="571"/>
        <v>5.9636477994636027E-2</v>
      </c>
      <c r="AX758" s="304">
        <f t="shared" si="571"/>
        <v>5.9636477994636027E-2</v>
      </c>
      <c r="AY758" s="28"/>
      <c r="AZ758" s="304" t="str">
        <f t="shared" si="572"/>
        <v/>
      </c>
      <c r="BA758" s="304" t="str">
        <f t="shared" si="572"/>
        <v/>
      </c>
      <c r="BB758" s="28"/>
      <c r="BC758" s="304" t="str">
        <f t="shared" si="573"/>
        <v/>
      </c>
      <c r="BD758" s="304" t="str">
        <f t="shared" si="573"/>
        <v/>
      </c>
      <c r="BE758" s="28"/>
      <c r="BF758" s="304" t="str">
        <f t="shared" si="574"/>
        <v/>
      </c>
      <c r="BG758" s="304" t="str">
        <f t="shared" si="574"/>
        <v/>
      </c>
      <c r="BH758" s="28"/>
      <c r="BI758" s="304" t="str">
        <f t="shared" si="575"/>
        <v/>
      </c>
      <c r="BJ758" s="304" t="str">
        <f t="shared" si="575"/>
        <v/>
      </c>
      <c r="BK758" s="28"/>
      <c r="BL758" s="304" t="str">
        <f t="shared" si="576"/>
        <v/>
      </c>
      <c r="BM758" s="304" t="str">
        <f t="shared" si="576"/>
        <v/>
      </c>
      <c r="BN758" s="28"/>
      <c r="BO758" s="304" t="str">
        <f t="shared" si="577"/>
        <v/>
      </c>
      <c r="BP758" s="304" t="str">
        <f t="shared" si="577"/>
        <v/>
      </c>
      <c r="BQ758" s="28"/>
      <c r="BR758" s="304" t="str">
        <f t="shared" si="578"/>
        <v/>
      </c>
      <c r="BS758" s="304" t="str">
        <f t="shared" si="578"/>
        <v/>
      </c>
      <c r="BT758" s="28"/>
      <c r="BU758" s="304" t="str">
        <f t="shared" si="579"/>
        <v/>
      </c>
      <c r="BV758" s="304" t="str">
        <f t="shared" si="579"/>
        <v/>
      </c>
      <c r="BW758" s="28"/>
      <c r="BX758" s="91"/>
    </row>
    <row r="759" spans="1:76" s="55" customFormat="1" x14ac:dyDescent="0.25">
      <c r="A759" s="195">
        <v>63</v>
      </c>
      <c r="B759" s="216" t="str">
        <f t="shared" si="556"/>
        <v>Eastern Europe: FAO. 2017. Global Livestock Environmental Assessment Model (GLEAM)</v>
      </c>
      <c r="C759" s="219" t="s">
        <v>227</v>
      </c>
      <c r="D759" s="219" t="s">
        <v>424</v>
      </c>
      <c r="E759" s="219" t="s">
        <v>97</v>
      </c>
      <c r="F759" s="373" t="s">
        <v>384</v>
      </c>
      <c r="G759" s="220" t="s">
        <v>26</v>
      </c>
      <c r="H759" s="221">
        <v>2010</v>
      </c>
      <c r="I759" s="374"/>
      <c r="J759" s="370"/>
      <c r="K759" s="367" t="s">
        <v>372</v>
      </c>
      <c r="L759" s="337"/>
      <c r="M759" s="335" t="str">
        <f>'[1]Advanced Controls'!$I$158</f>
        <v>t CH4-CO2eq per kg of protein</v>
      </c>
      <c r="N759" s="238"/>
      <c r="O759" s="227" t="s">
        <v>417</v>
      </c>
      <c r="P759" s="122"/>
      <c r="Q759" s="228"/>
      <c r="R759" s="231" t="str">
        <f t="shared" si="568"/>
        <v/>
      </c>
      <c r="S759" s="230" t="str">
        <f t="shared" si="557"/>
        <v/>
      </c>
      <c r="T759" s="231" t="str">
        <f t="shared" si="582"/>
        <v/>
      </c>
      <c r="U759" s="232" t="str">
        <f t="shared" si="558"/>
        <v>t CH4-CO2eq per kg of protein</v>
      </c>
      <c r="V759" s="28"/>
      <c r="W759" s="28"/>
      <c r="Y759" s="91"/>
      <c r="AO759" s="91"/>
      <c r="AP759" s="28"/>
      <c r="AQ759" s="28"/>
      <c r="AR759" s="237"/>
      <c r="AS759" s="28"/>
      <c r="AT759" s="304" t="str">
        <f t="shared" si="580"/>
        <v/>
      </c>
      <c r="AU759" s="304" t="str">
        <f t="shared" si="580"/>
        <v/>
      </c>
      <c r="AV759" s="28"/>
      <c r="AW759" s="304" t="str">
        <f t="shared" si="571"/>
        <v/>
      </c>
      <c r="AX759" s="304" t="str">
        <f t="shared" si="571"/>
        <v/>
      </c>
      <c r="AY759" s="28"/>
      <c r="AZ759" s="304" t="str">
        <f t="shared" si="572"/>
        <v/>
      </c>
      <c r="BA759" s="304" t="str">
        <f t="shared" si="572"/>
        <v/>
      </c>
      <c r="BB759" s="28"/>
      <c r="BC759" s="304" t="str">
        <f t="shared" si="573"/>
        <v/>
      </c>
      <c r="BD759" s="304" t="str">
        <f t="shared" si="573"/>
        <v/>
      </c>
      <c r="BE759" s="28"/>
      <c r="BF759" s="304" t="str">
        <f t="shared" si="574"/>
        <v/>
      </c>
      <c r="BG759" s="304" t="str">
        <f t="shared" si="574"/>
        <v/>
      </c>
      <c r="BH759" s="28"/>
      <c r="BI759" s="304" t="str">
        <f t="shared" si="575"/>
        <v/>
      </c>
      <c r="BJ759" s="304" t="str">
        <f t="shared" si="575"/>
        <v/>
      </c>
      <c r="BK759" s="28"/>
      <c r="BL759" s="304" t="str">
        <f t="shared" si="576"/>
        <v/>
      </c>
      <c r="BM759" s="304" t="str">
        <f t="shared" si="576"/>
        <v/>
      </c>
      <c r="BN759" s="28"/>
      <c r="BO759" s="304" t="str">
        <f t="shared" si="577"/>
        <v/>
      </c>
      <c r="BP759" s="304" t="str">
        <f t="shared" si="577"/>
        <v/>
      </c>
      <c r="BQ759" s="28"/>
      <c r="BR759" s="304" t="str">
        <f t="shared" si="578"/>
        <v/>
      </c>
      <c r="BS759" s="304" t="str">
        <f t="shared" si="578"/>
        <v/>
      </c>
      <c r="BT759" s="28"/>
      <c r="BU759" s="304" t="str">
        <f t="shared" si="579"/>
        <v/>
      </c>
      <c r="BV759" s="304" t="str">
        <f t="shared" si="579"/>
        <v/>
      </c>
      <c r="BW759" s="28"/>
      <c r="BX759" s="91"/>
    </row>
    <row r="760" spans="1:76" s="55" customFormat="1" x14ac:dyDescent="0.25">
      <c r="A760" s="195">
        <v>64</v>
      </c>
      <c r="B760" s="216" t="str">
        <f t="shared" si="556"/>
        <v>Asia (Sans Japan): FAO. 2017. Global Livestock Environmental Assessment Model (GLEAM)</v>
      </c>
      <c r="C760" s="219" t="s">
        <v>227</v>
      </c>
      <c r="D760" s="219" t="s">
        <v>425</v>
      </c>
      <c r="E760" s="219" t="s">
        <v>98</v>
      </c>
      <c r="F760" s="373" t="s">
        <v>386</v>
      </c>
      <c r="G760" s="220" t="s">
        <v>26</v>
      </c>
      <c r="H760" s="221">
        <v>2010</v>
      </c>
      <c r="I760" s="374"/>
      <c r="J760" s="370"/>
      <c r="K760" s="367" t="s">
        <v>372</v>
      </c>
      <c r="L760" s="337"/>
      <c r="M760" s="335" t="str">
        <f>'[1]Advanced Controls'!$I$158</f>
        <v>t CH4-CO2eq per kg of protein</v>
      </c>
      <c r="N760" s="238"/>
      <c r="O760" s="227" t="s">
        <v>417</v>
      </c>
      <c r="P760" s="122"/>
      <c r="Q760" s="228"/>
      <c r="R760" s="231" t="str">
        <f t="shared" si="568"/>
        <v/>
      </c>
      <c r="S760" s="230" t="str">
        <f t="shared" si="557"/>
        <v/>
      </c>
      <c r="T760" s="231" t="str">
        <f t="shared" si="582"/>
        <v/>
      </c>
      <c r="U760" s="232" t="str">
        <f t="shared" si="558"/>
        <v>t CH4-CO2eq per kg of protein</v>
      </c>
      <c r="V760" s="28"/>
      <c r="W760" s="28"/>
      <c r="Y760" s="91"/>
      <c r="AO760" s="91"/>
      <c r="AP760" s="28"/>
      <c r="AQ760" s="28"/>
      <c r="AR760" s="237"/>
      <c r="AS760" s="28"/>
      <c r="AT760" s="304" t="str">
        <f t="shared" si="580"/>
        <v/>
      </c>
      <c r="AU760" s="304" t="str">
        <f t="shared" si="580"/>
        <v/>
      </c>
      <c r="AV760" s="28"/>
      <c r="AW760" s="304" t="str">
        <f t="shared" si="571"/>
        <v/>
      </c>
      <c r="AX760" s="304" t="str">
        <f t="shared" si="571"/>
        <v/>
      </c>
      <c r="AY760" s="28"/>
      <c r="AZ760" s="304" t="str">
        <f t="shared" si="572"/>
        <v/>
      </c>
      <c r="BA760" s="304" t="str">
        <f t="shared" si="572"/>
        <v/>
      </c>
      <c r="BB760" s="28"/>
      <c r="BC760" s="304" t="str">
        <f t="shared" si="573"/>
        <v/>
      </c>
      <c r="BD760" s="304" t="str">
        <f t="shared" si="573"/>
        <v/>
      </c>
      <c r="BE760" s="28"/>
      <c r="BF760" s="304" t="str">
        <f t="shared" si="574"/>
        <v/>
      </c>
      <c r="BG760" s="304" t="str">
        <f t="shared" si="574"/>
        <v/>
      </c>
      <c r="BH760" s="28"/>
      <c r="BI760" s="304" t="str">
        <f t="shared" si="575"/>
        <v/>
      </c>
      <c r="BJ760" s="304" t="str">
        <f t="shared" si="575"/>
        <v/>
      </c>
      <c r="BK760" s="28"/>
      <c r="BL760" s="304" t="str">
        <f t="shared" si="576"/>
        <v/>
      </c>
      <c r="BM760" s="304" t="str">
        <f t="shared" si="576"/>
        <v/>
      </c>
      <c r="BN760" s="28"/>
      <c r="BO760" s="304" t="str">
        <f t="shared" si="577"/>
        <v/>
      </c>
      <c r="BP760" s="304" t="str">
        <f t="shared" si="577"/>
        <v/>
      </c>
      <c r="BQ760" s="28"/>
      <c r="BR760" s="304" t="str">
        <f t="shared" si="578"/>
        <v/>
      </c>
      <c r="BS760" s="304" t="str">
        <f t="shared" si="578"/>
        <v/>
      </c>
      <c r="BT760" s="28"/>
      <c r="BU760" s="304" t="str">
        <f t="shared" si="579"/>
        <v/>
      </c>
      <c r="BV760" s="304" t="str">
        <f t="shared" si="579"/>
        <v/>
      </c>
      <c r="BW760" s="28"/>
      <c r="BX760" s="91"/>
    </row>
    <row r="761" spans="1:76" s="55" customFormat="1" x14ac:dyDescent="0.25">
      <c r="A761" s="195">
        <v>65</v>
      </c>
      <c r="B761" s="216" t="str">
        <f t="shared" ref="B761:B824" si="583">CONCATENATE(E761,": ",C761)</f>
        <v>Middle East and Africa: FAO. 2017. Global Livestock Environmental Assessment Model (GLEAM)</v>
      </c>
      <c r="C761" s="219" t="s">
        <v>227</v>
      </c>
      <c r="D761" s="219" t="s">
        <v>426</v>
      </c>
      <c r="E761" s="219" t="s">
        <v>99</v>
      </c>
      <c r="F761" s="373" t="s">
        <v>388</v>
      </c>
      <c r="G761" s="220" t="s">
        <v>26</v>
      </c>
      <c r="H761" s="221">
        <v>2010</v>
      </c>
      <c r="I761" s="374"/>
      <c r="J761" s="370">
        <v>1383871488.1519036</v>
      </c>
      <c r="K761" s="367" t="s">
        <v>372</v>
      </c>
      <c r="L761" s="337">
        <f>J761/[1]GHGsources!G23*0.001</f>
        <v>8.7661907489233776E-2</v>
      </c>
      <c r="M761" s="335" t="str">
        <f>'[1]Advanced Controls'!$I$158</f>
        <v>t CH4-CO2eq per kg of protein</v>
      </c>
      <c r="N761" s="238"/>
      <c r="O761" s="227" t="s">
        <v>417</v>
      </c>
      <c r="P761" s="122"/>
      <c r="Q761" s="228"/>
      <c r="R761" s="231">
        <f t="shared" si="568"/>
        <v>8.7661907489233776E-2</v>
      </c>
      <c r="S761" s="230">
        <f t="shared" ref="S761:S824" si="584">IF(R761="","",IF($R$910="Y",T761,IF(R761&gt;=$R$902-$AA$35*$R$906,IF(R761&lt;=$R$902+$AA$35*$R$906,R761,""),"")))</f>
        <v>8.7661907489233776E-2</v>
      </c>
      <c r="T761" s="231">
        <f t="shared" si="582"/>
        <v>0</v>
      </c>
      <c r="U761" s="232" t="str">
        <f t="shared" ref="U761:U824" si="585">IF(AND(M761="",K761=""),"",IF(M761="",K761,M761))</f>
        <v>t CH4-CO2eq per kg of protein</v>
      </c>
      <c r="V761" s="28"/>
      <c r="W761" s="28"/>
      <c r="Y761" s="91"/>
      <c r="AO761" s="91"/>
      <c r="AP761" s="28"/>
      <c r="AQ761" s="28"/>
      <c r="AR761" s="237"/>
      <c r="AS761" s="28"/>
      <c r="AT761" s="304" t="str">
        <f t="shared" si="580"/>
        <v/>
      </c>
      <c r="AU761" s="304" t="str">
        <f t="shared" si="580"/>
        <v/>
      </c>
      <c r="AV761" s="28"/>
      <c r="AW761" s="304" t="str">
        <f t="shared" si="571"/>
        <v/>
      </c>
      <c r="AX761" s="304" t="str">
        <f t="shared" si="571"/>
        <v/>
      </c>
      <c r="AY761" s="28"/>
      <c r="AZ761" s="304" t="str">
        <f t="shared" si="572"/>
        <v/>
      </c>
      <c r="BA761" s="304" t="str">
        <f t="shared" si="572"/>
        <v/>
      </c>
      <c r="BB761" s="28"/>
      <c r="BC761" s="304" t="str">
        <f t="shared" si="573"/>
        <v/>
      </c>
      <c r="BD761" s="304" t="str">
        <f t="shared" si="573"/>
        <v/>
      </c>
      <c r="BE761" s="28"/>
      <c r="BF761" s="304">
        <f t="shared" si="574"/>
        <v>8.7661907489233776E-2</v>
      </c>
      <c r="BG761" s="304">
        <f t="shared" si="574"/>
        <v>8.7661907489233776E-2</v>
      </c>
      <c r="BH761" s="28"/>
      <c r="BI761" s="304" t="str">
        <f t="shared" si="575"/>
        <v/>
      </c>
      <c r="BJ761" s="304" t="str">
        <f t="shared" si="575"/>
        <v/>
      </c>
      <c r="BK761" s="28"/>
      <c r="BL761" s="304" t="str">
        <f t="shared" si="576"/>
        <v/>
      </c>
      <c r="BM761" s="304" t="str">
        <f t="shared" si="576"/>
        <v/>
      </c>
      <c r="BN761" s="28"/>
      <c r="BO761" s="304" t="str">
        <f t="shared" si="577"/>
        <v/>
      </c>
      <c r="BP761" s="304" t="str">
        <f t="shared" si="577"/>
        <v/>
      </c>
      <c r="BQ761" s="28"/>
      <c r="BR761" s="304" t="str">
        <f t="shared" si="578"/>
        <v/>
      </c>
      <c r="BS761" s="304" t="str">
        <f t="shared" si="578"/>
        <v/>
      </c>
      <c r="BT761" s="28"/>
      <c r="BU761" s="304" t="str">
        <f t="shared" si="579"/>
        <v/>
      </c>
      <c r="BV761" s="304" t="str">
        <f t="shared" si="579"/>
        <v/>
      </c>
      <c r="BW761" s="28"/>
      <c r="BX761" s="91"/>
    </row>
    <row r="762" spans="1:76" s="55" customFormat="1" x14ac:dyDescent="0.25">
      <c r="A762" s="195">
        <v>66</v>
      </c>
      <c r="B762" s="216" t="str">
        <f t="shared" si="583"/>
        <v>OECD90: FAO. 2017. Global Livestock Environmental Assessment Model (GLEAM)</v>
      </c>
      <c r="C762" s="219" t="s">
        <v>227</v>
      </c>
      <c r="D762" s="219" t="s">
        <v>427</v>
      </c>
      <c r="E762" s="219" t="s">
        <v>96</v>
      </c>
      <c r="F762" s="373" t="s">
        <v>176</v>
      </c>
      <c r="G762" s="220" t="s">
        <v>26</v>
      </c>
      <c r="H762" s="221">
        <v>2010</v>
      </c>
      <c r="I762" s="374"/>
      <c r="J762" s="370">
        <v>203786553.2330516</v>
      </c>
      <c r="K762" s="367" t="s">
        <v>372</v>
      </c>
      <c r="L762" s="337">
        <f>J762/[1]GHGsources!G24*0.001</f>
        <v>3.5290881342195768E-2</v>
      </c>
      <c r="M762" s="335" t="str">
        <f>'[1]Advanced Controls'!$I$158</f>
        <v>t CH4-CO2eq per kg of protein</v>
      </c>
      <c r="N762" s="238"/>
      <c r="O762" s="227" t="s">
        <v>417</v>
      </c>
      <c r="P762" s="122"/>
      <c r="Q762" s="228"/>
      <c r="R762" s="231">
        <f t="shared" ref="R762:R825" si="586">IF(Q762="Y","",IF(AND(L762="",J762=""),"",IF(L762="",J762,L762)))</f>
        <v>3.5290881342195768E-2</v>
      </c>
      <c r="S762" s="230">
        <f t="shared" si="584"/>
        <v>3.5290881342195768E-2</v>
      </c>
      <c r="T762" s="231">
        <f t="shared" si="582"/>
        <v>0</v>
      </c>
      <c r="U762" s="232" t="str">
        <f t="shared" si="585"/>
        <v>t CH4-CO2eq per kg of protein</v>
      </c>
      <c r="V762" s="28"/>
      <c r="W762" s="28"/>
      <c r="Y762" s="91"/>
      <c r="AO762" s="91"/>
      <c r="AP762" s="28"/>
      <c r="AQ762" s="28"/>
      <c r="AR762" s="237"/>
      <c r="AS762" s="28"/>
      <c r="AT762" s="304" t="str">
        <f t="shared" si="580"/>
        <v/>
      </c>
      <c r="AU762" s="304" t="str">
        <f t="shared" si="580"/>
        <v/>
      </c>
      <c r="AV762" s="28"/>
      <c r="AW762" s="304">
        <f t="shared" si="571"/>
        <v>3.5290881342195768E-2</v>
      </c>
      <c r="AX762" s="304">
        <f t="shared" si="571"/>
        <v>3.5290881342195768E-2</v>
      </c>
      <c r="AY762" s="28"/>
      <c r="AZ762" s="304" t="str">
        <f t="shared" si="572"/>
        <v/>
      </c>
      <c r="BA762" s="304" t="str">
        <f t="shared" si="572"/>
        <v/>
      </c>
      <c r="BB762" s="28"/>
      <c r="BC762" s="304" t="str">
        <f t="shared" si="573"/>
        <v/>
      </c>
      <c r="BD762" s="304" t="str">
        <f t="shared" si="573"/>
        <v/>
      </c>
      <c r="BE762" s="28"/>
      <c r="BF762" s="304" t="str">
        <f t="shared" si="574"/>
        <v/>
      </c>
      <c r="BG762" s="304" t="str">
        <f t="shared" si="574"/>
        <v/>
      </c>
      <c r="BH762" s="28"/>
      <c r="BI762" s="304" t="str">
        <f t="shared" si="575"/>
        <v/>
      </c>
      <c r="BJ762" s="304" t="str">
        <f t="shared" si="575"/>
        <v/>
      </c>
      <c r="BK762" s="28"/>
      <c r="BL762" s="304" t="str">
        <f t="shared" si="576"/>
        <v/>
      </c>
      <c r="BM762" s="304" t="str">
        <f t="shared" si="576"/>
        <v/>
      </c>
      <c r="BN762" s="28"/>
      <c r="BO762" s="304" t="str">
        <f t="shared" si="577"/>
        <v/>
      </c>
      <c r="BP762" s="304" t="str">
        <f t="shared" si="577"/>
        <v/>
      </c>
      <c r="BQ762" s="28"/>
      <c r="BR762" s="304" t="str">
        <f t="shared" si="578"/>
        <v/>
      </c>
      <c r="BS762" s="304" t="str">
        <f t="shared" si="578"/>
        <v/>
      </c>
      <c r="BT762" s="28"/>
      <c r="BU762" s="304" t="str">
        <f t="shared" si="579"/>
        <v/>
      </c>
      <c r="BV762" s="304" t="str">
        <f t="shared" si="579"/>
        <v/>
      </c>
      <c r="BW762" s="28"/>
      <c r="BX762" s="91"/>
    </row>
    <row r="763" spans="1:76" s="55" customFormat="1" x14ac:dyDescent="0.25">
      <c r="A763" s="195">
        <v>67</v>
      </c>
      <c r="B763" s="216" t="str">
        <f t="shared" si="583"/>
        <v>World: FAO. 2017. Global Livestock Environmental Assessment Model (GLEAM)</v>
      </c>
      <c r="C763" s="219" t="s">
        <v>227</v>
      </c>
      <c r="D763" s="219" t="s">
        <v>428</v>
      </c>
      <c r="E763" s="219" t="s">
        <v>95</v>
      </c>
      <c r="F763" s="371" t="s">
        <v>371</v>
      </c>
      <c r="G763" s="220" t="s">
        <v>26</v>
      </c>
      <c r="H763" s="221">
        <v>2010</v>
      </c>
      <c r="I763" s="374"/>
      <c r="J763" s="370">
        <v>662412302796.53528</v>
      </c>
      <c r="K763" s="367" t="s">
        <v>372</v>
      </c>
      <c r="L763" s="337">
        <f>J763/[1]GHGsources!H14*0.001</f>
        <v>0.19496934643202979</v>
      </c>
      <c r="M763" s="335" t="str">
        <f>'[1]Advanced Controls'!$I$158</f>
        <v>t CH4-CO2eq per kg of protein</v>
      </c>
      <c r="N763" s="238"/>
      <c r="O763" s="227" t="s">
        <v>429</v>
      </c>
      <c r="P763" s="122"/>
      <c r="Q763" s="228"/>
      <c r="R763" s="231">
        <f t="shared" si="586"/>
        <v>0.19496934643202979</v>
      </c>
      <c r="S763" s="230">
        <f t="shared" si="584"/>
        <v>0.19496934643202979</v>
      </c>
      <c r="T763" s="231">
        <f t="shared" si="582"/>
        <v>0</v>
      </c>
      <c r="U763" s="232" t="str">
        <f t="shared" si="585"/>
        <v>t CH4-CO2eq per kg of protein</v>
      </c>
      <c r="V763" s="28"/>
      <c r="W763" s="28"/>
      <c r="Y763" s="91"/>
      <c r="AO763" s="91"/>
      <c r="AP763" s="28"/>
      <c r="AQ763" s="28"/>
      <c r="AR763" s="237"/>
      <c r="AS763" s="28"/>
      <c r="AT763" s="304">
        <f t="shared" si="580"/>
        <v>0.19496934643202979</v>
      </c>
      <c r="AU763" s="304">
        <f t="shared" si="580"/>
        <v>0.19496934643202979</v>
      </c>
      <c r="AV763" s="28"/>
      <c r="AW763" s="304" t="str">
        <f t="shared" si="571"/>
        <v/>
      </c>
      <c r="AX763" s="304" t="str">
        <f t="shared" si="571"/>
        <v/>
      </c>
      <c r="AY763" s="28"/>
      <c r="AZ763" s="304" t="str">
        <f t="shared" si="572"/>
        <v/>
      </c>
      <c r="BA763" s="304" t="str">
        <f t="shared" si="572"/>
        <v/>
      </c>
      <c r="BB763" s="28"/>
      <c r="BC763" s="304" t="str">
        <f t="shared" si="573"/>
        <v/>
      </c>
      <c r="BD763" s="304" t="str">
        <f t="shared" si="573"/>
        <v/>
      </c>
      <c r="BE763" s="28"/>
      <c r="BF763" s="304" t="str">
        <f t="shared" si="574"/>
        <v/>
      </c>
      <c r="BG763" s="304" t="str">
        <f t="shared" si="574"/>
        <v/>
      </c>
      <c r="BH763" s="28"/>
      <c r="BI763" s="304" t="str">
        <f t="shared" si="575"/>
        <v/>
      </c>
      <c r="BJ763" s="304" t="str">
        <f t="shared" si="575"/>
        <v/>
      </c>
      <c r="BK763" s="28"/>
      <c r="BL763" s="304" t="str">
        <f t="shared" si="576"/>
        <v/>
      </c>
      <c r="BM763" s="304" t="str">
        <f t="shared" si="576"/>
        <v/>
      </c>
      <c r="BN763" s="28"/>
      <c r="BO763" s="304" t="str">
        <f t="shared" si="577"/>
        <v/>
      </c>
      <c r="BP763" s="304" t="str">
        <f t="shared" si="577"/>
        <v/>
      </c>
      <c r="BQ763" s="28"/>
      <c r="BR763" s="304" t="str">
        <f t="shared" si="578"/>
        <v/>
      </c>
      <c r="BS763" s="304" t="str">
        <f t="shared" si="578"/>
        <v/>
      </c>
      <c r="BT763" s="28"/>
      <c r="BU763" s="304" t="str">
        <f t="shared" si="579"/>
        <v/>
      </c>
      <c r="BV763" s="304" t="str">
        <f t="shared" si="579"/>
        <v/>
      </c>
      <c r="BW763" s="28"/>
      <c r="BX763" s="91"/>
    </row>
    <row r="764" spans="1:76" s="55" customFormat="1" x14ac:dyDescent="0.25">
      <c r="A764" s="195">
        <v>68</v>
      </c>
      <c r="B764" s="216" t="str">
        <f t="shared" si="583"/>
        <v>Asia (Sans Japan): FAO. 2017. Global Livestock Environmental Assessment Model (GLEAM)</v>
      </c>
      <c r="C764" s="219" t="s">
        <v>227</v>
      </c>
      <c r="D764" s="219" t="s">
        <v>430</v>
      </c>
      <c r="E764" s="219" t="s">
        <v>98</v>
      </c>
      <c r="F764" s="373" t="s">
        <v>375</v>
      </c>
      <c r="G764" s="220" t="s">
        <v>26</v>
      </c>
      <c r="H764" s="221">
        <v>2010</v>
      </c>
      <c r="I764" s="374"/>
      <c r="J764" s="370">
        <v>82377894256.592209</v>
      </c>
      <c r="K764" s="367" t="s">
        <v>372</v>
      </c>
      <c r="L764" s="337">
        <f>J764/[1]GHGsources!H15*0.001</f>
        <v>0.28683966049195325</v>
      </c>
      <c r="M764" s="335" t="str">
        <f>'[1]Advanced Controls'!$I$158</f>
        <v>t CH4-CO2eq per kg of protein</v>
      </c>
      <c r="N764" s="238"/>
      <c r="O764" s="227" t="s">
        <v>429</v>
      </c>
      <c r="P764" s="122"/>
      <c r="Q764" s="228"/>
      <c r="R764" s="231">
        <f t="shared" si="586"/>
        <v>0.28683966049195325</v>
      </c>
      <c r="S764" s="230">
        <f t="shared" si="584"/>
        <v>0.28683966049195325</v>
      </c>
      <c r="T764" s="231">
        <f t="shared" si="582"/>
        <v>0</v>
      </c>
      <c r="U764" s="232" t="str">
        <f t="shared" si="585"/>
        <v>t CH4-CO2eq per kg of protein</v>
      </c>
      <c r="V764" s="28"/>
      <c r="W764" s="28"/>
      <c r="Y764" s="91"/>
      <c r="AO764" s="91"/>
      <c r="AP764" s="28"/>
      <c r="AQ764" s="28"/>
      <c r="AR764" s="237"/>
      <c r="AS764" s="28"/>
      <c r="AT764" s="304" t="str">
        <f t="shared" si="580"/>
        <v/>
      </c>
      <c r="AU764" s="304" t="str">
        <f t="shared" si="580"/>
        <v/>
      </c>
      <c r="AV764" s="28"/>
      <c r="AW764" s="304" t="str">
        <f t="shared" si="571"/>
        <v/>
      </c>
      <c r="AX764" s="304" t="str">
        <f t="shared" si="571"/>
        <v/>
      </c>
      <c r="AY764" s="28"/>
      <c r="AZ764" s="304" t="str">
        <f t="shared" si="572"/>
        <v/>
      </c>
      <c r="BA764" s="304" t="str">
        <f t="shared" si="572"/>
        <v/>
      </c>
      <c r="BB764" s="28"/>
      <c r="BC764" s="304">
        <f t="shared" si="573"/>
        <v>0.28683966049195325</v>
      </c>
      <c r="BD764" s="304">
        <f t="shared" si="573"/>
        <v>0.28683966049195325</v>
      </c>
      <c r="BE764" s="28"/>
      <c r="BF764" s="304" t="str">
        <f t="shared" si="574"/>
        <v/>
      </c>
      <c r="BG764" s="304" t="str">
        <f t="shared" si="574"/>
        <v/>
      </c>
      <c r="BH764" s="28"/>
      <c r="BI764" s="304" t="str">
        <f t="shared" si="575"/>
        <v/>
      </c>
      <c r="BJ764" s="304" t="str">
        <f t="shared" si="575"/>
        <v/>
      </c>
      <c r="BK764" s="28"/>
      <c r="BL764" s="304" t="str">
        <f t="shared" si="576"/>
        <v/>
      </c>
      <c r="BM764" s="304" t="str">
        <f t="shared" si="576"/>
        <v/>
      </c>
      <c r="BN764" s="28"/>
      <c r="BO764" s="304" t="str">
        <f t="shared" si="577"/>
        <v/>
      </c>
      <c r="BP764" s="304" t="str">
        <f t="shared" si="577"/>
        <v/>
      </c>
      <c r="BQ764" s="28"/>
      <c r="BR764" s="304" t="str">
        <f t="shared" si="578"/>
        <v/>
      </c>
      <c r="BS764" s="304" t="str">
        <f t="shared" si="578"/>
        <v/>
      </c>
      <c r="BT764" s="28"/>
      <c r="BU764" s="304" t="str">
        <f t="shared" si="579"/>
        <v/>
      </c>
      <c r="BV764" s="304" t="str">
        <f t="shared" si="579"/>
        <v/>
      </c>
      <c r="BW764" s="28"/>
      <c r="BX764" s="91"/>
    </row>
    <row r="765" spans="1:76" s="55" customFormat="1" x14ac:dyDescent="0.25">
      <c r="A765" s="195">
        <v>69</v>
      </c>
      <c r="B765" s="216" t="str">
        <f t="shared" si="583"/>
        <v>Eastern Europe: FAO. 2017. Global Livestock Environmental Assessment Model (GLEAM)</v>
      </c>
      <c r="C765" s="219" t="s">
        <v>227</v>
      </c>
      <c r="D765" s="219" t="s">
        <v>431</v>
      </c>
      <c r="E765" s="219" t="s">
        <v>97</v>
      </c>
      <c r="F765" s="373" t="s">
        <v>97</v>
      </c>
      <c r="G765" s="220" t="s">
        <v>26</v>
      </c>
      <c r="H765" s="221">
        <v>2010</v>
      </c>
      <c r="I765" s="374"/>
      <c r="J765" s="370">
        <v>3174969673.2687407</v>
      </c>
      <c r="K765" s="367" t="s">
        <v>372</v>
      </c>
      <c r="L765" s="337">
        <f>J765/[1]GHGsources!H16*0.001</f>
        <v>5.4449341182823713E-2</v>
      </c>
      <c r="M765" s="335" t="str">
        <f>'[1]Advanced Controls'!$I$158</f>
        <v>t CH4-CO2eq per kg of protein</v>
      </c>
      <c r="N765" s="238"/>
      <c r="O765" s="227" t="s">
        <v>429</v>
      </c>
      <c r="P765" s="122"/>
      <c r="Q765" s="228"/>
      <c r="R765" s="231">
        <f t="shared" si="586"/>
        <v>5.4449341182823713E-2</v>
      </c>
      <c r="S765" s="230">
        <f t="shared" si="584"/>
        <v>5.4449341182823713E-2</v>
      </c>
      <c r="T765" s="231">
        <f t="shared" si="582"/>
        <v>0</v>
      </c>
      <c r="U765" s="232" t="str">
        <f t="shared" si="585"/>
        <v>t CH4-CO2eq per kg of protein</v>
      </c>
      <c r="V765" s="28"/>
      <c r="W765" s="28"/>
      <c r="Y765" s="91"/>
      <c r="AO765" s="91"/>
      <c r="AP765" s="28"/>
      <c r="AQ765" s="28"/>
      <c r="AR765" s="237"/>
      <c r="AS765" s="28"/>
      <c r="AT765" s="304" t="str">
        <f t="shared" si="580"/>
        <v/>
      </c>
      <c r="AU765" s="304" t="str">
        <f t="shared" si="580"/>
        <v/>
      </c>
      <c r="AV765" s="28"/>
      <c r="AW765" s="304" t="str">
        <f t="shared" si="571"/>
        <v/>
      </c>
      <c r="AX765" s="304" t="str">
        <f t="shared" si="571"/>
        <v/>
      </c>
      <c r="AY765" s="28"/>
      <c r="AZ765" s="304">
        <f t="shared" si="572"/>
        <v>5.4449341182823713E-2</v>
      </c>
      <c r="BA765" s="304">
        <f t="shared" si="572"/>
        <v>5.4449341182823713E-2</v>
      </c>
      <c r="BB765" s="28"/>
      <c r="BC765" s="304" t="str">
        <f t="shared" si="573"/>
        <v/>
      </c>
      <c r="BD765" s="304" t="str">
        <f t="shared" si="573"/>
        <v/>
      </c>
      <c r="BE765" s="28"/>
      <c r="BF765" s="304" t="str">
        <f t="shared" si="574"/>
        <v/>
      </c>
      <c r="BG765" s="304" t="str">
        <f t="shared" si="574"/>
        <v/>
      </c>
      <c r="BH765" s="28"/>
      <c r="BI765" s="304" t="str">
        <f t="shared" si="575"/>
        <v/>
      </c>
      <c r="BJ765" s="304" t="str">
        <f t="shared" si="575"/>
        <v/>
      </c>
      <c r="BK765" s="28"/>
      <c r="BL765" s="304" t="str">
        <f t="shared" si="576"/>
        <v/>
      </c>
      <c r="BM765" s="304" t="str">
        <f t="shared" si="576"/>
        <v/>
      </c>
      <c r="BN765" s="28"/>
      <c r="BO765" s="304" t="str">
        <f t="shared" si="577"/>
        <v/>
      </c>
      <c r="BP765" s="304" t="str">
        <f t="shared" si="577"/>
        <v/>
      </c>
      <c r="BQ765" s="28"/>
      <c r="BR765" s="304" t="str">
        <f t="shared" si="578"/>
        <v/>
      </c>
      <c r="BS765" s="304" t="str">
        <f t="shared" si="578"/>
        <v/>
      </c>
      <c r="BT765" s="28"/>
      <c r="BU765" s="304" t="str">
        <f t="shared" si="579"/>
        <v/>
      </c>
      <c r="BV765" s="304" t="str">
        <f t="shared" si="579"/>
        <v/>
      </c>
      <c r="BW765" s="28"/>
      <c r="BX765" s="91"/>
    </row>
    <row r="766" spans="1:76" s="55" customFormat="1" x14ac:dyDescent="0.25">
      <c r="A766" s="195">
        <v>70</v>
      </c>
      <c r="B766" s="216" t="str">
        <f t="shared" si="583"/>
        <v>Latin America: FAO. 2017. Global Livestock Environmental Assessment Model (GLEAM)</v>
      </c>
      <c r="C766" s="219" t="s">
        <v>227</v>
      </c>
      <c r="D766" s="219" t="s">
        <v>432</v>
      </c>
      <c r="E766" s="219" t="s">
        <v>100</v>
      </c>
      <c r="F766" s="373" t="s">
        <v>378</v>
      </c>
      <c r="G766" s="220" t="s">
        <v>26</v>
      </c>
      <c r="H766" s="221">
        <v>2010</v>
      </c>
      <c r="I766" s="374"/>
      <c r="J766" s="370">
        <v>292232643880.06934</v>
      </c>
      <c r="K766" s="367" t="s">
        <v>372</v>
      </c>
      <c r="L766" s="337">
        <f>J766/[1]GHGsources!H17*0.001</f>
        <v>0.23204681357780538</v>
      </c>
      <c r="M766" s="335" t="str">
        <f>'[1]Advanced Controls'!$I$158</f>
        <v>t CH4-CO2eq per kg of protein</v>
      </c>
      <c r="N766" s="238"/>
      <c r="O766" s="227" t="s">
        <v>429</v>
      </c>
      <c r="P766" s="122"/>
      <c r="Q766" s="228"/>
      <c r="R766" s="231">
        <f t="shared" si="586"/>
        <v>0.23204681357780538</v>
      </c>
      <c r="S766" s="230">
        <f t="shared" si="584"/>
        <v>0.23204681357780538</v>
      </c>
      <c r="T766" s="231">
        <f t="shared" si="582"/>
        <v>0</v>
      </c>
      <c r="U766" s="232" t="str">
        <f t="shared" si="585"/>
        <v>t CH4-CO2eq per kg of protein</v>
      </c>
      <c r="V766" s="28"/>
      <c r="W766" s="28"/>
      <c r="Y766" s="91"/>
      <c r="AO766" s="91"/>
      <c r="AP766" s="28"/>
      <c r="AQ766" s="28"/>
      <c r="AR766" s="237"/>
      <c r="AS766" s="28"/>
      <c r="AT766" s="304" t="str">
        <f t="shared" si="580"/>
        <v/>
      </c>
      <c r="AU766" s="304" t="str">
        <f t="shared" si="580"/>
        <v/>
      </c>
      <c r="AV766" s="28"/>
      <c r="AW766" s="304" t="str">
        <f t="shared" si="571"/>
        <v/>
      </c>
      <c r="AX766" s="304" t="str">
        <f t="shared" si="571"/>
        <v/>
      </c>
      <c r="AY766" s="28"/>
      <c r="AZ766" s="304" t="str">
        <f t="shared" si="572"/>
        <v/>
      </c>
      <c r="BA766" s="304" t="str">
        <f t="shared" si="572"/>
        <v/>
      </c>
      <c r="BB766" s="28"/>
      <c r="BC766" s="304" t="str">
        <f t="shared" si="573"/>
        <v/>
      </c>
      <c r="BD766" s="304" t="str">
        <f t="shared" si="573"/>
        <v/>
      </c>
      <c r="BE766" s="28"/>
      <c r="BF766" s="304" t="str">
        <f t="shared" si="574"/>
        <v/>
      </c>
      <c r="BG766" s="304" t="str">
        <f t="shared" si="574"/>
        <v/>
      </c>
      <c r="BH766" s="28"/>
      <c r="BI766" s="304">
        <f t="shared" si="575"/>
        <v>0.23204681357780538</v>
      </c>
      <c r="BJ766" s="304">
        <f t="shared" si="575"/>
        <v>0.23204681357780538</v>
      </c>
      <c r="BK766" s="28"/>
      <c r="BL766" s="304" t="str">
        <f t="shared" si="576"/>
        <v/>
      </c>
      <c r="BM766" s="304" t="str">
        <f t="shared" si="576"/>
        <v/>
      </c>
      <c r="BN766" s="28"/>
      <c r="BO766" s="304" t="str">
        <f t="shared" si="577"/>
        <v/>
      </c>
      <c r="BP766" s="304" t="str">
        <f t="shared" si="577"/>
        <v/>
      </c>
      <c r="BQ766" s="28"/>
      <c r="BR766" s="304" t="str">
        <f t="shared" si="578"/>
        <v/>
      </c>
      <c r="BS766" s="304" t="str">
        <f t="shared" si="578"/>
        <v/>
      </c>
      <c r="BT766" s="28"/>
      <c r="BU766" s="304" t="str">
        <f t="shared" si="579"/>
        <v/>
      </c>
      <c r="BV766" s="304" t="str">
        <f t="shared" si="579"/>
        <v/>
      </c>
      <c r="BW766" s="28"/>
      <c r="BX766" s="91"/>
    </row>
    <row r="767" spans="1:76" s="55" customFormat="1" x14ac:dyDescent="0.25">
      <c r="A767" s="195">
        <v>71</v>
      </c>
      <c r="B767" s="216" t="str">
        <f t="shared" si="583"/>
        <v>Middle East and Africa: FAO. 2017. Global Livestock Environmental Assessment Model (GLEAM)</v>
      </c>
      <c r="C767" s="219" t="s">
        <v>227</v>
      </c>
      <c r="D767" s="219" t="s">
        <v>433</v>
      </c>
      <c r="E767" s="219" t="s">
        <v>99</v>
      </c>
      <c r="F767" s="373" t="s">
        <v>380</v>
      </c>
      <c r="G767" s="220" t="s">
        <v>26</v>
      </c>
      <c r="H767" s="221">
        <v>2010</v>
      </c>
      <c r="I767" s="374"/>
      <c r="J767" s="370">
        <v>31222034057.845413</v>
      </c>
      <c r="K767" s="367" t="s">
        <v>372</v>
      </c>
      <c r="L767" s="337">
        <f>J767/[1]GHGsources!H18*0.001</f>
        <v>0.14992147287802432</v>
      </c>
      <c r="M767" s="335" t="str">
        <f>'[1]Advanced Controls'!$I$158</f>
        <v>t CH4-CO2eq per kg of protein</v>
      </c>
      <c r="N767" s="238"/>
      <c r="O767" s="227" t="s">
        <v>429</v>
      </c>
      <c r="P767" s="122"/>
      <c r="Q767" s="228"/>
      <c r="R767" s="231">
        <f t="shared" si="586"/>
        <v>0.14992147287802432</v>
      </c>
      <c r="S767" s="230">
        <f t="shared" si="584"/>
        <v>0.14992147287802432</v>
      </c>
      <c r="T767" s="231">
        <f t="shared" si="582"/>
        <v>0</v>
      </c>
      <c r="U767" s="232" t="str">
        <f t="shared" si="585"/>
        <v>t CH4-CO2eq per kg of protein</v>
      </c>
      <c r="V767" s="28"/>
      <c r="W767" s="28"/>
      <c r="Y767" s="91"/>
      <c r="AO767" s="91"/>
      <c r="AP767" s="28"/>
      <c r="AQ767" s="28"/>
      <c r="AR767" s="237"/>
      <c r="AS767" s="28"/>
      <c r="AT767" s="304" t="str">
        <f t="shared" si="580"/>
        <v/>
      </c>
      <c r="AU767" s="304" t="str">
        <f t="shared" si="580"/>
        <v/>
      </c>
      <c r="AV767" s="28"/>
      <c r="AW767" s="304" t="str">
        <f t="shared" si="571"/>
        <v/>
      </c>
      <c r="AX767" s="304" t="str">
        <f t="shared" si="571"/>
        <v/>
      </c>
      <c r="AY767" s="28"/>
      <c r="AZ767" s="304" t="str">
        <f t="shared" si="572"/>
        <v/>
      </c>
      <c r="BA767" s="304" t="str">
        <f t="shared" si="572"/>
        <v/>
      </c>
      <c r="BB767" s="28"/>
      <c r="BC767" s="304" t="str">
        <f t="shared" si="573"/>
        <v/>
      </c>
      <c r="BD767" s="304" t="str">
        <f t="shared" si="573"/>
        <v/>
      </c>
      <c r="BE767" s="28"/>
      <c r="BF767" s="304">
        <f t="shared" si="574"/>
        <v>0.14992147287802432</v>
      </c>
      <c r="BG767" s="304">
        <f t="shared" si="574"/>
        <v>0.14992147287802432</v>
      </c>
      <c r="BH767" s="28"/>
      <c r="BI767" s="304" t="str">
        <f t="shared" si="575"/>
        <v/>
      </c>
      <c r="BJ767" s="304" t="str">
        <f t="shared" si="575"/>
        <v/>
      </c>
      <c r="BK767" s="28"/>
      <c r="BL767" s="304" t="str">
        <f t="shared" si="576"/>
        <v/>
      </c>
      <c r="BM767" s="304" t="str">
        <f t="shared" si="576"/>
        <v/>
      </c>
      <c r="BN767" s="28"/>
      <c r="BO767" s="304" t="str">
        <f t="shared" si="577"/>
        <v/>
      </c>
      <c r="BP767" s="304" t="str">
        <f t="shared" si="577"/>
        <v/>
      </c>
      <c r="BQ767" s="28"/>
      <c r="BR767" s="304" t="str">
        <f t="shared" si="578"/>
        <v/>
      </c>
      <c r="BS767" s="304" t="str">
        <f t="shared" si="578"/>
        <v/>
      </c>
      <c r="BT767" s="28"/>
      <c r="BU767" s="304" t="str">
        <f t="shared" si="579"/>
        <v/>
      </c>
      <c r="BV767" s="304" t="str">
        <f t="shared" si="579"/>
        <v/>
      </c>
      <c r="BW767" s="28"/>
      <c r="BX767" s="91"/>
    </row>
    <row r="768" spans="1:76" s="55" customFormat="1" x14ac:dyDescent="0.25">
      <c r="A768" s="195">
        <v>72</v>
      </c>
      <c r="B768" s="216" t="str">
        <f t="shared" si="583"/>
        <v>OECD90: FAO. 2017. Global Livestock Environmental Assessment Model (GLEAM)</v>
      </c>
      <c r="C768" s="219" t="s">
        <v>227</v>
      </c>
      <c r="D768" s="219" t="s">
        <v>434</v>
      </c>
      <c r="E768" s="219" t="s">
        <v>96</v>
      </c>
      <c r="F768" s="373" t="s">
        <v>179</v>
      </c>
      <c r="G768" s="220" t="s">
        <v>26</v>
      </c>
      <c r="H768" s="221">
        <v>2010</v>
      </c>
      <c r="I768" s="374"/>
      <c r="J768" s="370">
        <v>71040330372.770004</v>
      </c>
      <c r="K768" s="367" t="s">
        <v>372</v>
      </c>
      <c r="L768" s="337">
        <f>J768/[1]GHGsources!H19*0.001</f>
        <v>0.14729945889158866</v>
      </c>
      <c r="M768" s="335" t="str">
        <f>'[1]Advanced Controls'!$I$158</f>
        <v>t CH4-CO2eq per kg of protein</v>
      </c>
      <c r="N768" s="238"/>
      <c r="O768" s="227" t="s">
        <v>429</v>
      </c>
      <c r="P768" s="122"/>
      <c r="Q768" s="228"/>
      <c r="R768" s="231">
        <f t="shared" si="586"/>
        <v>0.14729945889158866</v>
      </c>
      <c r="S768" s="230">
        <f t="shared" si="584"/>
        <v>0.14729945889158866</v>
      </c>
      <c r="T768" s="231">
        <f t="shared" si="582"/>
        <v>0</v>
      </c>
      <c r="U768" s="232" t="str">
        <f t="shared" si="585"/>
        <v>t CH4-CO2eq per kg of protein</v>
      </c>
      <c r="V768" s="28"/>
      <c r="W768" s="28"/>
      <c r="Y768" s="91"/>
      <c r="AO768" s="91"/>
      <c r="AP768" s="28"/>
      <c r="AQ768" s="28"/>
      <c r="AR768" s="237"/>
      <c r="AS768" s="28"/>
      <c r="AT768" s="304" t="str">
        <f t="shared" si="580"/>
        <v/>
      </c>
      <c r="AU768" s="304" t="str">
        <f t="shared" si="580"/>
        <v/>
      </c>
      <c r="AV768" s="28"/>
      <c r="AW768" s="304">
        <f t="shared" si="571"/>
        <v>0.14729945889158866</v>
      </c>
      <c r="AX768" s="304">
        <f t="shared" si="571"/>
        <v>0.14729945889158866</v>
      </c>
      <c r="AY768" s="28"/>
      <c r="AZ768" s="304" t="str">
        <f t="shared" si="572"/>
        <v/>
      </c>
      <c r="BA768" s="304" t="str">
        <f t="shared" si="572"/>
        <v/>
      </c>
      <c r="BB768" s="28"/>
      <c r="BC768" s="304" t="str">
        <f t="shared" si="573"/>
        <v/>
      </c>
      <c r="BD768" s="304" t="str">
        <f t="shared" si="573"/>
        <v/>
      </c>
      <c r="BE768" s="28"/>
      <c r="BF768" s="304" t="str">
        <f t="shared" si="574"/>
        <v/>
      </c>
      <c r="BG768" s="304" t="str">
        <f t="shared" si="574"/>
        <v/>
      </c>
      <c r="BH768" s="28"/>
      <c r="BI768" s="304" t="str">
        <f t="shared" si="575"/>
        <v/>
      </c>
      <c r="BJ768" s="304" t="str">
        <f t="shared" si="575"/>
        <v/>
      </c>
      <c r="BK768" s="28"/>
      <c r="BL768" s="304" t="str">
        <f t="shared" si="576"/>
        <v/>
      </c>
      <c r="BM768" s="304" t="str">
        <f t="shared" si="576"/>
        <v/>
      </c>
      <c r="BN768" s="28"/>
      <c r="BO768" s="304" t="str">
        <f t="shared" si="577"/>
        <v/>
      </c>
      <c r="BP768" s="304" t="str">
        <f t="shared" si="577"/>
        <v/>
      </c>
      <c r="BQ768" s="28"/>
      <c r="BR768" s="304" t="str">
        <f t="shared" si="578"/>
        <v/>
      </c>
      <c r="BS768" s="304" t="str">
        <f t="shared" si="578"/>
        <v/>
      </c>
      <c r="BT768" s="28"/>
      <c r="BU768" s="304" t="str">
        <f t="shared" si="579"/>
        <v/>
      </c>
      <c r="BV768" s="304" t="str">
        <f t="shared" si="579"/>
        <v/>
      </c>
      <c r="BW768" s="28"/>
      <c r="BX768" s="91"/>
    </row>
    <row r="769" spans="1:76" s="55" customFormat="1" x14ac:dyDescent="0.25">
      <c r="A769" s="195">
        <v>73</v>
      </c>
      <c r="B769" s="216" t="str">
        <f t="shared" si="583"/>
        <v>OECD90: FAO. 2017. Global Livestock Environmental Assessment Model (GLEAM)</v>
      </c>
      <c r="C769" s="219" t="s">
        <v>227</v>
      </c>
      <c r="D769" s="219" t="s">
        <v>435</v>
      </c>
      <c r="E769" s="219" t="s">
        <v>96</v>
      </c>
      <c r="F769" s="373" t="s">
        <v>185</v>
      </c>
      <c r="G769" s="220" t="s">
        <v>26</v>
      </c>
      <c r="H769" s="221">
        <v>2010</v>
      </c>
      <c r="I769" s="374"/>
      <c r="J769" s="370">
        <v>24302186067.373245</v>
      </c>
      <c r="K769" s="367" t="s">
        <v>372</v>
      </c>
      <c r="L769" s="337">
        <f>J769/[1]GHGsources!H20*0.001</f>
        <v>0.11978806845202999</v>
      </c>
      <c r="M769" s="335" t="str">
        <f>'[1]Advanced Controls'!$I$158</f>
        <v>t CH4-CO2eq per kg of protein</v>
      </c>
      <c r="N769" s="238"/>
      <c r="O769" s="227" t="s">
        <v>429</v>
      </c>
      <c r="P769" s="122"/>
      <c r="Q769" s="228"/>
      <c r="R769" s="231">
        <f t="shared" si="586"/>
        <v>0.11978806845202999</v>
      </c>
      <c r="S769" s="230">
        <f t="shared" si="584"/>
        <v>0.11978806845202999</v>
      </c>
      <c r="T769" s="231">
        <f t="shared" si="582"/>
        <v>0</v>
      </c>
      <c r="U769" s="232" t="str">
        <f t="shared" si="585"/>
        <v>t CH4-CO2eq per kg of protein</v>
      </c>
      <c r="V769" s="28"/>
      <c r="W769" s="28"/>
      <c r="Y769" s="91"/>
      <c r="AO769" s="91"/>
      <c r="AP769" s="28"/>
      <c r="AQ769" s="28"/>
      <c r="AR769" s="237"/>
      <c r="AS769" s="28"/>
      <c r="AT769" s="304" t="str">
        <f t="shared" si="580"/>
        <v/>
      </c>
      <c r="AU769" s="304" t="str">
        <f t="shared" si="580"/>
        <v/>
      </c>
      <c r="AV769" s="28"/>
      <c r="AW769" s="304">
        <f t="shared" si="571"/>
        <v>0.11978806845202999</v>
      </c>
      <c r="AX769" s="304">
        <f t="shared" si="571"/>
        <v>0.11978806845202999</v>
      </c>
      <c r="AY769" s="28"/>
      <c r="AZ769" s="304" t="str">
        <f t="shared" si="572"/>
        <v/>
      </c>
      <c r="BA769" s="304" t="str">
        <f t="shared" si="572"/>
        <v/>
      </c>
      <c r="BB769" s="28"/>
      <c r="BC769" s="304" t="str">
        <f t="shared" si="573"/>
        <v/>
      </c>
      <c r="BD769" s="304" t="str">
        <f t="shared" si="573"/>
        <v/>
      </c>
      <c r="BE769" s="28"/>
      <c r="BF769" s="304" t="str">
        <f t="shared" si="574"/>
        <v/>
      </c>
      <c r="BG769" s="304" t="str">
        <f t="shared" si="574"/>
        <v/>
      </c>
      <c r="BH769" s="28"/>
      <c r="BI769" s="304" t="str">
        <f t="shared" si="575"/>
        <v/>
      </c>
      <c r="BJ769" s="304" t="str">
        <f t="shared" si="575"/>
        <v/>
      </c>
      <c r="BK769" s="28"/>
      <c r="BL769" s="304" t="str">
        <f t="shared" si="576"/>
        <v/>
      </c>
      <c r="BM769" s="304" t="str">
        <f t="shared" si="576"/>
        <v/>
      </c>
      <c r="BN769" s="28"/>
      <c r="BO769" s="304" t="str">
        <f t="shared" si="577"/>
        <v/>
      </c>
      <c r="BP769" s="304" t="str">
        <f t="shared" si="577"/>
        <v/>
      </c>
      <c r="BQ769" s="28"/>
      <c r="BR769" s="304" t="str">
        <f t="shared" si="578"/>
        <v/>
      </c>
      <c r="BS769" s="304" t="str">
        <f t="shared" si="578"/>
        <v/>
      </c>
      <c r="BT769" s="28"/>
      <c r="BU769" s="304" t="str">
        <f t="shared" si="579"/>
        <v/>
      </c>
      <c r="BV769" s="304" t="str">
        <f t="shared" si="579"/>
        <v/>
      </c>
      <c r="BW769" s="28"/>
      <c r="BX769" s="91"/>
    </row>
    <row r="770" spans="1:76" s="55" customFormat="1" x14ac:dyDescent="0.25">
      <c r="A770" s="195">
        <v>74</v>
      </c>
      <c r="B770" s="216" t="str">
        <f t="shared" si="583"/>
        <v>Eastern Europe: FAO. 2017. Global Livestock Environmental Assessment Model (GLEAM)</v>
      </c>
      <c r="C770" s="219" t="s">
        <v>227</v>
      </c>
      <c r="D770" s="219" t="s">
        <v>436</v>
      </c>
      <c r="E770" s="219" t="s">
        <v>97</v>
      </c>
      <c r="F770" s="373" t="s">
        <v>384</v>
      </c>
      <c r="G770" s="220" t="s">
        <v>26</v>
      </c>
      <c r="H770" s="221">
        <v>2010</v>
      </c>
      <c r="I770" s="374"/>
      <c r="J770" s="370">
        <v>5758056749.6957359</v>
      </c>
      <c r="K770" s="367" t="s">
        <v>372</v>
      </c>
      <c r="L770" s="337">
        <f>J770/[1]GHGsources!H21*0.001</f>
        <v>5.2159354192755039E-2</v>
      </c>
      <c r="M770" s="335" t="str">
        <f>'[1]Advanced Controls'!$I$158</f>
        <v>t CH4-CO2eq per kg of protein</v>
      </c>
      <c r="N770" s="238"/>
      <c r="O770" s="227" t="s">
        <v>429</v>
      </c>
      <c r="P770" s="122"/>
      <c r="Q770" s="228"/>
      <c r="R770" s="231">
        <f t="shared" si="586"/>
        <v>5.2159354192755039E-2</v>
      </c>
      <c r="S770" s="230">
        <f t="shared" si="584"/>
        <v>5.2159354192755039E-2</v>
      </c>
      <c r="T770" s="231">
        <f t="shared" si="582"/>
        <v>0</v>
      </c>
      <c r="U770" s="232" t="str">
        <f t="shared" si="585"/>
        <v>t CH4-CO2eq per kg of protein</v>
      </c>
      <c r="V770" s="28"/>
      <c r="W770" s="28"/>
      <c r="Y770" s="91"/>
      <c r="AO770" s="91"/>
      <c r="AP770" s="28"/>
      <c r="AQ770" s="28"/>
      <c r="AR770" s="237"/>
      <c r="AS770" s="28"/>
      <c r="AT770" s="304" t="str">
        <f t="shared" si="580"/>
        <v/>
      </c>
      <c r="AU770" s="304" t="str">
        <f t="shared" si="580"/>
        <v/>
      </c>
      <c r="AV770" s="28"/>
      <c r="AW770" s="304" t="str">
        <f t="shared" si="571"/>
        <v/>
      </c>
      <c r="AX770" s="304" t="str">
        <f t="shared" si="571"/>
        <v/>
      </c>
      <c r="AY770" s="28"/>
      <c r="AZ770" s="304">
        <f t="shared" si="572"/>
        <v>5.2159354192755039E-2</v>
      </c>
      <c r="BA770" s="304">
        <f t="shared" si="572"/>
        <v>5.2159354192755039E-2</v>
      </c>
      <c r="BB770" s="28"/>
      <c r="BC770" s="304" t="str">
        <f t="shared" si="573"/>
        <v/>
      </c>
      <c r="BD770" s="304" t="str">
        <f t="shared" si="573"/>
        <v/>
      </c>
      <c r="BE770" s="28"/>
      <c r="BF770" s="304" t="str">
        <f t="shared" si="574"/>
        <v/>
      </c>
      <c r="BG770" s="304" t="str">
        <f t="shared" si="574"/>
        <v/>
      </c>
      <c r="BH770" s="28"/>
      <c r="BI770" s="304" t="str">
        <f t="shared" si="575"/>
        <v/>
      </c>
      <c r="BJ770" s="304" t="str">
        <f t="shared" si="575"/>
        <v/>
      </c>
      <c r="BK770" s="28"/>
      <c r="BL770" s="304" t="str">
        <f t="shared" si="576"/>
        <v/>
      </c>
      <c r="BM770" s="304" t="str">
        <f t="shared" si="576"/>
        <v/>
      </c>
      <c r="BN770" s="28"/>
      <c r="BO770" s="304" t="str">
        <f t="shared" si="577"/>
        <v/>
      </c>
      <c r="BP770" s="304" t="str">
        <f t="shared" si="577"/>
        <v/>
      </c>
      <c r="BQ770" s="28"/>
      <c r="BR770" s="304" t="str">
        <f t="shared" si="578"/>
        <v/>
      </c>
      <c r="BS770" s="304" t="str">
        <f t="shared" si="578"/>
        <v/>
      </c>
      <c r="BT770" s="28"/>
      <c r="BU770" s="304" t="str">
        <f t="shared" si="579"/>
        <v/>
      </c>
      <c r="BV770" s="304" t="str">
        <f t="shared" si="579"/>
        <v/>
      </c>
      <c r="BW770" s="28"/>
      <c r="BX770" s="91"/>
    </row>
    <row r="771" spans="1:76" s="55" customFormat="1" x14ac:dyDescent="0.25">
      <c r="A771" s="195">
        <v>75</v>
      </c>
      <c r="B771" s="216" t="str">
        <f t="shared" si="583"/>
        <v>Asia (Sans Japan): FAO. 2017. Global Livestock Environmental Assessment Model (GLEAM)</v>
      </c>
      <c r="C771" s="219" t="s">
        <v>227</v>
      </c>
      <c r="D771" s="219" t="s">
        <v>437</v>
      </c>
      <c r="E771" s="219" t="s">
        <v>98</v>
      </c>
      <c r="F771" s="373" t="s">
        <v>386</v>
      </c>
      <c r="G771" s="220" t="s">
        <v>26</v>
      </c>
      <c r="H771" s="221">
        <v>2010</v>
      </c>
      <c r="I771" s="374"/>
      <c r="J771" s="370">
        <v>51109177472.219994</v>
      </c>
      <c r="K771" s="367" t="s">
        <v>372</v>
      </c>
      <c r="L771" s="337">
        <f>J771/[1]GHGsources!H22*0.001</f>
        <v>0.36272015415314984</v>
      </c>
      <c r="M771" s="335" t="str">
        <f>'[1]Advanced Controls'!$I$158</f>
        <v>t CH4-CO2eq per kg of protein</v>
      </c>
      <c r="N771" s="238"/>
      <c r="O771" s="227" t="s">
        <v>429</v>
      </c>
      <c r="P771" s="122"/>
      <c r="Q771" s="228"/>
      <c r="R771" s="231">
        <f t="shared" si="586"/>
        <v>0.36272015415314984</v>
      </c>
      <c r="S771" s="230">
        <f t="shared" si="584"/>
        <v>0.36272015415314984</v>
      </c>
      <c r="T771" s="231">
        <f t="shared" si="582"/>
        <v>0</v>
      </c>
      <c r="U771" s="232" t="str">
        <f t="shared" si="585"/>
        <v>t CH4-CO2eq per kg of protein</v>
      </c>
      <c r="V771" s="28"/>
      <c r="W771" s="28"/>
      <c r="Y771" s="91"/>
      <c r="AO771" s="91"/>
      <c r="AP771" s="28"/>
      <c r="AQ771" s="28"/>
      <c r="AR771" s="237"/>
      <c r="AS771" s="28"/>
      <c r="AT771" s="304" t="str">
        <f t="shared" si="580"/>
        <v/>
      </c>
      <c r="AU771" s="304" t="str">
        <f t="shared" si="580"/>
        <v/>
      </c>
      <c r="AV771" s="28"/>
      <c r="AW771" s="304" t="str">
        <f t="shared" si="571"/>
        <v/>
      </c>
      <c r="AX771" s="304" t="str">
        <f t="shared" si="571"/>
        <v/>
      </c>
      <c r="AY771" s="28"/>
      <c r="AZ771" s="304" t="str">
        <f t="shared" si="572"/>
        <v/>
      </c>
      <c r="BA771" s="304" t="str">
        <f t="shared" si="572"/>
        <v/>
      </c>
      <c r="BB771" s="28"/>
      <c r="BC771" s="304">
        <f t="shared" si="573"/>
        <v>0.36272015415314984</v>
      </c>
      <c r="BD771" s="304">
        <f t="shared" si="573"/>
        <v>0.36272015415314984</v>
      </c>
      <c r="BE771" s="28"/>
      <c r="BF771" s="304" t="str">
        <f t="shared" si="574"/>
        <v/>
      </c>
      <c r="BG771" s="304" t="str">
        <f t="shared" si="574"/>
        <v/>
      </c>
      <c r="BH771" s="28"/>
      <c r="BI771" s="304" t="str">
        <f t="shared" si="575"/>
        <v/>
      </c>
      <c r="BJ771" s="304" t="str">
        <f t="shared" si="575"/>
        <v/>
      </c>
      <c r="BK771" s="28"/>
      <c r="BL771" s="304" t="str">
        <f t="shared" si="576"/>
        <v/>
      </c>
      <c r="BM771" s="304" t="str">
        <f t="shared" si="576"/>
        <v/>
      </c>
      <c r="BN771" s="28"/>
      <c r="BO771" s="304" t="str">
        <f t="shared" si="577"/>
        <v/>
      </c>
      <c r="BP771" s="304" t="str">
        <f t="shared" si="577"/>
        <v/>
      </c>
      <c r="BQ771" s="28"/>
      <c r="BR771" s="304" t="str">
        <f t="shared" si="578"/>
        <v/>
      </c>
      <c r="BS771" s="304" t="str">
        <f t="shared" si="578"/>
        <v/>
      </c>
      <c r="BT771" s="28"/>
      <c r="BU771" s="304" t="str">
        <f t="shared" si="579"/>
        <v/>
      </c>
      <c r="BV771" s="304" t="str">
        <f t="shared" si="579"/>
        <v/>
      </c>
      <c r="BW771" s="28"/>
      <c r="BX771" s="91"/>
    </row>
    <row r="772" spans="1:76" s="55" customFormat="1" x14ac:dyDescent="0.25">
      <c r="A772" s="195">
        <v>76</v>
      </c>
      <c r="B772" s="216" t="str">
        <f t="shared" si="583"/>
        <v>Middle East and Africa: FAO. 2017. Global Livestock Environmental Assessment Model (GLEAM)</v>
      </c>
      <c r="C772" s="219" t="s">
        <v>227</v>
      </c>
      <c r="D772" s="219" t="s">
        <v>438</v>
      </c>
      <c r="E772" s="219" t="s">
        <v>99</v>
      </c>
      <c r="F772" s="373" t="s">
        <v>388</v>
      </c>
      <c r="G772" s="220" t="s">
        <v>26</v>
      </c>
      <c r="H772" s="221">
        <v>2010</v>
      </c>
      <c r="I772" s="374"/>
      <c r="J772" s="370">
        <v>93095684850.919998</v>
      </c>
      <c r="K772" s="367" t="s">
        <v>372</v>
      </c>
      <c r="L772" s="337">
        <f>J772/[1]GHGsources!H23*0.001</f>
        <v>0.37302365506975982</v>
      </c>
      <c r="M772" s="335" t="str">
        <f>'[1]Advanced Controls'!$I$158</f>
        <v>t CH4-CO2eq per kg of protein</v>
      </c>
      <c r="N772" s="238"/>
      <c r="O772" s="227" t="s">
        <v>429</v>
      </c>
      <c r="P772" s="122"/>
      <c r="Q772" s="228"/>
      <c r="R772" s="231">
        <f t="shared" si="586"/>
        <v>0.37302365506975982</v>
      </c>
      <c r="S772" s="230">
        <f t="shared" si="584"/>
        <v>0.37302365506975982</v>
      </c>
      <c r="T772" s="231" t="str">
        <f t="shared" si="582"/>
        <v/>
      </c>
      <c r="U772" s="232" t="str">
        <f t="shared" si="585"/>
        <v>t CH4-CO2eq per kg of protein</v>
      </c>
      <c r="V772" s="28"/>
      <c r="W772" s="28"/>
      <c r="Y772" s="91"/>
      <c r="AO772" s="91"/>
      <c r="AP772" s="28"/>
      <c r="AQ772" s="28"/>
      <c r="AR772" s="237"/>
      <c r="AS772" s="28"/>
      <c r="AT772" s="304" t="str">
        <f t="shared" si="580"/>
        <v/>
      </c>
      <c r="AU772" s="304" t="str">
        <f t="shared" si="580"/>
        <v/>
      </c>
      <c r="AV772" s="28"/>
      <c r="AW772" s="304" t="str">
        <f t="shared" si="571"/>
        <v/>
      </c>
      <c r="AX772" s="304" t="str">
        <f t="shared" si="571"/>
        <v/>
      </c>
      <c r="AY772" s="28"/>
      <c r="AZ772" s="304" t="str">
        <f t="shared" si="572"/>
        <v/>
      </c>
      <c r="BA772" s="304" t="str">
        <f t="shared" si="572"/>
        <v/>
      </c>
      <c r="BB772" s="28"/>
      <c r="BC772" s="304" t="str">
        <f t="shared" si="573"/>
        <v/>
      </c>
      <c r="BD772" s="304" t="str">
        <f t="shared" si="573"/>
        <v/>
      </c>
      <c r="BE772" s="28"/>
      <c r="BF772" s="304">
        <f t="shared" si="574"/>
        <v>0.37302365506975982</v>
      </c>
      <c r="BG772" s="304">
        <f t="shared" si="574"/>
        <v>0.37302365506975982</v>
      </c>
      <c r="BH772" s="28"/>
      <c r="BI772" s="304" t="str">
        <f t="shared" si="575"/>
        <v/>
      </c>
      <c r="BJ772" s="304" t="str">
        <f t="shared" si="575"/>
        <v/>
      </c>
      <c r="BK772" s="28"/>
      <c r="BL772" s="304" t="str">
        <f t="shared" si="576"/>
        <v/>
      </c>
      <c r="BM772" s="304" t="str">
        <f t="shared" si="576"/>
        <v/>
      </c>
      <c r="BN772" s="28"/>
      <c r="BO772" s="304" t="str">
        <f t="shared" si="577"/>
        <v/>
      </c>
      <c r="BP772" s="304" t="str">
        <f t="shared" si="577"/>
        <v/>
      </c>
      <c r="BQ772" s="28"/>
      <c r="BR772" s="304" t="str">
        <f t="shared" si="578"/>
        <v/>
      </c>
      <c r="BS772" s="304" t="str">
        <f t="shared" si="578"/>
        <v/>
      </c>
      <c r="BT772" s="28"/>
      <c r="BU772" s="304" t="str">
        <f t="shared" si="579"/>
        <v/>
      </c>
      <c r="BV772" s="304" t="str">
        <f t="shared" si="579"/>
        <v/>
      </c>
      <c r="BW772" s="28"/>
      <c r="BX772" s="91"/>
    </row>
    <row r="773" spans="1:76" s="55" customFormat="1" ht="15.75" x14ac:dyDescent="0.25">
      <c r="A773" s="195">
        <v>77</v>
      </c>
      <c r="B773" s="216" t="str">
        <f t="shared" si="583"/>
        <v>OECD90: FAO. 2017. Global Livestock Environmental Assessment Model (GLEAM)</v>
      </c>
      <c r="C773" s="219" t="s">
        <v>227</v>
      </c>
      <c r="D773" s="375" t="s">
        <v>439</v>
      </c>
      <c r="E773" s="219" t="s">
        <v>96</v>
      </c>
      <c r="F773" s="373" t="s">
        <v>176</v>
      </c>
      <c r="G773" s="220" t="s">
        <v>26</v>
      </c>
      <c r="H773" s="221">
        <v>2010</v>
      </c>
      <c r="I773" s="374"/>
      <c r="J773" s="370">
        <v>27306113651.964149</v>
      </c>
      <c r="K773" s="367" t="s">
        <v>372</v>
      </c>
      <c r="L773" s="337">
        <f>J773/[1]GHGsources!H24*0.001</f>
        <v>6.8545953057623149E-2</v>
      </c>
      <c r="M773" s="335" t="str">
        <f>'[1]Advanced Controls'!$I$158</f>
        <v>t CH4-CO2eq per kg of protein</v>
      </c>
      <c r="N773" s="238"/>
      <c r="O773" s="227" t="s">
        <v>429</v>
      </c>
      <c r="P773" s="122"/>
      <c r="Q773" s="228"/>
      <c r="R773" s="231">
        <f t="shared" si="586"/>
        <v>6.8545953057623149E-2</v>
      </c>
      <c r="S773" s="230">
        <f t="shared" si="584"/>
        <v>6.8545953057623149E-2</v>
      </c>
      <c r="T773" s="231">
        <f t="shared" si="582"/>
        <v>0</v>
      </c>
      <c r="U773" s="232" t="str">
        <f t="shared" si="585"/>
        <v>t CH4-CO2eq per kg of protein</v>
      </c>
      <c r="V773" s="28"/>
      <c r="W773" s="28"/>
      <c r="Y773" s="91"/>
      <c r="AO773" s="91"/>
      <c r="AP773" s="28"/>
      <c r="AQ773" s="28"/>
      <c r="AR773" s="237"/>
      <c r="AS773" s="28"/>
      <c r="AT773" s="304" t="str">
        <f t="shared" si="580"/>
        <v/>
      </c>
      <c r="AU773" s="304" t="str">
        <f t="shared" si="580"/>
        <v/>
      </c>
      <c r="AV773" s="28"/>
      <c r="AW773" s="304">
        <f t="shared" si="571"/>
        <v>6.8545953057623149E-2</v>
      </c>
      <c r="AX773" s="304">
        <f t="shared" si="571"/>
        <v>6.8545953057623149E-2</v>
      </c>
      <c r="AY773" s="28"/>
      <c r="AZ773" s="304" t="str">
        <f t="shared" si="572"/>
        <v/>
      </c>
      <c r="BA773" s="304" t="str">
        <f t="shared" si="572"/>
        <v/>
      </c>
      <c r="BB773" s="28"/>
      <c r="BC773" s="304" t="str">
        <f t="shared" si="573"/>
        <v/>
      </c>
      <c r="BD773" s="304" t="str">
        <f t="shared" si="573"/>
        <v/>
      </c>
      <c r="BE773" s="28"/>
      <c r="BF773" s="304" t="str">
        <f t="shared" si="574"/>
        <v/>
      </c>
      <c r="BG773" s="304" t="str">
        <f t="shared" si="574"/>
        <v/>
      </c>
      <c r="BH773" s="28"/>
      <c r="BI773" s="304" t="str">
        <f t="shared" si="575"/>
        <v/>
      </c>
      <c r="BJ773" s="304" t="str">
        <f t="shared" si="575"/>
        <v/>
      </c>
      <c r="BK773" s="28"/>
      <c r="BL773" s="304" t="str">
        <f t="shared" si="576"/>
        <v/>
      </c>
      <c r="BM773" s="304" t="str">
        <f t="shared" si="576"/>
        <v/>
      </c>
      <c r="BN773" s="28"/>
      <c r="BO773" s="304" t="str">
        <f t="shared" si="577"/>
        <v/>
      </c>
      <c r="BP773" s="304" t="str">
        <f t="shared" si="577"/>
        <v/>
      </c>
      <c r="BQ773" s="28"/>
      <c r="BR773" s="304" t="str">
        <f t="shared" si="578"/>
        <v/>
      </c>
      <c r="BS773" s="304" t="str">
        <f t="shared" si="578"/>
        <v/>
      </c>
      <c r="BT773" s="28"/>
      <c r="BU773" s="304" t="str">
        <f t="shared" si="579"/>
        <v/>
      </c>
      <c r="BV773" s="304" t="str">
        <f t="shared" si="579"/>
        <v/>
      </c>
      <c r="BW773" s="28"/>
      <c r="BX773" s="91"/>
    </row>
    <row r="774" spans="1:76" s="55" customFormat="1" x14ac:dyDescent="0.25">
      <c r="A774" s="195">
        <v>78</v>
      </c>
      <c r="B774" s="216" t="str">
        <f t="shared" si="583"/>
        <v>World: FAO. 2017. Global Livestock Environmental Assessment Model (GLEAM)</v>
      </c>
      <c r="C774" s="219" t="s">
        <v>227</v>
      </c>
      <c r="D774" s="219" t="s">
        <v>440</v>
      </c>
      <c r="E774" s="219" t="s">
        <v>95</v>
      </c>
      <c r="F774" s="371" t="s">
        <v>371</v>
      </c>
      <c r="G774" s="220" t="s">
        <v>26</v>
      </c>
      <c r="H774" s="221">
        <v>2010</v>
      </c>
      <c r="I774" s="240"/>
      <c r="J774" s="370">
        <v>395182930582.01587</v>
      </c>
      <c r="K774" s="367" t="s">
        <v>372</v>
      </c>
      <c r="L774" s="337">
        <f>J774/[1]GHGsources!I14*0.001</f>
        <v>7.3646617402473039E-2</v>
      </c>
      <c r="M774" s="335" t="str">
        <f>'[1]Advanced Controls'!$I$158</f>
        <v>t CH4-CO2eq per kg of protein</v>
      </c>
      <c r="N774" s="238"/>
      <c r="O774" s="227" t="s">
        <v>441</v>
      </c>
      <c r="P774" s="122"/>
      <c r="Q774" s="228"/>
      <c r="R774" s="231">
        <f t="shared" si="586"/>
        <v>7.3646617402473039E-2</v>
      </c>
      <c r="S774" s="230">
        <f t="shared" si="584"/>
        <v>7.3646617402473039E-2</v>
      </c>
      <c r="T774" s="231">
        <f t="shared" si="582"/>
        <v>0</v>
      </c>
      <c r="U774" s="232" t="str">
        <f t="shared" si="585"/>
        <v>t CH4-CO2eq per kg of protein</v>
      </c>
      <c r="V774" s="28"/>
      <c r="W774" s="28"/>
      <c r="Y774" s="91"/>
      <c r="AO774" s="91"/>
      <c r="AP774" s="28"/>
      <c r="AQ774" s="28"/>
      <c r="AR774" s="237"/>
      <c r="AS774" s="28"/>
      <c r="AT774" s="304">
        <f t="shared" si="580"/>
        <v>7.3646617402473039E-2</v>
      </c>
      <c r="AU774" s="304">
        <f t="shared" si="580"/>
        <v>7.3646617402473039E-2</v>
      </c>
      <c r="AV774" s="28"/>
      <c r="AW774" s="304" t="str">
        <f t="shared" si="571"/>
        <v/>
      </c>
      <c r="AX774" s="304" t="str">
        <f t="shared" si="571"/>
        <v/>
      </c>
      <c r="AY774" s="28"/>
      <c r="AZ774" s="304" t="str">
        <f t="shared" si="572"/>
        <v/>
      </c>
      <c r="BA774" s="304" t="str">
        <f t="shared" si="572"/>
        <v/>
      </c>
      <c r="BB774" s="28"/>
      <c r="BC774" s="304" t="str">
        <f t="shared" si="573"/>
        <v/>
      </c>
      <c r="BD774" s="304" t="str">
        <f t="shared" si="573"/>
        <v/>
      </c>
      <c r="BE774" s="28"/>
      <c r="BF774" s="304" t="str">
        <f t="shared" si="574"/>
        <v/>
      </c>
      <c r="BG774" s="304" t="str">
        <f t="shared" si="574"/>
        <v/>
      </c>
      <c r="BH774" s="28"/>
      <c r="BI774" s="304" t="str">
        <f t="shared" si="575"/>
        <v/>
      </c>
      <c r="BJ774" s="304" t="str">
        <f t="shared" si="575"/>
        <v/>
      </c>
      <c r="BK774" s="28"/>
      <c r="BL774" s="304" t="str">
        <f t="shared" si="576"/>
        <v/>
      </c>
      <c r="BM774" s="304" t="str">
        <f t="shared" si="576"/>
        <v/>
      </c>
      <c r="BN774" s="28"/>
      <c r="BO774" s="304" t="str">
        <f t="shared" si="577"/>
        <v/>
      </c>
      <c r="BP774" s="304" t="str">
        <f t="shared" si="577"/>
        <v/>
      </c>
      <c r="BQ774" s="28"/>
      <c r="BR774" s="304" t="str">
        <f t="shared" si="578"/>
        <v/>
      </c>
      <c r="BS774" s="304" t="str">
        <f t="shared" si="578"/>
        <v/>
      </c>
      <c r="BT774" s="28"/>
      <c r="BU774" s="304" t="str">
        <f t="shared" si="579"/>
        <v/>
      </c>
      <c r="BV774" s="304" t="str">
        <f t="shared" si="579"/>
        <v/>
      </c>
      <c r="BW774" s="28"/>
      <c r="BX774" s="91"/>
    </row>
    <row r="775" spans="1:76" s="55" customFormat="1" x14ac:dyDescent="0.25">
      <c r="A775" s="195">
        <v>79</v>
      </c>
      <c r="B775" s="216" t="str">
        <f t="shared" si="583"/>
        <v>Asia (Sans Japan): FAO. 2017. Global Livestock Environmental Assessment Model (GLEAM)</v>
      </c>
      <c r="C775" s="219" t="s">
        <v>227</v>
      </c>
      <c r="D775" s="219" t="s">
        <v>442</v>
      </c>
      <c r="E775" s="219" t="s">
        <v>98</v>
      </c>
      <c r="F775" s="373" t="s">
        <v>375</v>
      </c>
      <c r="G775" s="220" t="s">
        <v>26</v>
      </c>
      <c r="H775" s="221">
        <v>2010</v>
      </c>
      <c r="I775" s="240"/>
      <c r="J775" s="370">
        <v>162521550693.71323</v>
      </c>
      <c r="K775" s="367" t="s">
        <v>372</v>
      </c>
      <c r="L775" s="337">
        <f>J775/[1]GHGsources!I15*0.001</f>
        <v>0.22571210916868428</v>
      </c>
      <c r="M775" s="335" t="str">
        <f>'[1]Advanced Controls'!$I$158</f>
        <v>t CH4-CO2eq per kg of protein</v>
      </c>
      <c r="N775" s="238"/>
      <c r="O775" s="227" t="s">
        <v>441</v>
      </c>
      <c r="P775" s="122"/>
      <c r="Q775" s="228"/>
      <c r="R775" s="231">
        <f t="shared" si="586"/>
        <v>0.22571210916868428</v>
      </c>
      <c r="S775" s="230">
        <f t="shared" si="584"/>
        <v>0.22571210916868428</v>
      </c>
      <c r="T775" s="231" t="str">
        <f t="shared" si="582"/>
        <v/>
      </c>
      <c r="U775" s="232" t="str">
        <f t="shared" si="585"/>
        <v>t CH4-CO2eq per kg of protein</v>
      </c>
      <c r="V775" s="28"/>
      <c r="W775" s="28"/>
      <c r="Y775" s="91"/>
      <c r="AO775" s="91"/>
      <c r="AP775" s="28"/>
      <c r="AQ775" s="28"/>
      <c r="AR775" s="237"/>
      <c r="AS775" s="28"/>
      <c r="AT775" s="304" t="str">
        <f t="shared" si="580"/>
        <v/>
      </c>
      <c r="AU775" s="304" t="str">
        <f t="shared" si="580"/>
        <v/>
      </c>
      <c r="AV775" s="28"/>
      <c r="AW775" s="304" t="str">
        <f t="shared" si="571"/>
        <v/>
      </c>
      <c r="AX775" s="304" t="str">
        <f t="shared" si="571"/>
        <v/>
      </c>
      <c r="AY775" s="28"/>
      <c r="AZ775" s="304" t="str">
        <f t="shared" si="572"/>
        <v/>
      </c>
      <c r="BA775" s="304" t="str">
        <f t="shared" si="572"/>
        <v/>
      </c>
      <c r="BB775" s="28"/>
      <c r="BC775" s="304">
        <f t="shared" si="573"/>
        <v>0.22571210916868428</v>
      </c>
      <c r="BD775" s="304">
        <f t="shared" si="573"/>
        <v>0.22571210916868428</v>
      </c>
      <c r="BE775" s="28"/>
      <c r="BF775" s="304" t="str">
        <f t="shared" si="574"/>
        <v/>
      </c>
      <c r="BG775" s="304" t="str">
        <f t="shared" si="574"/>
        <v/>
      </c>
      <c r="BH775" s="28"/>
      <c r="BI775" s="304" t="str">
        <f t="shared" si="575"/>
        <v/>
      </c>
      <c r="BJ775" s="304" t="str">
        <f t="shared" si="575"/>
        <v/>
      </c>
      <c r="BK775" s="28"/>
      <c r="BL775" s="304" t="str">
        <f t="shared" si="576"/>
        <v/>
      </c>
      <c r="BM775" s="304" t="str">
        <f t="shared" si="576"/>
        <v/>
      </c>
      <c r="BN775" s="28"/>
      <c r="BO775" s="304" t="str">
        <f t="shared" si="577"/>
        <v/>
      </c>
      <c r="BP775" s="304" t="str">
        <f t="shared" si="577"/>
        <v/>
      </c>
      <c r="BQ775" s="28"/>
      <c r="BR775" s="304" t="str">
        <f t="shared" si="578"/>
        <v/>
      </c>
      <c r="BS775" s="304" t="str">
        <f t="shared" si="578"/>
        <v/>
      </c>
      <c r="BT775" s="28"/>
      <c r="BU775" s="304" t="str">
        <f t="shared" si="579"/>
        <v/>
      </c>
      <c r="BV775" s="304" t="str">
        <f t="shared" si="579"/>
        <v/>
      </c>
      <c r="BW775" s="28"/>
      <c r="BX775" s="91"/>
    </row>
    <row r="776" spans="1:76" s="55" customFormat="1" x14ac:dyDescent="0.25">
      <c r="A776" s="195">
        <v>80</v>
      </c>
      <c r="B776" s="216" t="str">
        <f t="shared" si="583"/>
        <v>Eastern Europe: FAO. 2017. Global Livestock Environmental Assessment Model (GLEAM)</v>
      </c>
      <c r="C776" s="219" t="s">
        <v>227</v>
      </c>
      <c r="D776" s="219" t="s">
        <v>443</v>
      </c>
      <c r="E776" s="219" t="s">
        <v>97</v>
      </c>
      <c r="F776" s="373" t="s">
        <v>97</v>
      </c>
      <c r="G776" s="220" t="s">
        <v>26</v>
      </c>
      <c r="H776" s="221">
        <v>2010</v>
      </c>
      <c r="I776" s="240"/>
      <c r="J776" s="370">
        <v>10640185323.994812</v>
      </c>
      <c r="K776" s="367" t="s">
        <v>372</v>
      </c>
      <c r="L776" s="337">
        <f>J776/[1]GHGsources!I16*0.001</f>
        <v>5.1990056191976809E-2</v>
      </c>
      <c r="M776" s="335" t="str">
        <f>'[1]Advanced Controls'!$I$158</f>
        <v>t CH4-CO2eq per kg of protein</v>
      </c>
      <c r="N776" s="238"/>
      <c r="O776" s="227" t="s">
        <v>441</v>
      </c>
      <c r="P776" s="122"/>
      <c r="Q776" s="228"/>
      <c r="R776" s="231">
        <f t="shared" si="586"/>
        <v>5.1990056191976809E-2</v>
      </c>
      <c r="S776" s="230">
        <f t="shared" si="584"/>
        <v>5.1990056191976809E-2</v>
      </c>
      <c r="T776" s="231" t="str">
        <f t="shared" si="582"/>
        <v/>
      </c>
      <c r="U776" s="232" t="str">
        <f t="shared" si="585"/>
        <v>t CH4-CO2eq per kg of protein</v>
      </c>
      <c r="V776" s="28"/>
      <c r="W776" s="28"/>
      <c r="Y776" s="91"/>
      <c r="AO776" s="91"/>
      <c r="AP776" s="28"/>
      <c r="AQ776" s="28"/>
      <c r="AR776" s="237"/>
      <c r="AS776" s="28"/>
      <c r="AT776" s="304" t="str">
        <f t="shared" si="580"/>
        <v/>
      </c>
      <c r="AU776" s="304" t="str">
        <f t="shared" si="580"/>
        <v/>
      </c>
      <c r="AV776" s="28"/>
      <c r="AW776" s="304" t="str">
        <f t="shared" si="571"/>
        <v/>
      </c>
      <c r="AX776" s="304" t="str">
        <f t="shared" si="571"/>
        <v/>
      </c>
      <c r="AY776" s="28"/>
      <c r="AZ776" s="304">
        <f t="shared" si="572"/>
        <v>5.1990056191976809E-2</v>
      </c>
      <c r="BA776" s="304">
        <f t="shared" si="572"/>
        <v>5.1990056191976809E-2</v>
      </c>
      <c r="BB776" s="28"/>
      <c r="BC776" s="304" t="str">
        <f t="shared" si="573"/>
        <v/>
      </c>
      <c r="BD776" s="304" t="str">
        <f t="shared" si="573"/>
        <v/>
      </c>
      <c r="BE776" s="28"/>
      <c r="BF776" s="304" t="str">
        <f t="shared" si="574"/>
        <v/>
      </c>
      <c r="BG776" s="304" t="str">
        <f t="shared" si="574"/>
        <v/>
      </c>
      <c r="BH776" s="28"/>
      <c r="BI776" s="304" t="str">
        <f t="shared" si="575"/>
        <v/>
      </c>
      <c r="BJ776" s="304" t="str">
        <f t="shared" si="575"/>
        <v/>
      </c>
      <c r="BK776" s="28"/>
      <c r="BL776" s="304" t="str">
        <f t="shared" si="576"/>
        <v/>
      </c>
      <c r="BM776" s="304" t="str">
        <f t="shared" si="576"/>
        <v/>
      </c>
      <c r="BN776" s="28"/>
      <c r="BO776" s="304" t="str">
        <f t="shared" si="577"/>
        <v/>
      </c>
      <c r="BP776" s="304" t="str">
        <f t="shared" si="577"/>
        <v/>
      </c>
      <c r="BQ776" s="28"/>
      <c r="BR776" s="304" t="str">
        <f t="shared" si="578"/>
        <v/>
      </c>
      <c r="BS776" s="304" t="str">
        <f t="shared" si="578"/>
        <v/>
      </c>
      <c r="BT776" s="28"/>
      <c r="BU776" s="304" t="str">
        <f t="shared" si="579"/>
        <v/>
      </c>
      <c r="BV776" s="304" t="str">
        <f t="shared" si="579"/>
        <v/>
      </c>
      <c r="BW776" s="28"/>
      <c r="BX776" s="91"/>
    </row>
    <row r="777" spans="1:76" s="55" customFormat="1" x14ac:dyDescent="0.25">
      <c r="A777" s="195">
        <v>81</v>
      </c>
      <c r="B777" s="216" t="str">
        <f t="shared" si="583"/>
        <v>Latin America: FAO. 2017. Global Livestock Environmental Assessment Model (GLEAM)</v>
      </c>
      <c r="C777" s="219" t="s">
        <v>227</v>
      </c>
      <c r="D777" s="219" t="s">
        <v>444</v>
      </c>
      <c r="E777" s="219" t="s">
        <v>100</v>
      </c>
      <c r="F777" s="373" t="s">
        <v>378</v>
      </c>
      <c r="G777" s="220" t="s">
        <v>26</v>
      </c>
      <c r="H777" s="221">
        <v>2010</v>
      </c>
      <c r="I777" s="240"/>
      <c r="J777" s="370">
        <v>345037567659.54462</v>
      </c>
      <c r="K777" s="367" t="s">
        <v>372</v>
      </c>
      <c r="L777" s="337">
        <f>J777/[1]GHGsources!I17*0.001</f>
        <v>0.1843562832643279</v>
      </c>
      <c r="M777" s="335" t="str">
        <f>'[1]Advanced Controls'!$I$158</f>
        <v>t CH4-CO2eq per kg of protein</v>
      </c>
      <c r="N777" s="238"/>
      <c r="O777" s="227" t="s">
        <v>441</v>
      </c>
      <c r="P777" s="122"/>
      <c r="Q777" s="228"/>
      <c r="R777" s="231">
        <f t="shared" si="586"/>
        <v>0.1843562832643279</v>
      </c>
      <c r="S777" s="230">
        <f t="shared" si="584"/>
        <v>0.1843562832643279</v>
      </c>
      <c r="T777" s="231">
        <f t="shared" si="582"/>
        <v>0</v>
      </c>
      <c r="U777" s="232" t="str">
        <f t="shared" si="585"/>
        <v>t CH4-CO2eq per kg of protein</v>
      </c>
      <c r="V777" s="28"/>
      <c r="W777" s="28"/>
      <c r="Y777" s="91"/>
      <c r="AO777" s="91"/>
      <c r="AP777" s="28"/>
      <c r="AQ777" s="28"/>
      <c r="AR777" s="237"/>
      <c r="AS777" s="28"/>
      <c r="AT777" s="304" t="str">
        <f t="shared" si="580"/>
        <v/>
      </c>
      <c r="AU777" s="304" t="str">
        <f t="shared" si="580"/>
        <v/>
      </c>
      <c r="AV777" s="28"/>
      <c r="AW777" s="304" t="str">
        <f t="shared" ref="AW777:AX840" si="587">IF($E777=$AW$83,R777,"")</f>
        <v/>
      </c>
      <c r="AX777" s="304" t="str">
        <f t="shared" si="587"/>
        <v/>
      </c>
      <c r="AY777" s="28"/>
      <c r="AZ777" s="304" t="str">
        <f t="shared" ref="AZ777:BA840" si="588">IF($E777=$AZ$83,R777,"")</f>
        <v/>
      </c>
      <c r="BA777" s="304" t="str">
        <f t="shared" si="588"/>
        <v/>
      </c>
      <c r="BB777" s="28"/>
      <c r="BC777" s="304" t="str">
        <f t="shared" ref="BC777:BD840" si="589">IF($E777=$BC$83,R777,"")</f>
        <v/>
      </c>
      <c r="BD777" s="304" t="str">
        <f t="shared" si="589"/>
        <v/>
      </c>
      <c r="BE777" s="28"/>
      <c r="BF777" s="304" t="str">
        <f t="shared" ref="BF777:BG840" si="590">IF($E777=$BF$83,R777,"")</f>
        <v/>
      </c>
      <c r="BG777" s="304" t="str">
        <f t="shared" si="590"/>
        <v/>
      </c>
      <c r="BH777" s="28"/>
      <c r="BI777" s="304">
        <f t="shared" ref="BI777:BJ840" si="591">IF($E777=$BI$83,R777,"")</f>
        <v>0.1843562832643279</v>
      </c>
      <c r="BJ777" s="304">
        <f t="shared" si="591"/>
        <v>0.1843562832643279</v>
      </c>
      <c r="BK777" s="28"/>
      <c r="BL777" s="304" t="str">
        <f t="shared" ref="BL777:BM840" si="592">IF($E777=$BL$83,R777,"")</f>
        <v/>
      </c>
      <c r="BM777" s="304" t="str">
        <f t="shared" si="592"/>
        <v/>
      </c>
      <c r="BN777" s="28"/>
      <c r="BO777" s="304" t="str">
        <f t="shared" ref="BO777:BP840" si="593">IF($E777=$BO$83,R777,"")</f>
        <v/>
      </c>
      <c r="BP777" s="304" t="str">
        <f t="shared" si="593"/>
        <v/>
      </c>
      <c r="BQ777" s="28"/>
      <c r="BR777" s="304" t="str">
        <f t="shared" ref="BR777:BS840" si="594">IF($E777=$BR$83,R777,"")</f>
        <v/>
      </c>
      <c r="BS777" s="304" t="str">
        <f t="shared" si="594"/>
        <v/>
      </c>
      <c r="BT777" s="28"/>
      <c r="BU777" s="304" t="str">
        <f t="shared" ref="BU777:BV840" si="595">IF($E777=$BU$83,R777,"")</f>
        <v/>
      </c>
      <c r="BV777" s="304" t="str">
        <f t="shared" si="595"/>
        <v/>
      </c>
      <c r="BW777" s="28"/>
      <c r="BX777" s="91"/>
    </row>
    <row r="778" spans="1:76" s="55" customFormat="1" x14ac:dyDescent="0.25">
      <c r="A778" s="195">
        <v>82</v>
      </c>
      <c r="B778" s="216" t="str">
        <f t="shared" si="583"/>
        <v>Middle East and Africa: FAO. 2017. Global Livestock Environmental Assessment Model (GLEAM)</v>
      </c>
      <c r="C778" s="219" t="s">
        <v>227</v>
      </c>
      <c r="D778" s="219" t="s">
        <v>445</v>
      </c>
      <c r="E778" s="219" t="s">
        <v>99</v>
      </c>
      <c r="F778" s="373" t="s">
        <v>380</v>
      </c>
      <c r="G778" s="220" t="s">
        <v>26</v>
      </c>
      <c r="H778" s="221">
        <v>2010</v>
      </c>
      <c r="I778" s="240"/>
      <c r="J778" s="370">
        <v>34517116754.207436</v>
      </c>
      <c r="K778" s="367" t="s">
        <v>372</v>
      </c>
      <c r="L778" s="337">
        <f>J778/[1]GHGsources!I18*0.001</f>
        <v>0.12963391672873958</v>
      </c>
      <c r="M778" s="335" t="str">
        <f>'[1]Advanced Controls'!$I$158</f>
        <v>t CH4-CO2eq per kg of protein</v>
      </c>
      <c r="N778" s="238"/>
      <c r="O778" s="227" t="s">
        <v>441</v>
      </c>
      <c r="P778" s="122"/>
      <c r="Q778" s="228"/>
      <c r="R778" s="231">
        <f t="shared" si="586"/>
        <v>0.12963391672873958</v>
      </c>
      <c r="S778" s="230">
        <f t="shared" si="584"/>
        <v>0.12963391672873958</v>
      </c>
      <c r="T778" s="231">
        <f t="shared" si="582"/>
        <v>0</v>
      </c>
      <c r="U778" s="232" t="str">
        <f t="shared" si="585"/>
        <v>t CH4-CO2eq per kg of protein</v>
      </c>
      <c r="V778" s="28"/>
      <c r="W778" s="28"/>
      <c r="Y778" s="91"/>
      <c r="AO778" s="91"/>
      <c r="AP778" s="28"/>
      <c r="AQ778" s="28"/>
      <c r="AR778" s="237"/>
      <c r="AS778" s="28"/>
      <c r="AT778" s="304" t="str">
        <f t="shared" ref="AT778:AU841" si="596">IF($E778=$AT$47,R778,"")</f>
        <v/>
      </c>
      <c r="AU778" s="304" t="str">
        <f t="shared" si="596"/>
        <v/>
      </c>
      <c r="AV778" s="28"/>
      <c r="AW778" s="304" t="str">
        <f t="shared" si="587"/>
        <v/>
      </c>
      <c r="AX778" s="304" t="str">
        <f t="shared" si="587"/>
        <v/>
      </c>
      <c r="AY778" s="28"/>
      <c r="AZ778" s="304" t="str">
        <f t="shared" si="588"/>
        <v/>
      </c>
      <c r="BA778" s="304" t="str">
        <f t="shared" si="588"/>
        <v/>
      </c>
      <c r="BB778" s="28"/>
      <c r="BC778" s="304" t="str">
        <f t="shared" si="589"/>
        <v/>
      </c>
      <c r="BD778" s="304" t="str">
        <f t="shared" si="589"/>
        <v/>
      </c>
      <c r="BE778" s="28"/>
      <c r="BF778" s="304">
        <f t="shared" si="590"/>
        <v>0.12963391672873958</v>
      </c>
      <c r="BG778" s="304">
        <f t="shared" si="590"/>
        <v>0.12963391672873958</v>
      </c>
      <c r="BH778" s="28"/>
      <c r="BI778" s="304" t="str">
        <f t="shared" si="591"/>
        <v/>
      </c>
      <c r="BJ778" s="304" t="str">
        <f t="shared" si="591"/>
        <v/>
      </c>
      <c r="BK778" s="28"/>
      <c r="BL778" s="304" t="str">
        <f t="shared" si="592"/>
        <v/>
      </c>
      <c r="BM778" s="304" t="str">
        <f t="shared" si="592"/>
        <v/>
      </c>
      <c r="BN778" s="28"/>
      <c r="BO778" s="304" t="str">
        <f t="shared" si="593"/>
        <v/>
      </c>
      <c r="BP778" s="304" t="str">
        <f t="shared" si="593"/>
        <v/>
      </c>
      <c r="BQ778" s="28"/>
      <c r="BR778" s="304" t="str">
        <f t="shared" si="594"/>
        <v/>
      </c>
      <c r="BS778" s="304" t="str">
        <f t="shared" si="594"/>
        <v/>
      </c>
      <c r="BT778" s="28"/>
      <c r="BU778" s="304" t="str">
        <f t="shared" si="595"/>
        <v/>
      </c>
      <c r="BV778" s="304" t="str">
        <f t="shared" si="595"/>
        <v/>
      </c>
      <c r="BW778" s="28"/>
      <c r="BX778" s="91"/>
    </row>
    <row r="779" spans="1:76" s="55" customFormat="1" x14ac:dyDescent="0.25">
      <c r="A779" s="195">
        <v>83</v>
      </c>
      <c r="B779" s="216" t="str">
        <f t="shared" si="583"/>
        <v>OECD90: FAO. 2017. Global Livestock Environmental Assessment Model (GLEAM)</v>
      </c>
      <c r="C779" s="219" t="s">
        <v>227</v>
      </c>
      <c r="D779" s="219" t="s">
        <v>446</v>
      </c>
      <c r="E779" s="219" t="s">
        <v>96</v>
      </c>
      <c r="F779" s="373" t="s">
        <v>179</v>
      </c>
      <c r="G779" s="220" t="s">
        <v>26</v>
      </c>
      <c r="H779" s="221">
        <v>2010</v>
      </c>
      <c r="I779" s="240"/>
      <c r="J779" s="370">
        <v>74570195469.910004</v>
      </c>
      <c r="K779" s="367" t="s">
        <v>372</v>
      </c>
      <c r="L779" s="337">
        <f>J779/[1]GHGsources!I19*0.001</f>
        <v>0.14450447112513076</v>
      </c>
      <c r="M779" s="335" t="str">
        <f>'[1]Advanced Controls'!$I$158</f>
        <v>t CH4-CO2eq per kg of protein</v>
      </c>
      <c r="N779" s="238"/>
      <c r="O779" s="227" t="s">
        <v>441</v>
      </c>
      <c r="P779" s="122"/>
      <c r="Q779" s="228"/>
      <c r="R779" s="231">
        <f t="shared" si="586"/>
        <v>0.14450447112513076</v>
      </c>
      <c r="S779" s="230">
        <f t="shared" si="584"/>
        <v>0.14450447112513076</v>
      </c>
      <c r="T779" s="231">
        <f t="shared" si="582"/>
        <v>0</v>
      </c>
      <c r="U779" s="232" t="str">
        <f t="shared" si="585"/>
        <v>t CH4-CO2eq per kg of protein</v>
      </c>
      <c r="V779" s="28"/>
      <c r="W779" s="28"/>
      <c r="Y779" s="91"/>
      <c r="AO779" s="91"/>
      <c r="AP779" s="28"/>
      <c r="AQ779" s="28"/>
      <c r="AR779" s="237"/>
      <c r="AS779" s="28"/>
      <c r="AT779" s="304" t="str">
        <f t="shared" si="596"/>
        <v/>
      </c>
      <c r="AU779" s="304" t="str">
        <f t="shared" si="596"/>
        <v/>
      </c>
      <c r="AV779" s="28"/>
      <c r="AW779" s="304">
        <f t="shared" si="587"/>
        <v>0.14450447112513076</v>
      </c>
      <c r="AX779" s="304">
        <f t="shared" si="587"/>
        <v>0.14450447112513076</v>
      </c>
      <c r="AY779" s="28"/>
      <c r="AZ779" s="304" t="str">
        <f t="shared" si="588"/>
        <v/>
      </c>
      <c r="BA779" s="304" t="str">
        <f t="shared" si="588"/>
        <v/>
      </c>
      <c r="BB779" s="28"/>
      <c r="BC779" s="304" t="str">
        <f t="shared" si="589"/>
        <v/>
      </c>
      <c r="BD779" s="304" t="str">
        <f t="shared" si="589"/>
        <v/>
      </c>
      <c r="BE779" s="28"/>
      <c r="BF779" s="304" t="str">
        <f t="shared" si="590"/>
        <v/>
      </c>
      <c r="BG779" s="304" t="str">
        <f t="shared" si="590"/>
        <v/>
      </c>
      <c r="BH779" s="28"/>
      <c r="BI779" s="304" t="str">
        <f t="shared" si="591"/>
        <v/>
      </c>
      <c r="BJ779" s="304" t="str">
        <f t="shared" si="591"/>
        <v/>
      </c>
      <c r="BK779" s="28"/>
      <c r="BL779" s="304" t="str">
        <f t="shared" si="592"/>
        <v/>
      </c>
      <c r="BM779" s="304" t="str">
        <f t="shared" si="592"/>
        <v/>
      </c>
      <c r="BN779" s="28"/>
      <c r="BO779" s="304" t="str">
        <f t="shared" si="593"/>
        <v/>
      </c>
      <c r="BP779" s="304" t="str">
        <f t="shared" si="593"/>
        <v/>
      </c>
      <c r="BQ779" s="28"/>
      <c r="BR779" s="304" t="str">
        <f t="shared" si="594"/>
        <v/>
      </c>
      <c r="BS779" s="304" t="str">
        <f t="shared" si="594"/>
        <v/>
      </c>
      <c r="BT779" s="28"/>
      <c r="BU779" s="304" t="str">
        <f t="shared" si="595"/>
        <v/>
      </c>
      <c r="BV779" s="304" t="str">
        <f t="shared" si="595"/>
        <v/>
      </c>
      <c r="BW779" s="28"/>
      <c r="BX779" s="91"/>
    </row>
    <row r="780" spans="1:76" s="55" customFormat="1" x14ac:dyDescent="0.25">
      <c r="A780" s="195">
        <v>84</v>
      </c>
      <c r="B780" s="216" t="str">
        <f t="shared" si="583"/>
        <v>OECD90: FAO. 2017. Global Livestock Environmental Assessment Model (GLEAM)</v>
      </c>
      <c r="C780" s="219" t="s">
        <v>227</v>
      </c>
      <c r="D780" s="219" t="s">
        <v>447</v>
      </c>
      <c r="E780" s="219" t="s">
        <v>96</v>
      </c>
      <c r="F780" s="373" t="s">
        <v>185</v>
      </c>
      <c r="G780" s="220" t="s">
        <v>26</v>
      </c>
      <c r="H780" s="221">
        <v>2010</v>
      </c>
      <c r="I780" s="240"/>
      <c r="J780" s="370">
        <v>15535804140.831326</v>
      </c>
      <c r="K780" s="367" t="s">
        <v>372</v>
      </c>
      <c r="L780" s="337">
        <f>J780/[1]GHGsources!I20*0.001</f>
        <v>0.10925188983763486</v>
      </c>
      <c r="M780" s="335" t="str">
        <f>'[1]Advanced Controls'!$I$158</f>
        <v>t CH4-CO2eq per kg of protein</v>
      </c>
      <c r="N780" s="238"/>
      <c r="O780" s="227" t="s">
        <v>441</v>
      </c>
      <c r="P780" s="122"/>
      <c r="Q780" s="228"/>
      <c r="R780" s="231">
        <f t="shared" si="586"/>
        <v>0.10925188983763486</v>
      </c>
      <c r="S780" s="230">
        <f t="shared" si="584"/>
        <v>0.10925188983763486</v>
      </c>
      <c r="T780" s="231" t="str">
        <f t="shared" si="582"/>
        <v/>
      </c>
      <c r="U780" s="232" t="str">
        <f t="shared" si="585"/>
        <v>t CH4-CO2eq per kg of protein</v>
      </c>
      <c r="V780" s="28"/>
      <c r="W780" s="28"/>
      <c r="Y780" s="91"/>
      <c r="AO780" s="91"/>
      <c r="AP780" s="28"/>
      <c r="AQ780" s="28"/>
      <c r="AR780" s="237"/>
      <c r="AS780" s="28"/>
      <c r="AT780" s="304" t="str">
        <f t="shared" si="596"/>
        <v/>
      </c>
      <c r="AU780" s="304" t="str">
        <f t="shared" si="596"/>
        <v/>
      </c>
      <c r="AV780" s="28"/>
      <c r="AW780" s="304">
        <f t="shared" si="587"/>
        <v>0.10925188983763486</v>
      </c>
      <c r="AX780" s="304">
        <f t="shared" si="587"/>
        <v>0.10925188983763486</v>
      </c>
      <c r="AY780" s="28"/>
      <c r="AZ780" s="304" t="str">
        <f t="shared" si="588"/>
        <v/>
      </c>
      <c r="BA780" s="304" t="str">
        <f t="shared" si="588"/>
        <v/>
      </c>
      <c r="BB780" s="28"/>
      <c r="BC780" s="304" t="str">
        <f t="shared" si="589"/>
        <v/>
      </c>
      <c r="BD780" s="304" t="str">
        <f t="shared" si="589"/>
        <v/>
      </c>
      <c r="BE780" s="28"/>
      <c r="BF780" s="304" t="str">
        <f t="shared" si="590"/>
        <v/>
      </c>
      <c r="BG780" s="304" t="str">
        <f t="shared" si="590"/>
        <v/>
      </c>
      <c r="BH780" s="28"/>
      <c r="BI780" s="304" t="str">
        <f t="shared" si="591"/>
        <v/>
      </c>
      <c r="BJ780" s="304" t="str">
        <f t="shared" si="591"/>
        <v/>
      </c>
      <c r="BK780" s="28"/>
      <c r="BL780" s="304" t="str">
        <f t="shared" si="592"/>
        <v/>
      </c>
      <c r="BM780" s="304" t="str">
        <f t="shared" si="592"/>
        <v/>
      </c>
      <c r="BN780" s="28"/>
      <c r="BO780" s="304" t="str">
        <f t="shared" si="593"/>
        <v/>
      </c>
      <c r="BP780" s="304" t="str">
        <f t="shared" si="593"/>
        <v/>
      </c>
      <c r="BQ780" s="28"/>
      <c r="BR780" s="304" t="str">
        <f t="shared" si="594"/>
        <v/>
      </c>
      <c r="BS780" s="304" t="str">
        <f t="shared" si="594"/>
        <v/>
      </c>
      <c r="BT780" s="28"/>
      <c r="BU780" s="304" t="str">
        <f t="shared" si="595"/>
        <v/>
      </c>
      <c r="BV780" s="304" t="str">
        <f t="shared" si="595"/>
        <v/>
      </c>
      <c r="BW780" s="28"/>
      <c r="BX780" s="91"/>
    </row>
    <row r="781" spans="1:76" s="55" customFormat="1" x14ac:dyDescent="0.25">
      <c r="A781" s="195">
        <v>85</v>
      </c>
      <c r="B781" s="216" t="str">
        <f t="shared" si="583"/>
        <v>Eastern Europe: FAO. 2017. Global Livestock Environmental Assessment Model (GLEAM)</v>
      </c>
      <c r="C781" s="219" t="s">
        <v>227</v>
      </c>
      <c r="D781" s="219" t="s">
        <v>448</v>
      </c>
      <c r="E781" s="219" t="s">
        <v>97</v>
      </c>
      <c r="F781" s="373" t="s">
        <v>384</v>
      </c>
      <c r="G781" s="220" t="s">
        <v>26</v>
      </c>
      <c r="H781" s="221">
        <v>2010</v>
      </c>
      <c r="I781" s="240"/>
      <c r="J781" s="370">
        <v>7271050840.7294083</v>
      </c>
      <c r="K781" s="367" t="s">
        <v>372</v>
      </c>
      <c r="L781" s="337">
        <f>J781/[1]GHGsources!I21*0.001</f>
        <v>5.1779332001562525E-2</v>
      </c>
      <c r="M781" s="335" t="str">
        <f>'[1]Advanced Controls'!$I$158</f>
        <v>t CH4-CO2eq per kg of protein</v>
      </c>
      <c r="N781" s="238"/>
      <c r="O781" s="227" t="s">
        <v>441</v>
      </c>
      <c r="P781" s="122"/>
      <c r="Q781" s="228"/>
      <c r="R781" s="231">
        <f t="shared" si="586"/>
        <v>5.1779332001562525E-2</v>
      </c>
      <c r="S781" s="230">
        <f t="shared" si="584"/>
        <v>5.1779332001562525E-2</v>
      </c>
      <c r="T781" s="231">
        <f t="shared" si="582"/>
        <v>0</v>
      </c>
      <c r="U781" s="232" t="str">
        <f t="shared" si="585"/>
        <v>t CH4-CO2eq per kg of protein</v>
      </c>
      <c r="V781" s="28"/>
      <c r="W781" s="28"/>
      <c r="Y781" s="91"/>
      <c r="AO781" s="91"/>
      <c r="AP781" s="28"/>
      <c r="AQ781" s="28"/>
      <c r="AR781" s="237"/>
      <c r="AS781" s="28"/>
      <c r="AT781" s="304" t="str">
        <f t="shared" si="596"/>
        <v/>
      </c>
      <c r="AU781" s="304" t="str">
        <f t="shared" si="596"/>
        <v/>
      </c>
      <c r="AV781" s="28"/>
      <c r="AW781" s="304" t="str">
        <f t="shared" si="587"/>
        <v/>
      </c>
      <c r="AX781" s="304" t="str">
        <f t="shared" si="587"/>
        <v/>
      </c>
      <c r="AY781" s="28"/>
      <c r="AZ781" s="304">
        <f t="shared" si="588"/>
        <v>5.1779332001562525E-2</v>
      </c>
      <c r="BA781" s="304">
        <f t="shared" si="588"/>
        <v>5.1779332001562525E-2</v>
      </c>
      <c r="BB781" s="28"/>
      <c r="BC781" s="304" t="str">
        <f t="shared" si="589"/>
        <v/>
      </c>
      <c r="BD781" s="304" t="str">
        <f t="shared" si="589"/>
        <v/>
      </c>
      <c r="BE781" s="28"/>
      <c r="BF781" s="304" t="str">
        <f t="shared" si="590"/>
        <v/>
      </c>
      <c r="BG781" s="304" t="str">
        <f t="shared" si="590"/>
        <v/>
      </c>
      <c r="BH781" s="28"/>
      <c r="BI781" s="304" t="str">
        <f t="shared" si="591"/>
        <v/>
      </c>
      <c r="BJ781" s="304" t="str">
        <f t="shared" si="591"/>
        <v/>
      </c>
      <c r="BK781" s="28"/>
      <c r="BL781" s="304" t="str">
        <f t="shared" si="592"/>
        <v/>
      </c>
      <c r="BM781" s="304" t="str">
        <f t="shared" si="592"/>
        <v/>
      </c>
      <c r="BN781" s="28"/>
      <c r="BO781" s="304" t="str">
        <f t="shared" si="593"/>
        <v/>
      </c>
      <c r="BP781" s="304" t="str">
        <f t="shared" si="593"/>
        <v/>
      </c>
      <c r="BQ781" s="28"/>
      <c r="BR781" s="304" t="str">
        <f t="shared" si="594"/>
        <v/>
      </c>
      <c r="BS781" s="304" t="str">
        <f t="shared" si="594"/>
        <v/>
      </c>
      <c r="BT781" s="28"/>
      <c r="BU781" s="304" t="str">
        <f t="shared" si="595"/>
        <v/>
      </c>
      <c r="BV781" s="304" t="str">
        <f t="shared" si="595"/>
        <v/>
      </c>
      <c r="BW781" s="28"/>
      <c r="BX781" s="91"/>
    </row>
    <row r="782" spans="1:76" s="55" customFormat="1" x14ac:dyDescent="0.25">
      <c r="A782" s="195">
        <v>86</v>
      </c>
      <c r="B782" s="216" t="str">
        <f t="shared" si="583"/>
        <v>Asia (Sans Japan): FAO. 2017. Global Livestock Environmental Assessment Model (GLEAM)</v>
      </c>
      <c r="C782" s="219" t="s">
        <v>227</v>
      </c>
      <c r="D782" s="219" t="s">
        <v>449</v>
      </c>
      <c r="E782" s="219" t="s">
        <v>98</v>
      </c>
      <c r="F782" s="373" t="s">
        <v>386</v>
      </c>
      <c r="G782" s="220" t="s">
        <v>26</v>
      </c>
      <c r="H782" s="221">
        <v>2010</v>
      </c>
      <c r="I782" s="240"/>
      <c r="J782" s="370">
        <v>192873885656.66</v>
      </c>
      <c r="K782" s="367" t="s">
        <v>372</v>
      </c>
      <c r="L782" s="337">
        <f>J782/[1]GHGsources!I22*0.001</f>
        <v>0.35323495251978987</v>
      </c>
      <c r="M782" s="335" t="str">
        <f>'[1]Advanced Controls'!$I$158</f>
        <v>t CH4-CO2eq per kg of protein</v>
      </c>
      <c r="N782" s="238"/>
      <c r="O782" s="227" t="s">
        <v>441</v>
      </c>
      <c r="P782" s="122"/>
      <c r="Q782" s="228"/>
      <c r="R782" s="231">
        <f t="shared" si="586"/>
        <v>0.35323495251978987</v>
      </c>
      <c r="S782" s="230">
        <f t="shared" si="584"/>
        <v>0.35323495251978987</v>
      </c>
      <c r="T782" s="231" t="str">
        <f t="shared" si="582"/>
        <v/>
      </c>
      <c r="U782" s="232" t="str">
        <f t="shared" si="585"/>
        <v>t CH4-CO2eq per kg of protein</v>
      </c>
      <c r="V782" s="28"/>
      <c r="W782" s="28"/>
      <c r="Y782" s="91"/>
      <c r="AO782" s="91"/>
      <c r="AP782" s="28"/>
      <c r="AQ782" s="28"/>
      <c r="AR782" s="237"/>
      <c r="AS782" s="28"/>
      <c r="AT782" s="304" t="str">
        <f t="shared" si="596"/>
        <v/>
      </c>
      <c r="AU782" s="304" t="str">
        <f t="shared" si="596"/>
        <v/>
      </c>
      <c r="AV782" s="28"/>
      <c r="AW782" s="304" t="str">
        <f t="shared" si="587"/>
        <v/>
      </c>
      <c r="AX782" s="304" t="str">
        <f t="shared" si="587"/>
        <v/>
      </c>
      <c r="AY782" s="28"/>
      <c r="AZ782" s="304" t="str">
        <f t="shared" si="588"/>
        <v/>
      </c>
      <c r="BA782" s="304" t="str">
        <f t="shared" si="588"/>
        <v/>
      </c>
      <c r="BB782" s="28"/>
      <c r="BC782" s="304">
        <f t="shared" si="589"/>
        <v>0.35323495251978987</v>
      </c>
      <c r="BD782" s="304">
        <f t="shared" si="589"/>
        <v>0.35323495251978987</v>
      </c>
      <c r="BE782" s="28"/>
      <c r="BF782" s="304" t="str">
        <f t="shared" si="590"/>
        <v/>
      </c>
      <c r="BG782" s="304" t="str">
        <f t="shared" si="590"/>
        <v/>
      </c>
      <c r="BH782" s="28"/>
      <c r="BI782" s="304" t="str">
        <f t="shared" si="591"/>
        <v/>
      </c>
      <c r="BJ782" s="304" t="str">
        <f t="shared" si="591"/>
        <v/>
      </c>
      <c r="BK782" s="28"/>
      <c r="BL782" s="304" t="str">
        <f t="shared" si="592"/>
        <v/>
      </c>
      <c r="BM782" s="304" t="str">
        <f t="shared" si="592"/>
        <v/>
      </c>
      <c r="BN782" s="28"/>
      <c r="BO782" s="304" t="str">
        <f t="shared" si="593"/>
        <v/>
      </c>
      <c r="BP782" s="304" t="str">
        <f t="shared" si="593"/>
        <v/>
      </c>
      <c r="BQ782" s="28"/>
      <c r="BR782" s="304" t="str">
        <f t="shared" si="594"/>
        <v/>
      </c>
      <c r="BS782" s="304" t="str">
        <f t="shared" si="594"/>
        <v/>
      </c>
      <c r="BT782" s="28"/>
      <c r="BU782" s="304" t="str">
        <f t="shared" si="595"/>
        <v/>
      </c>
      <c r="BV782" s="304" t="str">
        <f t="shared" si="595"/>
        <v/>
      </c>
      <c r="BW782" s="28"/>
      <c r="BX782" s="91"/>
    </row>
    <row r="783" spans="1:76" s="55" customFormat="1" x14ac:dyDescent="0.25">
      <c r="A783" s="195">
        <v>87</v>
      </c>
      <c r="B783" s="216" t="str">
        <f t="shared" si="583"/>
        <v>Middle East and Africa: FAO. 2017. Global Livestock Environmental Assessment Model (GLEAM)</v>
      </c>
      <c r="C783" s="219" t="s">
        <v>227</v>
      </c>
      <c r="D783" s="219" t="s">
        <v>450</v>
      </c>
      <c r="E783" s="219" t="s">
        <v>99</v>
      </c>
      <c r="F783" s="373" t="s">
        <v>388</v>
      </c>
      <c r="G783" s="220" t="s">
        <v>26</v>
      </c>
      <c r="H783" s="221">
        <v>2010</v>
      </c>
      <c r="I783" s="240"/>
      <c r="J783" s="370">
        <v>34609558781.639999</v>
      </c>
      <c r="K783" s="367" t="s">
        <v>372</v>
      </c>
      <c r="L783" s="337">
        <f>J783/[1]GHGsources!I23*0.001</f>
        <v>0.18083562877254999</v>
      </c>
      <c r="M783" s="335" t="str">
        <f>'[1]Advanced Controls'!$I$158</f>
        <v>t CH4-CO2eq per kg of protein</v>
      </c>
      <c r="N783" s="238"/>
      <c r="O783" s="227" t="s">
        <v>441</v>
      </c>
      <c r="P783" s="122"/>
      <c r="Q783" s="228"/>
      <c r="R783" s="231">
        <f t="shared" si="586"/>
        <v>0.18083562877254999</v>
      </c>
      <c r="S783" s="230">
        <f t="shared" si="584"/>
        <v>0.18083562877254999</v>
      </c>
      <c r="T783" s="231">
        <f t="shared" si="582"/>
        <v>0</v>
      </c>
      <c r="U783" s="232" t="str">
        <f t="shared" si="585"/>
        <v>t CH4-CO2eq per kg of protein</v>
      </c>
      <c r="V783" s="28"/>
      <c r="W783" s="28"/>
      <c r="Y783" s="91"/>
      <c r="AO783" s="91"/>
      <c r="AP783" s="28"/>
      <c r="AQ783" s="28"/>
      <c r="AR783" s="237"/>
      <c r="AS783" s="28"/>
      <c r="AT783" s="304" t="str">
        <f t="shared" si="596"/>
        <v/>
      </c>
      <c r="AU783" s="304" t="str">
        <f t="shared" si="596"/>
        <v/>
      </c>
      <c r="AV783" s="28"/>
      <c r="AW783" s="304" t="str">
        <f t="shared" si="587"/>
        <v/>
      </c>
      <c r="AX783" s="304" t="str">
        <f t="shared" si="587"/>
        <v/>
      </c>
      <c r="AY783" s="28"/>
      <c r="AZ783" s="304" t="str">
        <f t="shared" si="588"/>
        <v/>
      </c>
      <c r="BA783" s="304" t="str">
        <f t="shared" si="588"/>
        <v/>
      </c>
      <c r="BB783" s="28"/>
      <c r="BC783" s="304" t="str">
        <f t="shared" si="589"/>
        <v/>
      </c>
      <c r="BD783" s="304" t="str">
        <f t="shared" si="589"/>
        <v/>
      </c>
      <c r="BE783" s="28"/>
      <c r="BF783" s="304">
        <f t="shared" si="590"/>
        <v>0.18083562877254999</v>
      </c>
      <c r="BG783" s="304">
        <f t="shared" si="590"/>
        <v>0.18083562877254999</v>
      </c>
      <c r="BH783" s="28"/>
      <c r="BI783" s="304" t="str">
        <f t="shared" si="591"/>
        <v/>
      </c>
      <c r="BJ783" s="304" t="str">
        <f t="shared" si="591"/>
        <v/>
      </c>
      <c r="BK783" s="28"/>
      <c r="BL783" s="304" t="str">
        <f t="shared" si="592"/>
        <v/>
      </c>
      <c r="BM783" s="304" t="str">
        <f t="shared" si="592"/>
        <v/>
      </c>
      <c r="BN783" s="28"/>
      <c r="BO783" s="304" t="str">
        <f t="shared" si="593"/>
        <v/>
      </c>
      <c r="BP783" s="304" t="str">
        <f t="shared" si="593"/>
        <v/>
      </c>
      <c r="BQ783" s="28"/>
      <c r="BR783" s="304" t="str">
        <f t="shared" si="594"/>
        <v/>
      </c>
      <c r="BS783" s="304" t="str">
        <f t="shared" si="594"/>
        <v/>
      </c>
      <c r="BT783" s="28"/>
      <c r="BU783" s="304" t="str">
        <f t="shared" si="595"/>
        <v/>
      </c>
      <c r="BV783" s="304" t="str">
        <f t="shared" si="595"/>
        <v/>
      </c>
      <c r="BW783" s="28"/>
      <c r="BX783" s="91"/>
    </row>
    <row r="784" spans="1:76" s="55" customFormat="1" x14ac:dyDescent="0.25">
      <c r="A784" s="195">
        <v>88</v>
      </c>
      <c r="B784" s="216" t="str">
        <f t="shared" si="583"/>
        <v>OECD90: FAO. 2017. Global Livestock Environmental Assessment Model (GLEAM)</v>
      </c>
      <c r="C784" s="219" t="s">
        <v>227</v>
      </c>
      <c r="D784" s="219" t="s">
        <v>451</v>
      </c>
      <c r="E784" s="219" t="s">
        <v>96</v>
      </c>
      <c r="F784" s="373" t="s">
        <v>176</v>
      </c>
      <c r="G784" s="220" t="s">
        <v>26</v>
      </c>
      <c r="H784" s="221">
        <v>2010</v>
      </c>
      <c r="I784" s="240"/>
      <c r="J784" s="370">
        <v>48472069709.52272</v>
      </c>
      <c r="K784" s="367" t="s">
        <v>372</v>
      </c>
      <c r="L784" s="337">
        <f>J784/[1]GHGsources!I24*0.001</f>
        <v>6.3170897194714984E-2</v>
      </c>
      <c r="M784" s="335" t="str">
        <f>'[1]Advanced Controls'!$I$158</f>
        <v>t CH4-CO2eq per kg of protein</v>
      </c>
      <c r="N784" s="238"/>
      <c r="O784" s="227" t="s">
        <v>441</v>
      </c>
      <c r="P784" s="122"/>
      <c r="Q784" s="228"/>
      <c r="R784" s="231">
        <f t="shared" si="586"/>
        <v>6.3170897194714984E-2</v>
      </c>
      <c r="S784" s="230">
        <f t="shared" si="584"/>
        <v>6.3170897194714984E-2</v>
      </c>
      <c r="T784" s="231">
        <f t="shared" si="582"/>
        <v>0</v>
      </c>
      <c r="U784" s="232" t="str">
        <f t="shared" si="585"/>
        <v>t CH4-CO2eq per kg of protein</v>
      </c>
      <c r="V784" s="28"/>
      <c r="W784" s="28"/>
      <c r="Y784" s="91"/>
      <c r="AO784" s="91"/>
      <c r="AP784" s="28"/>
      <c r="AQ784" s="28"/>
      <c r="AR784" s="237"/>
      <c r="AS784" s="28"/>
      <c r="AT784" s="304" t="str">
        <f t="shared" si="596"/>
        <v/>
      </c>
      <c r="AU784" s="304" t="str">
        <f t="shared" si="596"/>
        <v/>
      </c>
      <c r="AV784" s="28"/>
      <c r="AW784" s="304">
        <f t="shared" si="587"/>
        <v>6.3170897194714984E-2</v>
      </c>
      <c r="AX784" s="304">
        <f t="shared" si="587"/>
        <v>6.3170897194714984E-2</v>
      </c>
      <c r="AY784" s="28"/>
      <c r="AZ784" s="304" t="str">
        <f t="shared" si="588"/>
        <v/>
      </c>
      <c r="BA784" s="304" t="str">
        <f t="shared" si="588"/>
        <v/>
      </c>
      <c r="BB784" s="28"/>
      <c r="BC784" s="304" t="str">
        <f t="shared" si="589"/>
        <v/>
      </c>
      <c r="BD784" s="304" t="str">
        <f t="shared" si="589"/>
        <v/>
      </c>
      <c r="BE784" s="28"/>
      <c r="BF784" s="304" t="str">
        <f t="shared" si="590"/>
        <v/>
      </c>
      <c r="BG784" s="304" t="str">
        <f t="shared" si="590"/>
        <v/>
      </c>
      <c r="BH784" s="28"/>
      <c r="BI784" s="304" t="str">
        <f t="shared" si="591"/>
        <v/>
      </c>
      <c r="BJ784" s="304" t="str">
        <f t="shared" si="591"/>
        <v/>
      </c>
      <c r="BK784" s="28"/>
      <c r="BL784" s="304" t="str">
        <f t="shared" si="592"/>
        <v/>
      </c>
      <c r="BM784" s="304" t="str">
        <f t="shared" si="592"/>
        <v/>
      </c>
      <c r="BN784" s="28"/>
      <c r="BO784" s="304" t="str">
        <f t="shared" si="593"/>
        <v/>
      </c>
      <c r="BP784" s="304" t="str">
        <f t="shared" si="593"/>
        <v/>
      </c>
      <c r="BQ784" s="28"/>
      <c r="BR784" s="304" t="str">
        <f t="shared" si="594"/>
        <v/>
      </c>
      <c r="BS784" s="304" t="str">
        <f t="shared" si="594"/>
        <v/>
      </c>
      <c r="BT784" s="28"/>
      <c r="BU784" s="304" t="str">
        <f t="shared" si="595"/>
        <v/>
      </c>
      <c r="BV784" s="304" t="str">
        <f t="shared" si="595"/>
        <v/>
      </c>
      <c r="BW784" s="28"/>
      <c r="BX784" s="91"/>
    </row>
    <row r="785" spans="1:76" s="55" customFormat="1" x14ac:dyDescent="0.25">
      <c r="A785" s="195">
        <v>89</v>
      </c>
      <c r="B785" s="216" t="str">
        <f t="shared" si="583"/>
        <v>World: FAO. 2017. Global Livestock Environmental Assessment Model (GLEAM)</v>
      </c>
      <c r="C785" s="219" t="s">
        <v>227</v>
      </c>
      <c r="D785" s="219" t="s">
        <v>452</v>
      </c>
      <c r="E785" s="219" t="s">
        <v>95</v>
      </c>
      <c r="F785" s="371" t="s">
        <v>371</v>
      </c>
      <c r="G785" s="220" t="s">
        <v>26</v>
      </c>
      <c r="H785" s="221">
        <v>2010</v>
      </c>
      <c r="I785" s="240"/>
      <c r="J785" s="376">
        <v>1913180432321.6716</v>
      </c>
      <c r="K785" s="367" t="s">
        <v>372</v>
      </c>
      <c r="L785" s="337">
        <f>J785/[1]GHGsources!L14*0.001</f>
        <v>0.10132895791260146</v>
      </c>
      <c r="M785" s="335" t="str">
        <f>'[1]Advanced Controls'!$I$158</f>
        <v>t CH4-CO2eq per kg of protein</v>
      </c>
      <c r="N785" s="238"/>
      <c r="O785" s="227" t="s">
        <v>453</v>
      </c>
      <c r="P785" s="122"/>
      <c r="Q785" s="228"/>
      <c r="R785" s="231">
        <f t="shared" si="586"/>
        <v>0.10132895791260146</v>
      </c>
      <c r="S785" s="230">
        <f t="shared" si="584"/>
        <v>0.10132895791260146</v>
      </c>
      <c r="T785" s="231">
        <f>IF(OR(Q785="Y",IFERROR(R785&gt;R1225+R1289*$AA$35,0),IFERROR(R785&lt;R1225-R1289*$AA$35,0)),"",IFERROR(R785*N785,""))</f>
        <v>0</v>
      </c>
      <c r="U785" s="232" t="str">
        <f t="shared" si="585"/>
        <v>t CH4-CO2eq per kg of protein</v>
      </c>
      <c r="V785" s="28"/>
      <c r="W785" s="28"/>
      <c r="Y785" s="91"/>
      <c r="AO785" s="91"/>
      <c r="AP785" s="28"/>
      <c r="AQ785" s="28"/>
      <c r="AR785" s="237"/>
      <c r="AS785" s="28"/>
      <c r="AT785" s="304">
        <f t="shared" si="596"/>
        <v>0.10132895791260146</v>
      </c>
      <c r="AU785" s="304">
        <f t="shared" si="596"/>
        <v>0.10132895791260146</v>
      </c>
      <c r="AV785" s="28"/>
      <c r="AW785" s="304" t="str">
        <f t="shared" si="587"/>
        <v/>
      </c>
      <c r="AX785" s="304" t="str">
        <f t="shared" si="587"/>
        <v/>
      </c>
      <c r="AY785" s="28"/>
      <c r="AZ785" s="304" t="str">
        <f t="shared" si="588"/>
        <v/>
      </c>
      <c r="BA785" s="304" t="str">
        <f t="shared" si="588"/>
        <v/>
      </c>
      <c r="BB785" s="28"/>
      <c r="BC785" s="304" t="str">
        <f t="shared" si="589"/>
        <v/>
      </c>
      <c r="BD785" s="304" t="str">
        <f t="shared" si="589"/>
        <v/>
      </c>
      <c r="BE785" s="28"/>
      <c r="BF785" s="304" t="str">
        <f t="shared" si="590"/>
        <v/>
      </c>
      <c r="BG785" s="304" t="str">
        <f t="shared" si="590"/>
        <v/>
      </c>
      <c r="BH785" s="28"/>
      <c r="BI785" s="304" t="str">
        <f t="shared" si="591"/>
        <v/>
      </c>
      <c r="BJ785" s="304" t="str">
        <f t="shared" si="591"/>
        <v/>
      </c>
      <c r="BK785" s="28"/>
      <c r="BL785" s="304" t="str">
        <f t="shared" si="592"/>
        <v/>
      </c>
      <c r="BM785" s="304" t="str">
        <f t="shared" si="592"/>
        <v/>
      </c>
      <c r="BN785" s="28"/>
      <c r="BO785" s="304" t="str">
        <f t="shared" si="593"/>
        <v/>
      </c>
      <c r="BP785" s="304" t="str">
        <f t="shared" si="593"/>
        <v/>
      </c>
      <c r="BQ785" s="28"/>
      <c r="BR785" s="304" t="str">
        <f t="shared" si="594"/>
        <v/>
      </c>
      <c r="BS785" s="304" t="str">
        <f t="shared" si="594"/>
        <v/>
      </c>
      <c r="BT785" s="28"/>
      <c r="BU785" s="304" t="str">
        <f t="shared" si="595"/>
        <v/>
      </c>
      <c r="BV785" s="304" t="str">
        <f t="shared" si="595"/>
        <v/>
      </c>
      <c r="BW785" s="28"/>
      <c r="BX785" s="91"/>
    </row>
    <row r="786" spans="1:76" s="55" customFormat="1" x14ac:dyDescent="0.25">
      <c r="A786" s="195">
        <v>90</v>
      </c>
      <c r="B786" s="216" t="str">
        <f t="shared" si="583"/>
        <v>Asia (Sans Japan): FAO. 2017. Global Livestock Environmental Assessment Model (GLEAM)</v>
      </c>
      <c r="C786" s="219" t="s">
        <v>227</v>
      </c>
      <c r="D786" s="219" t="s">
        <v>454</v>
      </c>
      <c r="E786" s="219" t="s">
        <v>98</v>
      </c>
      <c r="F786" s="373" t="s">
        <v>375</v>
      </c>
      <c r="G786" s="220" t="s">
        <v>26</v>
      </c>
      <c r="H786" s="221">
        <v>2010</v>
      </c>
      <c r="I786" s="240"/>
      <c r="J786" s="376">
        <v>160468490755.43484</v>
      </c>
      <c r="K786" s="367" t="s">
        <v>372</v>
      </c>
      <c r="L786" s="337">
        <f>J786/[1]GHGsources!L15*0.001</f>
        <v>9.2475300383680945E-2</v>
      </c>
      <c r="M786" s="335" t="str">
        <f>'[1]Advanced Controls'!$I$158</f>
        <v>t CH4-CO2eq per kg of protein</v>
      </c>
      <c r="N786" s="238"/>
      <c r="O786" s="227" t="s">
        <v>453</v>
      </c>
      <c r="P786" s="122"/>
      <c r="Q786" s="228"/>
      <c r="R786" s="231">
        <f t="shared" si="586"/>
        <v>9.2475300383680945E-2</v>
      </c>
      <c r="S786" s="230">
        <f t="shared" si="584"/>
        <v>9.2475300383680945E-2</v>
      </c>
      <c r="T786" s="231">
        <f>IF(OR(Q786="Y",IFERROR(R786&gt;R1226+R1290*$AA$35,0),IFERROR(R786&lt;R1226-R1290*$AA$35,0)),"",IFERROR(R786*N786,""))</f>
        <v>0</v>
      </c>
      <c r="U786" s="232" t="str">
        <f t="shared" si="585"/>
        <v>t CH4-CO2eq per kg of protein</v>
      </c>
      <c r="V786" s="28"/>
      <c r="W786" s="28"/>
      <c r="Y786" s="91"/>
      <c r="AO786" s="91"/>
      <c r="AP786" s="28"/>
      <c r="AQ786" s="28"/>
      <c r="AR786" s="237"/>
      <c r="AS786" s="28"/>
      <c r="AT786" s="304" t="str">
        <f t="shared" si="596"/>
        <v/>
      </c>
      <c r="AU786" s="304" t="str">
        <f t="shared" si="596"/>
        <v/>
      </c>
      <c r="AV786" s="28"/>
      <c r="AW786" s="304" t="str">
        <f t="shared" si="587"/>
        <v/>
      </c>
      <c r="AX786" s="304" t="str">
        <f t="shared" si="587"/>
        <v/>
      </c>
      <c r="AY786" s="28"/>
      <c r="AZ786" s="304" t="str">
        <f t="shared" si="588"/>
        <v/>
      </c>
      <c r="BA786" s="304" t="str">
        <f t="shared" si="588"/>
        <v/>
      </c>
      <c r="BB786" s="28"/>
      <c r="BC786" s="304">
        <f t="shared" si="589"/>
        <v>9.2475300383680945E-2</v>
      </c>
      <c r="BD786" s="304">
        <f t="shared" si="589"/>
        <v>9.2475300383680945E-2</v>
      </c>
      <c r="BE786" s="28"/>
      <c r="BF786" s="304" t="str">
        <f t="shared" si="590"/>
        <v/>
      </c>
      <c r="BG786" s="304" t="str">
        <f t="shared" si="590"/>
        <v/>
      </c>
      <c r="BH786" s="28"/>
      <c r="BI786" s="304" t="str">
        <f t="shared" si="591"/>
        <v/>
      </c>
      <c r="BJ786" s="304" t="str">
        <f t="shared" si="591"/>
        <v/>
      </c>
      <c r="BK786" s="28"/>
      <c r="BL786" s="304" t="str">
        <f t="shared" si="592"/>
        <v/>
      </c>
      <c r="BM786" s="304" t="str">
        <f t="shared" si="592"/>
        <v/>
      </c>
      <c r="BN786" s="28"/>
      <c r="BO786" s="304" t="str">
        <f t="shared" si="593"/>
        <v/>
      </c>
      <c r="BP786" s="304" t="str">
        <f t="shared" si="593"/>
        <v/>
      </c>
      <c r="BQ786" s="28"/>
      <c r="BR786" s="304" t="str">
        <f t="shared" si="594"/>
        <v/>
      </c>
      <c r="BS786" s="304" t="str">
        <f t="shared" si="594"/>
        <v/>
      </c>
      <c r="BT786" s="28"/>
      <c r="BU786" s="304" t="str">
        <f t="shared" si="595"/>
        <v/>
      </c>
      <c r="BV786" s="304" t="str">
        <f t="shared" si="595"/>
        <v/>
      </c>
      <c r="BW786" s="28"/>
      <c r="BX786" s="91"/>
    </row>
    <row r="787" spans="1:76" s="55" customFormat="1" x14ac:dyDescent="0.25">
      <c r="A787" s="195">
        <v>91</v>
      </c>
      <c r="B787" s="216" t="str">
        <f t="shared" si="583"/>
        <v>Eastern Europe: FAO. 2017. Global Livestock Environmental Assessment Model (GLEAM)</v>
      </c>
      <c r="C787" s="219" t="s">
        <v>227</v>
      </c>
      <c r="D787" s="219" t="s">
        <v>455</v>
      </c>
      <c r="E787" s="219" t="s">
        <v>97</v>
      </c>
      <c r="F787" s="373" t="s">
        <v>97</v>
      </c>
      <c r="G787" s="220" t="s">
        <v>26</v>
      </c>
      <c r="H787" s="221">
        <v>2010</v>
      </c>
      <c r="I787" s="240"/>
      <c r="J787" s="376">
        <v>160468490755.43484</v>
      </c>
      <c r="K787" s="367" t="s">
        <v>372</v>
      </c>
      <c r="L787" s="337">
        <f>J787/[1]GHGsources!L16*0.001</f>
        <v>0.14875839191837181</v>
      </c>
      <c r="M787" s="335" t="str">
        <f>'[1]Advanced Controls'!$I$158</f>
        <v>t CH4-CO2eq per kg of protein</v>
      </c>
      <c r="N787" s="238"/>
      <c r="O787" s="227" t="s">
        <v>453</v>
      </c>
      <c r="P787" s="122"/>
      <c r="Q787" s="228"/>
      <c r="R787" s="231">
        <f t="shared" si="586"/>
        <v>0.14875839191837181</v>
      </c>
      <c r="S787" s="230">
        <f t="shared" si="584"/>
        <v>0.14875839191837181</v>
      </c>
      <c r="T787" s="231" t="str">
        <f>IF(OR(Q787="Y",IFERROR(R787&gt;R1227+R1291*$AA$35,0),IFERROR(R787&lt;R1227-R1291*$AA$35,0)),"",IFERROR(R787*N787,""))</f>
        <v/>
      </c>
      <c r="U787" s="232" t="str">
        <f t="shared" si="585"/>
        <v>t CH4-CO2eq per kg of protein</v>
      </c>
      <c r="V787" s="28"/>
      <c r="W787" s="28"/>
      <c r="Y787" s="91"/>
      <c r="AO787" s="91"/>
      <c r="AP787" s="28"/>
      <c r="AQ787" s="28"/>
      <c r="AR787" s="237"/>
      <c r="AS787" s="28"/>
      <c r="AT787" s="304" t="str">
        <f t="shared" si="596"/>
        <v/>
      </c>
      <c r="AU787" s="304" t="str">
        <f t="shared" si="596"/>
        <v/>
      </c>
      <c r="AV787" s="28"/>
      <c r="AW787" s="304" t="str">
        <f t="shared" si="587"/>
        <v/>
      </c>
      <c r="AX787" s="304" t="str">
        <f t="shared" si="587"/>
        <v/>
      </c>
      <c r="AY787" s="28"/>
      <c r="AZ787" s="304">
        <f t="shared" si="588"/>
        <v>0.14875839191837181</v>
      </c>
      <c r="BA787" s="304">
        <f t="shared" si="588"/>
        <v>0.14875839191837181</v>
      </c>
      <c r="BB787" s="28"/>
      <c r="BC787" s="304" t="str">
        <f t="shared" si="589"/>
        <v/>
      </c>
      <c r="BD787" s="304" t="str">
        <f t="shared" si="589"/>
        <v/>
      </c>
      <c r="BE787" s="28"/>
      <c r="BF787" s="304" t="str">
        <f t="shared" si="590"/>
        <v/>
      </c>
      <c r="BG787" s="304" t="str">
        <f t="shared" si="590"/>
        <v/>
      </c>
      <c r="BH787" s="28"/>
      <c r="BI787" s="304" t="str">
        <f t="shared" si="591"/>
        <v/>
      </c>
      <c r="BJ787" s="304" t="str">
        <f t="shared" si="591"/>
        <v/>
      </c>
      <c r="BK787" s="28"/>
      <c r="BL787" s="304" t="str">
        <f t="shared" si="592"/>
        <v/>
      </c>
      <c r="BM787" s="304" t="str">
        <f t="shared" si="592"/>
        <v/>
      </c>
      <c r="BN787" s="28"/>
      <c r="BO787" s="304" t="str">
        <f t="shared" si="593"/>
        <v/>
      </c>
      <c r="BP787" s="304" t="str">
        <f t="shared" si="593"/>
        <v/>
      </c>
      <c r="BQ787" s="28"/>
      <c r="BR787" s="304" t="str">
        <f t="shared" si="594"/>
        <v/>
      </c>
      <c r="BS787" s="304" t="str">
        <f t="shared" si="594"/>
        <v/>
      </c>
      <c r="BT787" s="28"/>
      <c r="BU787" s="304" t="str">
        <f t="shared" si="595"/>
        <v/>
      </c>
      <c r="BV787" s="304" t="str">
        <f t="shared" si="595"/>
        <v/>
      </c>
      <c r="BW787" s="28"/>
      <c r="BX787" s="91"/>
    </row>
    <row r="788" spans="1:76" s="55" customFormat="1" x14ac:dyDescent="0.25">
      <c r="A788" s="195">
        <v>92</v>
      </c>
      <c r="B788" s="216" t="str">
        <f t="shared" si="583"/>
        <v>Latin America: FAO. 2017. Global Livestock Environmental Assessment Model (GLEAM)</v>
      </c>
      <c r="C788" s="219" t="s">
        <v>227</v>
      </c>
      <c r="D788" s="219" t="s">
        <v>456</v>
      </c>
      <c r="E788" s="219" t="s">
        <v>100</v>
      </c>
      <c r="F788" s="373" t="s">
        <v>378</v>
      </c>
      <c r="G788" s="220" t="s">
        <v>26</v>
      </c>
      <c r="H788" s="221">
        <v>2010</v>
      </c>
      <c r="I788" s="240"/>
      <c r="J788" s="376">
        <v>214410784794.3974</v>
      </c>
      <c r="K788" s="367" t="s">
        <v>372</v>
      </c>
      <c r="L788" s="337">
        <f>J788/[1]GHGsources!L17*0.001</f>
        <v>8.7268708279688287E-2</v>
      </c>
      <c r="M788" s="335" t="str">
        <f>'[1]Advanced Controls'!$I$158</f>
        <v>t CH4-CO2eq per kg of protein</v>
      </c>
      <c r="N788" s="238"/>
      <c r="O788" s="227" t="s">
        <v>453</v>
      </c>
      <c r="P788" s="122"/>
      <c r="Q788" s="228"/>
      <c r="R788" s="231">
        <f t="shared" si="586"/>
        <v>8.7268708279688287E-2</v>
      </c>
      <c r="S788" s="230">
        <f t="shared" si="584"/>
        <v>8.7268708279688287E-2</v>
      </c>
      <c r="T788" s="231" t="str">
        <f>IF(OR(Q788="Y",IFERROR(R788&gt;R1228+R1292*$AA$35,0),IFERROR(R788&lt;R1228-R1292*$AA$35,0)),"",IFERROR(R788*N788,""))</f>
        <v/>
      </c>
      <c r="U788" s="232" t="str">
        <f t="shared" si="585"/>
        <v>t CH4-CO2eq per kg of protein</v>
      </c>
      <c r="V788" s="28"/>
      <c r="W788" s="28"/>
      <c r="Y788" s="91"/>
      <c r="AO788" s="91"/>
      <c r="AP788" s="28"/>
      <c r="AQ788" s="28"/>
      <c r="AR788" s="237"/>
      <c r="AS788" s="28"/>
      <c r="AT788" s="304" t="str">
        <f t="shared" si="596"/>
        <v/>
      </c>
      <c r="AU788" s="304" t="str">
        <f t="shared" si="596"/>
        <v/>
      </c>
      <c r="AV788" s="28"/>
      <c r="AW788" s="304" t="str">
        <f t="shared" si="587"/>
        <v/>
      </c>
      <c r="AX788" s="304" t="str">
        <f t="shared" si="587"/>
        <v/>
      </c>
      <c r="AY788" s="28"/>
      <c r="AZ788" s="304" t="str">
        <f t="shared" si="588"/>
        <v/>
      </c>
      <c r="BA788" s="304" t="str">
        <f t="shared" si="588"/>
        <v/>
      </c>
      <c r="BB788" s="28"/>
      <c r="BC788" s="304" t="str">
        <f t="shared" si="589"/>
        <v/>
      </c>
      <c r="BD788" s="304" t="str">
        <f t="shared" si="589"/>
        <v/>
      </c>
      <c r="BE788" s="28"/>
      <c r="BF788" s="304" t="str">
        <f t="shared" si="590"/>
        <v/>
      </c>
      <c r="BG788" s="304" t="str">
        <f t="shared" si="590"/>
        <v/>
      </c>
      <c r="BH788" s="28"/>
      <c r="BI788" s="304">
        <f t="shared" si="591"/>
        <v>8.7268708279688287E-2</v>
      </c>
      <c r="BJ788" s="304">
        <f t="shared" si="591"/>
        <v>8.7268708279688287E-2</v>
      </c>
      <c r="BK788" s="28"/>
      <c r="BL788" s="304" t="str">
        <f t="shared" si="592"/>
        <v/>
      </c>
      <c r="BM788" s="304" t="str">
        <f t="shared" si="592"/>
        <v/>
      </c>
      <c r="BN788" s="28"/>
      <c r="BO788" s="304" t="str">
        <f t="shared" si="593"/>
        <v/>
      </c>
      <c r="BP788" s="304" t="str">
        <f t="shared" si="593"/>
        <v/>
      </c>
      <c r="BQ788" s="28"/>
      <c r="BR788" s="304" t="str">
        <f t="shared" si="594"/>
        <v/>
      </c>
      <c r="BS788" s="304" t="str">
        <f t="shared" si="594"/>
        <v/>
      </c>
      <c r="BT788" s="28"/>
      <c r="BU788" s="304" t="str">
        <f t="shared" si="595"/>
        <v/>
      </c>
      <c r="BV788" s="304" t="str">
        <f t="shared" si="595"/>
        <v/>
      </c>
      <c r="BW788" s="28"/>
      <c r="BX788" s="91"/>
    </row>
    <row r="789" spans="1:76" s="55" customFormat="1" x14ac:dyDescent="0.25">
      <c r="A789" s="195">
        <v>93</v>
      </c>
      <c r="B789" s="216" t="str">
        <f t="shared" si="583"/>
        <v>Middle East and Africa: FAO. 2017. Global Livestock Environmental Assessment Model (GLEAM)</v>
      </c>
      <c r="C789" s="219" t="s">
        <v>227</v>
      </c>
      <c r="D789" s="219" t="s">
        <v>457</v>
      </c>
      <c r="E789" s="219" t="s">
        <v>99</v>
      </c>
      <c r="F789" s="373" t="s">
        <v>380</v>
      </c>
      <c r="G789" s="220" t="s">
        <v>26</v>
      </c>
      <c r="H789" s="221">
        <v>2010</v>
      </c>
      <c r="I789" s="240"/>
      <c r="J789" s="376">
        <v>128604434443.42432</v>
      </c>
      <c r="K789" s="367" t="s">
        <v>372</v>
      </c>
      <c r="L789" s="337">
        <f>J789/[1]GHGsources!L18*0.001</f>
        <v>8.9340236868216891E-2</v>
      </c>
      <c r="M789" s="335" t="str">
        <f>'[1]Advanced Controls'!$I$158</f>
        <v>t CH4-CO2eq per kg of protein</v>
      </c>
      <c r="N789" s="238"/>
      <c r="O789" s="227" t="s">
        <v>453</v>
      </c>
      <c r="P789" s="122"/>
      <c r="Q789" s="228"/>
      <c r="R789" s="231">
        <f t="shared" si="586"/>
        <v>8.9340236868216891E-2</v>
      </c>
      <c r="S789" s="230">
        <f t="shared" si="584"/>
        <v>8.9340236868216891E-2</v>
      </c>
      <c r="T789" s="231" t="str">
        <f>IF(OR(Q789="Y",IFERROR(R789&gt;R1289+R1293*$AA$35,0),IFERROR(R789&lt;R1289-R1293*$AA$35,0)),"",IFERROR(R789*N789,""))</f>
        <v/>
      </c>
      <c r="U789" s="232" t="str">
        <f t="shared" si="585"/>
        <v>t CH4-CO2eq per kg of protein</v>
      </c>
      <c r="V789" s="28"/>
      <c r="W789" s="28"/>
      <c r="Y789" s="91"/>
      <c r="AO789" s="91"/>
      <c r="AP789" s="28"/>
      <c r="AQ789" s="28"/>
      <c r="AR789" s="237"/>
      <c r="AS789" s="28"/>
      <c r="AT789" s="304" t="str">
        <f t="shared" si="596"/>
        <v/>
      </c>
      <c r="AU789" s="304" t="str">
        <f t="shared" si="596"/>
        <v/>
      </c>
      <c r="AV789" s="28"/>
      <c r="AW789" s="304" t="str">
        <f t="shared" si="587"/>
        <v/>
      </c>
      <c r="AX789" s="304" t="str">
        <f t="shared" si="587"/>
        <v/>
      </c>
      <c r="AY789" s="28"/>
      <c r="AZ789" s="304" t="str">
        <f t="shared" si="588"/>
        <v/>
      </c>
      <c r="BA789" s="304" t="str">
        <f t="shared" si="588"/>
        <v/>
      </c>
      <c r="BB789" s="28"/>
      <c r="BC789" s="304" t="str">
        <f t="shared" si="589"/>
        <v/>
      </c>
      <c r="BD789" s="304" t="str">
        <f t="shared" si="589"/>
        <v/>
      </c>
      <c r="BE789" s="28"/>
      <c r="BF789" s="304">
        <f t="shared" si="590"/>
        <v>8.9340236868216891E-2</v>
      </c>
      <c r="BG789" s="304">
        <f t="shared" si="590"/>
        <v>8.9340236868216891E-2</v>
      </c>
      <c r="BH789" s="28"/>
      <c r="BI789" s="304" t="str">
        <f t="shared" si="591"/>
        <v/>
      </c>
      <c r="BJ789" s="304" t="str">
        <f t="shared" si="591"/>
        <v/>
      </c>
      <c r="BK789" s="28"/>
      <c r="BL789" s="304" t="str">
        <f t="shared" si="592"/>
        <v/>
      </c>
      <c r="BM789" s="304" t="str">
        <f t="shared" si="592"/>
        <v/>
      </c>
      <c r="BN789" s="28"/>
      <c r="BO789" s="304" t="str">
        <f t="shared" si="593"/>
        <v/>
      </c>
      <c r="BP789" s="304" t="str">
        <f t="shared" si="593"/>
        <v/>
      </c>
      <c r="BQ789" s="28"/>
      <c r="BR789" s="304" t="str">
        <f t="shared" si="594"/>
        <v/>
      </c>
      <c r="BS789" s="304" t="str">
        <f t="shared" si="594"/>
        <v/>
      </c>
      <c r="BT789" s="28"/>
      <c r="BU789" s="304" t="str">
        <f t="shared" si="595"/>
        <v/>
      </c>
      <c r="BV789" s="304" t="str">
        <f t="shared" si="595"/>
        <v/>
      </c>
      <c r="BW789" s="28"/>
      <c r="BX789" s="91"/>
    </row>
    <row r="790" spans="1:76" s="55" customFormat="1" x14ac:dyDescent="0.25">
      <c r="A790" s="195">
        <v>94</v>
      </c>
      <c r="B790" s="216" t="str">
        <f t="shared" si="583"/>
        <v>OECD90: FAO. 2017. Global Livestock Environmental Assessment Model (GLEAM)</v>
      </c>
      <c r="C790" s="219" t="s">
        <v>227</v>
      </c>
      <c r="D790" s="219" t="s">
        <v>458</v>
      </c>
      <c r="E790" s="219" t="s">
        <v>96</v>
      </c>
      <c r="F790" s="373" t="s">
        <v>179</v>
      </c>
      <c r="G790" s="220" t="s">
        <v>26</v>
      </c>
      <c r="H790" s="221">
        <v>2010</v>
      </c>
      <c r="I790" s="240"/>
      <c r="J790" s="376">
        <v>85806350350.973099</v>
      </c>
      <c r="K790" s="367" t="s">
        <v>372</v>
      </c>
      <c r="L790" s="337">
        <f>J790/[1]GHGsources!L19*0.001</f>
        <v>2.9657268602240158E-2</v>
      </c>
      <c r="M790" s="335" t="str">
        <f>'[1]Advanced Controls'!$I$158</f>
        <v>t CH4-CO2eq per kg of protein</v>
      </c>
      <c r="N790" s="238"/>
      <c r="O790" s="227" t="s">
        <v>453</v>
      </c>
      <c r="P790" s="122"/>
      <c r="Q790" s="228"/>
      <c r="R790" s="231">
        <f t="shared" si="586"/>
        <v>2.9657268602240158E-2</v>
      </c>
      <c r="S790" s="230">
        <f t="shared" si="584"/>
        <v>2.9657268602240158E-2</v>
      </c>
      <c r="T790" s="231">
        <f>IF(OR(Q790="Y",IFERROR(R790&gt;R1290+R1303*$AA$35,0),IFERROR(R790&lt;R1290-R1303*$AA$35,0)),"",IFERROR(R790*N790,""))</f>
        <v>0</v>
      </c>
      <c r="U790" s="232" t="str">
        <f t="shared" si="585"/>
        <v>t CH4-CO2eq per kg of protein</v>
      </c>
      <c r="V790" s="28"/>
      <c r="W790" s="28"/>
      <c r="Y790" s="91"/>
      <c r="AO790" s="91"/>
      <c r="AP790" s="28"/>
      <c r="AQ790" s="28"/>
      <c r="AR790" s="237"/>
      <c r="AS790" s="28"/>
      <c r="AT790" s="304" t="str">
        <f t="shared" si="596"/>
        <v/>
      </c>
      <c r="AU790" s="304" t="str">
        <f t="shared" si="596"/>
        <v/>
      </c>
      <c r="AV790" s="28"/>
      <c r="AW790" s="304">
        <f t="shared" si="587"/>
        <v>2.9657268602240158E-2</v>
      </c>
      <c r="AX790" s="304">
        <f t="shared" si="587"/>
        <v>2.9657268602240158E-2</v>
      </c>
      <c r="AY790" s="28"/>
      <c r="AZ790" s="304" t="str">
        <f t="shared" si="588"/>
        <v/>
      </c>
      <c r="BA790" s="304" t="str">
        <f t="shared" si="588"/>
        <v/>
      </c>
      <c r="BB790" s="28"/>
      <c r="BC790" s="304" t="str">
        <f t="shared" si="589"/>
        <v/>
      </c>
      <c r="BD790" s="304" t="str">
        <f t="shared" si="589"/>
        <v/>
      </c>
      <c r="BE790" s="28"/>
      <c r="BF790" s="304" t="str">
        <f t="shared" si="590"/>
        <v/>
      </c>
      <c r="BG790" s="304" t="str">
        <f t="shared" si="590"/>
        <v/>
      </c>
      <c r="BH790" s="28"/>
      <c r="BI790" s="304" t="str">
        <f t="shared" si="591"/>
        <v/>
      </c>
      <c r="BJ790" s="304" t="str">
        <f t="shared" si="591"/>
        <v/>
      </c>
      <c r="BK790" s="28"/>
      <c r="BL790" s="304" t="str">
        <f t="shared" si="592"/>
        <v/>
      </c>
      <c r="BM790" s="304" t="str">
        <f t="shared" si="592"/>
        <v/>
      </c>
      <c r="BN790" s="28"/>
      <c r="BO790" s="304" t="str">
        <f t="shared" si="593"/>
        <v/>
      </c>
      <c r="BP790" s="304" t="str">
        <f t="shared" si="593"/>
        <v/>
      </c>
      <c r="BQ790" s="28"/>
      <c r="BR790" s="304" t="str">
        <f t="shared" si="594"/>
        <v/>
      </c>
      <c r="BS790" s="304" t="str">
        <f t="shared" si="594"/>
        <v/>
      </c>
      <c r="BT790" s="28"/>
      <c r="BU790" s="304" t="str">
        <f t="shared" si="595"/>
        <v/>
      </c>
      <c r="BV790" s="304" t="str">
        <f t="shared" si="595"/>
        <v/>
      </c>
      <c r="BW790" s="28"/>
      <c r="BX790" s="91"/>
    </row>
    <row r="791" spans="1:76" s="55" customFormat="1" x14ac:dyDescent="0.25">
      <c r="A791" s="195">
        <v>95</v>
      </c>
      <c r="B791" s="216" t="str">
        <f t="shared" si="583"/>
        <v>OECD90: FAO. 2017. Global Livestock Environmental Assessment Model (GLEAM)</v>
      </c>
      <c r="C791" s="219" t="s">
        <v>227</v>
      </c>
      <c r="D791" s="219" t="s">
        <v>459</v>
      </c>
      <c r="E791" s="219" t="s">
        <v>96</v>
      </c>
      <c r="F791" s="373" t="s">
        <v>185</v>
      </c>
      <c r="G791" s="220" t="s">
        <v>26</v>
      </c>
      <c r="H791" s="221">
        <v>2010</v>
      </c>
      <c r="I791" s="240"/>
      <c r="J791" s="376">
        <v>116594240.96917872</v>
      </c>
      <c r="K791" s="367" t="s">
        <v>372</v>
      </c>
      <c r="L791" s="337">
        <f>J791/[1]GHGsources!L20*0.001</f>
        <v>1.4586308136699944E-4</v>
      </c>
      <c r="M791" s="335" t="str">
        <f>'[1]Advanced Controls'!$I$158</f>
        <v>t CH4-CO2eq per kg of protein</v>
      </c>
      <c r="N791" s="238"/>
      <c r="O791" s="227" t="s">
        <v>453</v>
      </c>
      <c r="P791" s="122"/>
      <c r="Q791" s="228"/>
      <c r="R791" s="231">
        <f t="shared" si="586"/>
        <v>1.4586308136699944E-4</v>
      </c>
      <c r="S791" s="230">
        <f t="shared" si="584"/>
        <v>1.4586308136699944E-4</v>
      </c>
      <c r="T791" s="231">
        <f>IF(OR(Q791="Y",IFERROR(R791&gt;R1291+R1304*$AA$35,0),IFERROR(R791&lt;R1291-R1304*$AA$35,0)),"",IFERROR(R791*N791,""))</f>
        <v>0</v>
      </c>
      <c r="U791" s="232" t="str">
        <f t="shared" si="585"/>
        <v>t CH4-CO2eq per kg of protein</v>
      </c>
      <c r="V791" s="28"/>
      <c r="W791" s="28"/>
      <c r="Y791" s="91"/>
      <c r="AO791" s="91"/>
      <c r="AP791" s="28"/>
      <c r="AQ791" s="28"/>
      <c r="AR791" s="237"/>
      <c r="AS791" s="28"/>
      <c r="AT791" s="304" t="str">
        <f t="shared" si="596"/>
        <v/>
      </c>
      <c r="AU791" s="304" t="str">
        <f t="shared" si="596"/>
        <v/>
      </c>
      <c r="AV791" s="28"/>
      <c r="AW791" s="304">
        <f t="shared" si="587"/>
        <v>1.4586308136699944E-4</v>
      </c>
      <c r="AX791" s="304">
        <f t="shared" si="587"/>
        <v>1.4586308136699944E-4</v>
      </c>
      <c r="AY791" s="28"/>
      <c r="AZ791" s="304" t="str">
        <f t="shared" si="588"/>
        <v/>
      </c>
      <c r="BA791" s="304" t="str">
        <f t="shared" si="588"/>
        <v/>
      </c>
      <c r="BB791" s="28"/>
      <c r="BC791" s="304" t="str">
        <f t="shared" si="589"/>
        <v/>
      </c>
      <c r="BD791" s="304" t="str">
        <f t="shared" si="589"/>
        <v/>
      </c>
      <c r="BE791" s="28"/>
      <c r="BF791" s="304" t="str">
        <f t="shared" si="590"/>
        <v/>
      </c>
      <c r="BG791" s="304" t="str">
        <f t="shared" si="590"/>
        <v/>
      </c>
      <c r="BH791" s="28"/>
      <c r="BI791" s="304" t="str">
        <f t="shared" si="591"/>
        <v/>
      </c>
      <c r="BJ791" s="304" t="str">
        <f t="shared" si="591"/>
        <v/>
      </c>
      <c r="BK791" s="28"/>
      <c r="BL791" s="304" t="str">
        <f t="shared" si="592"/>
        <v/>
      </c>
      <c r="BM791" s="304" t="str">
        <f t="shared" si="592"/>
        <v/>
      </c>
      <c r="BN791" s="28"/>
      <c r="BO791" s="304" t="str">
        <f t="shared" si="593"/>
        <v/>
      </c>
      <c r="BP791" s="304" t="str">
        <f t="shared" si="593"/>
        <v/>
      </c>
      <c r="BQ791" s="28"/>
      <c r="BR791" s="304" t="str">
        <f t="shared" si="594"/>
        <v/>
      </c>
      <c r="BS791" s="304" t="str">
        <f t="shared" si="594"/>
        <v/>
      </c>
      <c r="BT791" s="28"/>
      <c r="BU791" s="304" t="str">
        <f t="shared" si="595"/>
        <v/>
      </c>
      <c r="BV791" s="304" t="str">
        <f t="shared" si="595"/>
        <v/>
      </c>
      <c r="BW791" s="28"/>
      <c r="BX791" s="91"/>
    </row>
    <row r="792" spans="1:76" s="55" customFormat="1" x14ac:dyDescent="0.25">
      <c r="A792" s="195">
        <v>96</v>
      </c>
      <c r="B792" s="216" t="str">
        <f t="shared" si="583"/>
        <v>Eastern Europe: FAO. 2017. Global Livestock Environmental Assessment Model (GLEAM)</v>
      </c>
      <c r="C792" s="219" t="s">
        <v>227</v>
      </c>
      <c r="D792" s="219" t="s">
        <v>460</v>
      </c>
      <c r="E792" s="219" t="s">
        <v>97</v>
      </c>
      <c r="F792" s="373" t="s">
        <v>384</v>
      </c>
      <c r="G792" s="220" t="s">
        <v>26</v>
      </c>
      <c r="H792" s="221">
        <v>2010</v>
      </c>
      <c r="I792" s="240"/>
      <c r="J792" s="376">
        <v>58297120.484589361</v>
      </c>
      <c r="K792" s="367" t="s">
        <v>372</v>
      </c>
      <c r="L792" s="337">
        <f>J792/[1]GHGsources!L21*0.001</f>
        <v>6.8057435579104296E-5</v>
      </c>
      <c r="M792" s="335" t="str">
        <f>'[1]Advanced Controls'!$I$158</f>
        <v>t CH4-CO2eq per kg of protein</v>
      </c>
      <c r="N792" s="238"/>
      <c r="O792" s="227" t="s">
        <v>453</v>
      </c>
      <c r="P792" s="122"/>
      <c r="Q792" s="228"/>
      <c r="R792" s="231">
        <f t="shared" si="586"/>
        <v>6.8057435579104296E-5</v>
      </c>
      <c r="S792" s="230">
        <f t="shared" si="584"/>
        <v>6.8057435579104296E-5</v>
      </c>
      <c r="T792" s="231">
        <f>IF(OR(Q792="Y",IFERROR(R792&gt;R1292+R1305*$AA$35,0),IFERROR(R792&lt;R1292-R1305*$AA$35,0)),"",IFERROR(R792*N792,""))</f>
        <v>0</v>
      </c>
      <c r="U792" s="232" t="str">
        <f t="shared" si="585"/>
        <v>t CH4-CO2eq per kg of protein</v>
      </c>
      <c r="V792" s="28"/>
      <c r="W792" s="28"/>
      <c r="Y792" s="91"/>
      <c r="AO792" s="91"/>
      <c r="AP792" s="28"/>
      <c r="AQ792" s="28"/>
      <c r="AR792" s="237"/>
      <c r="AS792" s="28"/>
      <c r="AT792" s="304" t="str">
        <f t="shared" si="596"/>
        <v/>
      </c>
      <c r="AU792" s="304" t="str">
        <f t="shared" si="596"/>
        <v/>
      </c>
      <c r="AV792" s="28"/>
      <c r="AW792" s="304" t="str">
        <f t="shared" si="587"/>
        <v/>
      </c>
      <c r="AX792" s="304" t="str">
        <f t="shared" si="587"/>
        <v/>
      </c>
      <c r="AY792" s="28"/>
      <c r="AZ792" s="304">
        <f t="shared" si="588"/>
        <v>6.8057435579104296E-5</v>
      </c>
      <c r="BA792" s="304">
        <f t="shared" si="588"/>
        <v>6.8057435579104296E-5</v>
      </c>
      <c r="BB792" s="28"/>
      <c r="BC792" s="304" t="str">
        <f t="shared" si="589"/>
        <v/>
      </c>
      <c r="BD792" s="304" t="str">
        <f t="shared" si="589"/>
        <v/>
      </c>
      <c r="BE792" s="28"/>
      <c r="BF792" s="304" t="str">
        <f t="shared" si="590"/>
        <v/>
      </c>
      <c r="BG792" s="304" t="str">
        <f t="shared" si="590"/>
        <v/>
      </c>
      <c r="BH792" s="28"/>
      <c r="BI792" s="304" t="str">
        <f t="shared" si="591"/>
        <v/>
      </c>
      <c r="BJ792" s="304" t="str">
        <f t="shared" si="591"/>
        <v/>
      </c>
      <c r="BK792" s="28"/>
      <c r="BL792" s="304" t="str">
        <f t="shared" si="592"/>
        <v/>
      </c>
      <c r="BM792" s="304" t="str">
        <f t="shared" si="592"/>
        <v/>
      </c>
      <c r="BN792" s="28"/>
      <c r="BO792" s="304" t="str">
        <f t="shared" si="593"/>
        <v/>
      </c>
      <c r="BP792" s="304" t="str">
        <f t="shared" si="593"/>
        <v/>
      </c>
      <c r="BQ792" s="28"/>
      <c r="BR792" s="304" t="str">
        <f t="shared" si="594"/>
        <v/>
      </c>
      <c r="BS792" s="304" t="str">
        <f t="shared" si="594"/>
        <v/>
      </c>
      <c r="BT792" s="28"/>
      <c r="BU792" s="304" t="str">
        <f t="shared" si="595"/>
        <v/>
      </c>
      <c r="BV792" s="304" t="str">
        <f t="shared" si="595"/>
        <v/>
      </c>
      <c r="BW792" s="28"/>
      <c r="BX792" s="91"/>
    </row>
    <row r="793" spans="1:76" s="55" customFormat="1" x14ac:dyDescent="0.25">
      <c r="A793" s="195">
        <v>97</v>
      </c>
      <c r="B793" s="216" t="str">
        <f t="shared" si="583"/>
        <v>Asia (Sans Japan): FAO. 2017. Global Livestock Environmental Assessment Model (GLEAM)</v>
      </c>
      <c r="C793" s="219" t="s">
        <v>227</v>
      </c>
      <c r="D793" s="219" t="s">
        <v>461</v>
      </c>
      <c r="E793" s="219" t="s">
        <v>98</v>
      </c>
      <c r="F793" s="373" t="s">
        <v>386</v>
      </c>
      <c r="G793" s="220" t="s">
        <v>26</v>
      </c>
      <c r="H793" s="221">
        <v>2010</v>
      </c>
      <c r="I793" s="240"/>
      <c r="J793" s="376">
        <v>58297120.484589361</v>
      </c>
      <c r="K793" s="367" t="s">
        <v>372</v>
      </c>
      <c r="L793" s="337">
        <f>J793/[1]GHGsources!L22*0.001</f>
        <v>2.2207140732119019E-5</v>
      </c>
      <c r="M793" s="335" t="str">
        <f>'[1]Advanced Controls'!$I$158</f>
        <v>t CH4-CO2eq per kg of protein</v>
      </c>
      <c r="N793" s="238"/>
      <c r="O793" s="227" t="s">
        <v>453</v>
      </c>
      <c r="P793" s="122"/>
      <c r="Q793" s="228"/>
      <c r="R793" s="231">
        <f t="shared" si="586"/>
        <v>2.2207140732119019E-5</v>
      </c>
      <c r="S793" s="230">
        <f t="shared" si="584"/>
        <v>2.2207140732119019E-5</v>
      </c>
      <c r="T793" s="231">
        <f>IF(OR(Q793="Y",IFERROR(R793&gt;R1293+R1306*$AA$35,0),IFERROR(R793&lt;R1293-R1306*$AA$35,0)),"",IFERROR(R793*N793,""))</f>
        <v>0</v>
      </c>
      <c r="U793" s="232" t="str">
        <f t="shared" si="585"/>
        <v>t CH4-CO2eq per kg of protein</v>
      </c>
      <c r="V793" s="28"/>
      <c r="W793" s="28"/>
      <c r="Y793" s="91"/>
      <c r="AO793" s="91"/>
      <c r="AP793" s="28"/>
      <c r="AQ793" s="28"/>
      <c r="AR793" s="237"/>
      <c r="AS793" s="28"/>
      <c r="AT793" s="304" t="str">
        <f t="shared" si="596"/>
        <v/>
      </c>
      <c r="AU793" s="304" t="str">
        <f t="shared" si="596"/>
        <v/>
      </c>
      <c r="AV793" s="28"/>
      <c r="AW793" s="304" t="str">
        <f t="shared" si="587"/>
        <v/>
      </c>
      <c r="AX793" s="304" t="str">
        <f t="shared" si="587"/>
        <v/>
      </c>
      <c r="AY793" s="28"/>
      <c r="AZ793" s="304" t="str">
        <f t="shared" si="588"/>
        <v/>
      </c>
      <c r="BA793" s="304" t="str">
        <f t="shared" si="588"/>
        <v/>
      </c>
      <c r="BB793" s="28"/>
      <c r="BC793" s="304">
        <f t="shared" si="589"/>
        <v>2.2207140732119019E-5</v>
      </c>
      <c r="BD793" s="304">
        <f t="shared" si="589"/>
        <v>2.2207140732119019E-5</v>
      </c>
      <c r="BE793" s="28"/>
      <c r="BF793" s="304" t="str">
        <f t="shared" si="590"/>
        <v/>
      </c>
      <c r="BG793" s="304" t="str">
        <f t="shared" si="590"/>
        <v/>
      </c>
      <c r="BH793" s="28"/>
      <c r="BI793" s="304" t="str">
        <f t="shared" si="591"/>
        <v/>
      </c>
      <c r="BJ793" s="304" t="str">
        <f t="shared" si="591"/>
        <v/>
      </c>
      <c r="BK793" s="28"/>
      <c r="BL793" s="304" t="str">
        <f t="shared" si="592"/>
        <v/>
      </c>
      <c r="BM793" s="304" t="str">
        <f t="shared" si="592"/>
        <v/>
      </c>
      <c r="BN793" s="28"/>
      <c r="BO793" s="304" t="str">
        <f t="shared" si="593"/>
        <v/>
      </c>
      <c r="BP793" s="304" t="str">
        <f t="shared" si="593"/>
        <v/>
      </c>
      <c r="BQ793" s="28"/>
      <c r="BR793" s="304" t="str">
        <f t="shared" si="594"/>
        <v/>
      </c>
      <c r="BS793" s="304" t="str">
        <f t="shared" si="594"/>
        <v/>
      </c>
      <c r="BT793" s="28"/>
      <c r="BU793" s="304" t="str">
        <f t="shared" si="595"/>
        <v/>
      </c>
      <c r="BV793" s="304" t="str">
        <f t="shared" si="595"/>
        <v/>
      </c>
      <c r="BW793" s="28"/>
      <c r="BX793" s="91"/>
    </row>
    <row r="794" spans="1:76" s="55" customFormat="1" x14ac:dyDescent="0.25">
      <c r="A794" s="195">
        <v>98</v>
      </c>
      <c r="B794" s="216" t="str">
        <f t="shared" si="583"/>
        <v>Middle East and Africa: FAO. 2017. Global Livestock Environmental Assessment Model (GLEAM)</v>
      </c>
      <c r="C794" s="219" t="s">
        <v>227</v>
      </c>
      <c r="D794" s="219" t="s">
        <v>462</v>
      </c>
      <c r="E794" s="219" t="s">
        <v>99</v>
      </c>
      <c r="F794" s="373" t="s">
        <v>388</v>
      </c>
      <c r="G794" s="220" t="s">
        <v>26</v>
      </c>
      <c r="H794" s="221">
        <v>2010</v>
      </c>
      <c r="I794" s="240"/>
      <c r="J794" s="376">
        <v>1317220628047.678</v>
      </c>
      <c r="K794" s="367" t="s">
        <v>372</v>
      </c>
      <c r="L794" s="337">
        <f>J794/[1]GHGsources!L23*0.001</f>
        <v>2.1060091667203378</v>
      </c>
      <c r="M794" s="335" t="str">
        <f>'[1]Advanced Controls'!$I$158</f>
        <v>t CH4-CO2eq per kg of protein</v>
      </c>
      <c r="N794" s="238"/>
      <c r="O794" s="227" t="s">
        <v>453</v>
      </c>
      <c r="P794" s="122"/>
      <c r="Q794" s="228"/>
      <c r="R794" s="231">
        <f t="shared" si="586"/>
        <v>2.1060091667203378</v>
      </c>
      <c r="S794" s="230">
        <f t="shared" si="584"/>
        <v>2.1060091667203378</v>
      </c>
      <c r="T794" s="231" t="str">
        <f t="shared" ref="T794:T820" si="597">IF(OR(Q794="Y",IFERROR(R794&gt;R1303+R1307*$AA$35,0),IFERROR(R794&lt;R1303-R1307*$AA$35,0)),"",IFERROR(R794*N794,""))</f>
        <v/>
      </c>
      <c r="U794" s="232" t="str">
        <f t="shared" si="585"/>
        <v>t CH4-CO2eq per kg of protein</v>
      </c>
      <c r="V794" s="28"/>
      <c r="W794" s="28"/>
      <c r="Y794" s="91"/>
      <c r="AO794" s="91"/>
      <c r="AP794" s="28"/>
      <c r="AQ794" s="28"/>
      <c r="AR794" s="237"/>
      <c r="AS794" s="28"/>
      <c r="AT794" s="304" t="str">
        <f t="shared" si="596"/>
        <v/>
      </c>
      <c r="AU794" s="304" t="str">
        <f t="shared" si="596"/>
        <v/>
      </c>
      <c r="AV794" s="28"/>
      <c r="AW794" s="304" t="str">
        <f t="shared" si="587"/>
        <v/>
      </c>
      <c r="AX794" s="304" t="str">
        <f t="shared" si="587"/>
        <v/>
      </c>
      <c r="AY794" s="28"/>
      <c r="AZ794" s="304" t="str">
        <f t="shared" si="588"/>
        <v/>
      </c>
      <c r="BA794" s="304" t="str">
        <f t="shared" si="588"/>
        <v/>
      </c>
      <c r="BB794" s="28"/>
      <c r="BC794" s="304" t="str">
        <f t="shared" si="589"/>
        <v/>
      </c>
      <c r="BD794" s="304" t="str">
        <f t="shared" si="589"/>
        <v/>
      </c>
      <c r="BE794" s="28"/>
      <c r="BF794" s="304">
        <f t="shared" si="590"/>
        <v>2.1060091667203378</v>
      </c>
      <c r="BG794" s="304">
        <f t="shared" si="590"/>
        <v>2.1060091667203378</v>
      </c>
      <c r="BH794" s="28"/>
      <c r="BI794" s="304" t="str">
        <f t="shared" si="591"/>
        <v/>
      </c>
      <c r="BJ794" s="304" t="str">
        <f t="shared" si="591"/>
        <v/>
      </c>
      <c r="BK794" s="28"/>
      <c r="BL794" s="304" t="str">
        <f t="shared" si="592"/>
        <v/>
      </c>
      <c r="BM794" s="304" t="str">
        <f t="shared" si="592"/>
        <v/>
      </c>
      <c r="BN794" s="28"/>
      <c r="BO794" s="304" t="str">
        <f t="shared" si="593"/>
        <v/>
      </c>
      <c r="BP794" s="304" t="str">
        <f t="shared" si="593"/>
        <v/>
      </c>
      <c r="BQ794" s="28"/>
      <c r="BR794" s="304" t="str">
        <f t="shared" si="594"/>
        <v/>
      </c>
      <c r="BS794" s="304" t="str">
        <f t="shared" si="594"/>
        <v/>
      </c>
      <c r="BT794" s="28"/>
      <c r="BU794" s="304" t="str">
        <f t="shared" si="595"/>
        <v/>
      </c>
      <c r="BV794" s="304" t="str">
        <f t="shared" si="595"/>
        <v/>
      </c>
      <c r="BW794" s="28"/>
      <c r="BX794" s="91"/>
    </row>
    <row r="795" spans="1:76" s="55" customFormat="1" x14ac:dyDescent="0.25">
      <c r="A795" s="195">
        <v>99</v>
      </c>
      <c r="B795" s="216" t="str">
        <f t="shared" si="583"/>
        <v>OECD90: FAO. 2017. Global Livestock Environmental Assessment Model (GLEAM)</v>
      </c>
      <c r="C795" s="219" t="s">
        <v>227</v>
      </c>
      <c r="D795" s="219" t="s">
        <v>463</v>
      </c>
      <c r="E795" s="219" t="s">
        <v>96</v>
      </c>
      <c r="F795" s="373" t="s">
        <v>176</v>
      </c>
      <c r="G795" s="220" t="s">
        <v>26</v>
      </c>
      <c r="H795" s="221">
        <v>2010</v>
      </c>
      <c r="I795" s="240"/>
      <c r="J795" s="376">
        <v>989816465422.10669</v>
      </c>
      <c r="K795" s="367" t="s">
        <v>372</v>
      </c>
      <c r="L795" s="337">
        <f>J795/[1]GHGsources!L24*0.001</f>
        <v>0.22646575224348808</v>
      </c>
      <c r="M795" s="335" t="str">
        <f>'[1]Advanced Controls'!$I$158</f>
        <v>t CH4-CO2eq per kg of protein</v>
      </c>
      <c r="N795" s="238"/>
      <c r="O795" s="227" t="s">
        <v>453</v>
      </c>
      <c r="P795" s="122"/>
      <c r="Q795" s="228"/>
      <c r="R795" s="231">
        <f t="shared" si="586"/>
        <v>0.22646575224348808</v>
      </c>
      <c r="S795" s="230">
        <f t="shared" si="584"/>
        <v>0.22646575224348808</v>
      </c>
      <c r="T795" s="231" t="str">
        <f t="shared" si="597"/>
        <v/>
      </c>
      <c r="U795" s="232" t="str">
        <f t="shared" si="585"/>
        <v>t CH4-CO2eq per kg of protein</v>
      </c>
      <c r="V795" s="28"/>
      <c r="W795" s="28"/>
      <c r="Y795" s="91"/>
      <c r="AO795" s="91"/>
      <c r="AP795" s="28"/>
      <c r="AQ795" s="28"/>
      <c r="AR795" s="237"/>
      <c r="AS795" s="28"/>
      <c r="AT795" s="304" t="str">
        <f t="shared" si="596"/>
        <v/>
      </c>
      <c r="AU795" s="304" t="str">
        <f t="shared" si="596"/>
        <v/>
      </c>
      <c r="AV795" s="28"/>
      <c r="AW795" s="304">
        <f t="shared" si="587"/>
        <v>0.22646575224348808</v>
      </c>
      <c r="AX795" s="304">
        <f t="shared" si="587"/>
        <v>0.22646575224348808</v>
      </c>
      <c r="AY795" s="28"/>
      <c r="AZ795" s="304" t="str">
        <f t="shared" si="588"/>
        <v/>
      </c>
      <c r="BA795" s="304" t="str">
        <f t="shared" si="588"/>
        <v/>
      </c>
      <c r="BB795" s="28"/>
      <c r="BC795" s="304" t="str">
        <f t="shared" si="589"/>
        <v/>
      </c>
      <c r="BD795" s="304" t="str">
        <f t="shared" si="589"/>
        <v/>
      </c>
      <c r="BE795" s="28"/>
      <c r="BF795" s="304" t="str">
        <f t="shared" si="590"/>
        <v/>
      </c>
      <c r="BG795" s="304" t="str">
        <f t="shared" si="590"/>
        <v/>
      </c>
      <c r="BH795" s="28"/>
      <c r="BI795" s="304" t="str">
        <f t="shared" si="591"/>
        <v/>
      </c>
      <c r="BJ795" s="304" t="str">
        <f t="shared" si="591"/>
        <v/>
      </c>
      <c r="BK795" s="28"/>
      <c r="BL795" s="304" t="str">
        <f t="shared" si="592"/>
        <v/>
      </c>
      <c r="BM795" s="304" t="str">
        <f t="shared" si="592"/>
        <v/>
      </c>
      <c r="BN795" s="28"/>
      <c r="BO795" s="304" t="str">
        <f t="shared" si="593"/>
        <v/>
      </c>
      <c r="BP795" s="304" t="str">
        <f t="shared" si="593"/>
        <v/>
      </c>
      <c r="BQ795" s="28"/>
      <c r="BR795" s="304" t="str">
        <f t="shared" si="594"/>
        <v/>
      </c>
      <c r="BS795" s="304" t="str">
        <f t="shared" si="594"/>
        <v/>
      </c>
      <c r="BT795" s="28"/>
      <c r="BU795" s="304" t="str">
        <f t="shared" si="595"/>
        <v/>
      </c>
      <c r="BV795" s="304" t="str">
        <f t="shared" si="595"/>
        <v/>
      </c>
      <c r="BW795" s="28"/>
      <c r="BX795" s="91"/>
    </row>
    <row r="796" spans="1:76" s="55" customFormat="1" x14ac:dyDescent="0.25">
      <c r="A796" s="195">
        <v>100</v>
      </c>
      <c r="B796" s="216" t="str">
        <f t="shared" si="583"/>
        <v>World: FAO. 2017. Global Livestock Environmental Assessment Model (GLEAM)</v>
      </c>
      <c r="C796" s="219" t="s">
        <v>227</v>
      </c>
      <c r="D796" s="219" t="s">
        <v>464</v>
      </c>
      <c r="E796" s="219" t="s">
        <v>95</v>
      </c>
      <c r="F796" s="371" t="s">
        <v>371</v>
      </c>
      <c r="G796" s="220" t="s">
        <v>26</v>
      </c>
      <c r="H796" s="221">
        <v>2010</v>
      </c>
      <c r="I796" s="240"/>
      <c r="J796" s="376">
        <v>327404162625.57147</v>
      </c>
      <c r="K796" s="367" t="s">
        <v>372</v>
      </c>
      <c r="L796" s="337">
        <f>J796/[1]GHGsources!Q14*0.001</f>
        <v>4.7171943767159719E-2</v>
      </c>
      <c r="M796" s="335" t="str">
        <f>'[1]Advanced Controls'!$I$158</f>
        <v>t CH4-CO2eq per kg of protein</v>
      </c>
      <c r="N796" s="238"/>
      <c r="O796" s="227" t="s">
        <v>465</v>
      </c>
      <c r="P796" s="122"/>
      <c r="Q796" s="228"/>
      <c r="R796" s="231">
        <f t="shared" si="586"/>
        <v>4.7171943767159719E-2</v>
      </c>
      <c r="S796" s="230">
        <f t="shared" si="584"/>
        <v>4.7171943767159719E-2</v>
      </c>
      <c r="T796" s="231">
        <f t="shared" si="597"/>
        <v>0</v>
      </c>
      <c r="U796" s="232" t="str">
        <f t="shared" si="585"/>
        <v>t CH4-CO2eq per kg of protein</v>
      </c>
      <c r="V796" s="28"/>
      <c r="W796" s="28"/>
      <c r="Y796" s="91"/>
      <c r="AO796" s="91"/>
      <c r="AP796" s="28"/>
      <c r="AQ796" s="28"/>
      <c r="AR796" s="237"/>
      <c r="AS796" s="28"/>
      <c r="AT796" s="304">
        <f t="shared" si="596"/>
        <v>4.7171943767159719E-2</v>
      </c>
      <c r="AU796" s="304">
        <f t="shared" si="596"/>
        <v>4.7171943767159719E-2</v>
      </c>
      <c r="AV796" s="28"/>
      <c r="AW796" s="304" t="str">
        <f t="shared" si="587"/>
        <v/>
      </c>
      <c r="AX796" s="304" t="str">
        <f t="shared" si="587"/>
        <v/>
      </c>
      <c r="AY796" s="28"/>
      <c r="AZ796" s="304" t="str">
        <f t="shared" si="588"/>
        <v/>
      </c>
      <c r="BA796" s="304" t="str">
        <f t="shared" si="588"/>
        <v/>
      </c>
      <c r="BB796" s="28"/>
      <c r="BC796" s="304" t="str">
        <f t="shared" si="589"/>
        <v/>
      </c>
      <c r="BD796" s="304" t="str">
        <f t="shared" si="589"/>
        <v/>
      </c>
      <c r="BE796" s="28"/>
      <c r="BF796" s="304" t="str">
        <f t="shared" si="590"/>
        <v/>
      </c>
      <c r="BG796" s="304" t="str">
        <f t="shared" si="590"/>
        <v/>
      </c>
      <c r="BH796" s="28"/>
      <c r="BI796" s="304" t="str">
        <f t="shared" si="591"/>
        <v/>
      </c>
      <c r="BJ796" s="304" t="str">
        <f t="shared" si="591"/>
        <v/>
      </c>
      <c r="BK796" s="28"/>
      <c r="BL796" s="304" t="str">
        <f t="shared" si="592"/>
        <v/>
      </c>
      <c r="BM796" s="304" t="str">
        <f t="shared" si="592"/>
        <v/>
      </c>
      <c r="BN796" s="28"/>
      <c r="BO796" s="304" t="str">
        <f t="shared" si="593"/>
        <v/>
      </c>
      <c r="BP796" s="304" t="str">
        <f t="shared" si="593"/>
        <v/>
      </c>
      <c r="BQ796" s="28"/>
      <c r="BR796" s="304" t="str">
        <f t="shared" si="594"/>
        <v/>
      </c>
      <c r="BS796" s="304" t="str">
        <f t="shared" si="594"/>
        <v/>
      </c>
      <c r="BT796" s="28"/>
      <c r="BU796" s="304" t="str">
        <f t="shared" si="595"/>
        <v/>
      </c>
      <c r="BV796" s="304" t="str">
        <f t="shared" si="595"/>
        <v/>
      </c>
      <c r="BW796" s="28"/>
      <c r="BX796" s="91"/>
    </row>
    <row r="797" spans="1:76" s="55" customFormat="1" x14ac:dyDescent="0.25">
      <c r="A797" s="195">
        <v>101</v>
      </c>
      <c r="B797" s="216" t="str">
        <f t="shared" si="583"/>
        <v>Asia (Sans Japan): FAO. 2017. Global Livestock Environmental Assessment Model (GLEAM)</v>
      </c>
      <c r="C797" s="219" t="s">
        <v>227</v>
      </c>
      <c r="D797" s="219" t="s">
        <v>466</v>
      </c>
      <c r="E797" s="219" t="s">
        <v>98</v>
      </c>
      <c r="F797" s="373" t="s">
        <v>375</v>
      </c>
      <c r="G797" s="220" t="s">
        <v>26</v>
      </c>
      <c r="H797" s="221">
        <v>2010</v>
      </c>
      <c r="I797" s="240"/>
      <c r="J797" s="376">
        <v>31368334268.169998</v>
      </c>
      <c r="K797" s="367" t="s">
        <v>372</v>
      </c>
      <c r="L797" s="337">
        <f>J797/[1]GHGsources!Q15*0.001</f>
        <v>4.0881723130641194E-2</v>
      </c>
      <c r="M797" s="335" t="str">
        <f>'[1]Advanced Controls'!$I$158</f>
        <v>t CH4-CO2eq per kg of protein</v>
      </c>
      <c r="N797" s="238"/>
      <c r="O797" s="227" t="s">
        <v>465</v>
      </c>
      <c r="P797" s="122"/>
      <c r="Q797" s="228"/>
      <c r="R797" s="231">
        <f t="shared" si="586"/>
        <v>4.0881723130641194E-2</v>
      </c>
      <c r="S797" s="230">
        <f t="shared" si="584"/>
        <v>4.0881723130641194E-2</v>
      </c>
      <c r="T797" s="231">
        <f t="shared" si="597"/>
        <v>0</v>
      </c>
      <c r="U797" s="232" t="str">
        <f t="shared" si="585"/>
        <v>t CH4-CO2eq per kg of protein</v>
      </c>
      <c r="V797" s="28"/>
      <c r="W797" s="28"/>
      <c r="Y797" s="91"/>
      <c r="AO797" s="91"/>
      <c r="AP797" s="28"/>
      <c r="AQ797" s="28"/>
      <c r="AR797" s="237"/>
      <c r="AS797" s="28"/>
      <c r="AT797" s="304" t="str">
        <f t="shared" si="596"/>
        <v/>
      </c>
      <c r="AU797" s="304" t="str">
        <f t="shared" si="596"/>
        <v/>
      </c>
      <c r="AV797" s="28"/>
      <c r="AW797" s="304" t="str">
        <f t="shared" si="587"/>
        <v/>
      </c>
      <c r="AX797" s="304" t="str">
        <f t="shared" si="587"/>
        <v/>
      </c>
      <c r="AY797" s="28"/>
      <c r="AZ797" s="304" t="str">
        <f t="shared" si="588"/>
        <v/>
      </c>
      <c r="BA797" s="304" t="str">
        <f t="shared" si="588"/>
        <v/>
      </c>
      <c r="BB797" s="28"/>
      <c r="BC797" s="304">
        <f t="shared" si="589"/>
        <v>4.0881723130641194E-2</v>
      </c>
      <c r="BD797" s="304">
        <f t="shared" si="589"/>
        <v>4.0881723130641194E-2</v>
      </c>
      <c r="BE797" s="28"/>
      <c r="BF797" s="304" t="str">
        <f t="shared" si="590"/>
        <v/>
      </c>
      <c r="BG797" s="304" t="str">
        <f t="shared" si="590"/>
        <v/>
      </c>
      <c r="BH797" s="28"/>
      <c r="BI797" s="304" t="str">
        <f t="shared" si="591"/>
        <v/>
      </c>
      <c r="BJ797" s="304" t="str">
        <f t="shared" si="591"/>
        <v/>
      </c>
      <c r="BK797" s="28"/>
      <c r="BL797" s="304" t="str">
        <f t="shared" si="592"/>
        <v/>
      </c>
      <c r="BM797" s="304" t="str">
        <f t="shared" si="592"/>
        <v/>
      </c>
      <c r="BN797" s="28"/>
      <c r="BO797" s="304" t="str">
        <f t="shared" si="593"/>
        <v/>
      </c>
      <c r="BP797" s="304" t="str">
        <f t="shared" si="593"/>
        <v/>
      </c>
      <c r="BQ797" s="28"/>
      <c r="BR797" s="304" t="str">
        <f t="shared" si="594"/>
        <v/>
      </c>
      <c r="BS797" s="304" t="str">
        <f t="shared" si="594"/>
        <v/>
      </c>
      <c r="BT797" s="28"/>
      <c r="BU797" s="304" t="str">
        <f t="shared" si="595"/>
        <v/>
      </c>
      <c r="BV797" s="304" t="str">
        <f t="shared" si="595"/>
        <v/>
      </c>
      <c r="BW797" s="28"/>
      <c r="BX797" s="91"/>
    </row>
    <row r="798" spans="1:76" s="55" customFormat="1" x14ac:dyDescent="0.25">
      <c r="A798" s="195">
        <v>102</v>
      </c>
      <c r="B798" s="216" t="str">
        <f t="shared" si="583"/>
        <v>Eastern Europe: FAO. 2017. Global Livestock Environmental Assessment Model (GLEAM)</v>
      </c>
      <c r="C798" s="219" t="s">
        <v>227</v>
      </c>
      <c r="D798" s="219" t="s">
        <v>467</v>
      </c>
      <c r="E798" s="219" t="s">
        <v>97</v>
      </c>
      <c r="F798" s="373" t="s">
        <v>97</v>
      </c>
      <c r="G798" s="220" t="s">
        <v>26</v>
      </c>
      <c r="H798" s="221">
        <v>2010</v>
      </c>
      <c r="I798" s="240"/>
      <c r="J798" s="376">
        <v>6754878405.2026005</v>
      </c>
      <c r="K798" s="367" t="s">
        <v>372</v>
      </c>
      <c r="L798" s="337">
        <f>J798/[1]GHGsources!Q16*0.001</f>
        <v>2.8170935629971167E-2</v>
      </c>
      <c r="M798" s="335" t="str">
        <f>'[1]Advanced Controls'!$I$158</f>
        <v>t CH4-CO2eq per kg of protein</v>
      </c>
      <c r="N798" s="238"/>
      <c r="O798" s="227" t="s">
        <v>465</v>
      </c>
      <c r="P798" s="122"/>
      <c r="Q798" s="228"/>
      <c r="R798" s="231">
        <f t="shared" si="586"/>
        <v>2.8170935629971167E-2</v>
      </c>
      <c r="S798" s="230">
        <f t="shared" si="584"/>
        <v>2.8170935629971167E-2</v>
      </c>
      <c r="T798" s="231">
        <f t="shared" si="597"/>
        <v>0</v>
      </c>
      <c r="U798" s="232" t="str">
        <f t="shared" si="585"/>
        <v>t CH4-CO2eq per kg of protein</v>
      </c>
      <c r="V798" s="28"/>
      <c r="W798" s="28"/>
      <c r="Y798" s="91"/>
      <c r="AO798" s="91"/>
      <c r="AP798" s="28"/>
      <c r="AQ798" s="28"/>
      <c r="AR798" s="237"/>
      <c r="AS798" s="28"/>
      <c r="AT798" s="304" t="str">
        <f t="shared" si="596"/>
        <v/>
      </c>
      <c r="AU798" s="304" t="str">
        <f t="shared" si="596"/>
        <v/>
      </c>
      <c r="AV798" s="28"/>
      <c r="AW798" s="304" t="str">
        <f t="shared" si="587"/>
        <v/>
      </c>
      <c r="AX798" s="304" t="str">
        <f t="shared" si="587"/>
        <v/>
      </c>
      <c r="AY798" s="28"/>
      <c r="AZ798" s="304">
        <f t="shared" si="588"/>
        <v>2.8170935629971167E-2</v>
      </c>
      <c r="BA798" s="304">
        <f t="shared" si="588"/>
        <v>2.8170935629971167E-2</v>
      </c>
      <c r="BB798" s="28"/>
      <c r="BC798" s="304" t="str">
        <f t="shared" si="589"/>
        <v/>
      </c>
      <c r="BD798" s="304" t="str">
        <f t="shared" si="589"/>
        <v/>
      </c>
      <c r="BE798" s="28"/>
      <c r="BF798" s="304" t="str">
        <f t="shared" si="590"/>
        <v/>
      </c>
      <c r="BG798" s="304" t="str">
        <f t="shared" si="590"/>
        <v/>
      </c>
      <c r="BH798" s="28"/>
      <c r="BI798" s="304" t="str">
        <f t="shared" si="591"/>
        <v/>
      </c>
      <c r="BJ798" s="304" t="str">
        <f t="shared" si="591"/>
        <v/>
      </c>
      <c r="BK798" s="28"/>
      <c r="BL798" s="304" t="str">
        <f t="shared" si="592"/>
        <v/>
      </c>
      <c r="BM798" s="304" t="str">
        <f t="shared" si="592"/>
        <v/>
      </c>
      <c r="BN798" s="28"/>
      <c r="BO798" s="304" t="str">
        <f t="shared" si="593"/>
        <v/>
      </c>
      <c r="BP798" s="304" t="str">
        <f t="shared" si="593"/>
        <v/>
      </c>
      <c r="BQ798" s="28"/>
      <c r="BR798" s="304" t="str">
        <f t="shared" si="594"/>
        <v/>
      </c>
      <c r="BS798" s="304" t="str">
        <f t="shared" si="594"/>
        <v/>
      </c>
      <c r="BT798" s="28"/>
      <c r="BU798" s="304" t="str">
        <f t="shared" si="595"/>
        <v/>
      </c>
      <c r="BV798" s="304" t="str">
        <f t="shared" si="595"/>
        <v/>
      </c>
      <c r="BW798" s="28"/>
      <c r="BX798" s="91"/>
    </row>
    <row r="799" spans="1:76" s="55" customFormat="1" x14ac:dyDescent="0.25">
      <c r="A799" s="195">
        <v>103</v>
      </c>
      <c r="B799" s="216" t="str">
        <f t="shared" si="583"/>
        <v>Latin America: FAO. 2017. Global Livestock Environmental Assessment Model (GLEAM)</v>
      </c>
      <c r="C799" s="219" t="s">
        <v>227</v>
      </c>
      <c r="D799" s="219" t="s">
        <v>468</v>
      </c>
      <c r="E799" s="219" t="s">
        <v>100</v>
      </c>
      <c r="F799" s="373" t="s">
        <v>378</v>
      </c>
      <c r="G799" s="220" t="s">
        <v>26</v>
      </c>
      <c r="H799" s="221">
        <v>2010</v>
      </c>
      <c r="I799" s="240"/>
      <c r="J799" s="376">
        <v>76776928746.339996</v>
      </c>
      <c r="K799" s="367" t="s">
        <v>372</v>
      </c>
      <c r="L799" s="337">
        <f>J799/[1]GHGsources!Q17*0.001</f>
        <v>8.2474486904457495E-2</v>
      </c>
      <c r="M799" s="335" t="str">
        <f>'[1]Advanced Controls'!$I$158</f>
        <v>t CH4-CO2eq per kg of protein</v>
      </c>
      <c r="N799" s="238"/>
      <c r="O799" s="227" t="s">
        <v>465</v>
      </c>
      <c r="P799" s="122"/>
      <c r="Q799" s="228"/>
      <c r="R799" s="231">
        <f t="shared" si="586"/>
        <v>8.2474486904457495E-2</v>
      </c>
      <c r="S799" s="230">
        <f t="shared" si="584"/>
        <v>8.2474486904457495E-2</v>
      </c>
      <c r="T799" s="231">
        <f t="shared" si="597"/>
        <v>0</v>
      </c>
      <c r="U799" s="232" t="str">
        <f t="shared" si="585"/>
        <v>t CH4-CO2eq per kg of protein</v>
      </c>
      <c r="V799" s="28"/>
      <c r="W799" s="28"/>
      <c r="Y799" s="91"/>
      <c r="AO799" s="91"/>
      <c r="AP799" s="28"/>
      <c r="AQ799" s="28"/>
      <c r="AR799" s="237"/>
      <c r="AS799" s="28"/>
      <c r="AT799" s="304" t="str">
        <f t="shared" si="596"/>
        <v/>
      </c>
      <c r="AU799" s="304" t="str">
        <f t="shared" si="596"/>
        <v/>
      </c>
      <c r="AV799" s="28"/>
      <c r="AW799" s="304" t="str">
        <f t="shared" si="587"/>
        <v/>
      </c>
      <c r="AX799" s="304" t="str">
        <f t="shared" si="587"/>
        <v/>
      </c>
      <c r="AY799" s="28"/>
      <c r="AZ799" s="304" t="str">
        <f t="shared" si="588"/>
        <v/>
      </c>
      <c r="BA799" s="304" t="str">
        <f t="shared" si="588"/>
        <v/>
      </c>
      <c r="BB799" s="28"/>
      <c r="BC799" s="304" t="str">
        <f t="shared" si="589"/>
        <v/>
      </c>
      <c r="BD799" s="304" t="str">
        <f t="shared" si="589"/>
        <v/>
      </c>
      <c r="BE799" s="28"/>
      <c r="BF799" s="304" t="str">
        <f t="shared" si="590"/>
        <v/>
      </c>
      <c r="BG799" s="304" t="str">
        <f t="shared" si="590"/>
        <v/>
      </c>
      <c r="BH799" s="28"/>
      <c r="BI799" s="304">
        <f t="shared" si="591"/>
        <v>8.2474486904457495E-2</v>
      </c>
      <c r="BJ799" s="304">
        <f t="shared" si="591"/>
        <v>8.2474486904457495E-2</v>
      </c>
      <c r="BK799" s="28"/>
      <c r="BL799" s="304" t="str">
        <f t="shared" si="592"/>
        <v/>
      </c>
      <c r="BM799" s="304" t="str">
        <f t="shared" si="592"/>
        <v/>
      </c>
      <c r="BN799" s="28"/>
      <c r="BO799" s="304" t="str">
        <f t="shared" si="593"/>
        <v/>
      </c>
      <c r="BP799" s="304" t="str">
        <f t="shared" si="593"/>
        <v/>
      </c>
      <c r="BQ799" s="28"/>
      <c r="BR799" s="304" t="str">
        <f t="shared" si="594"/>
        <v/>
      </c>
      <c r="BS799" s="304" t="str">
        <f t="shared" si="594"/>
        <v/>
      </c>
      <c r="BT799" s="28"/>
      <c r="BU799" s="304" t="str">
        <f t="shared" si="595"/>
        <v/>
      </c>
      <c r="BV799" s="304" t="str">
        <f t="shared" si="595"/>
        <v/>
      </c>
      <c r="BW799" s="28"/>
      <c r="BX799" s="91"/>
    </row>
    <row r="800" spans="1:76" s="55" customFormat="1" x14ac:dyDescent="0.25">
      <c r="A800" s="195">
        <v>104</v>
      </c>
      <c r="B800" s="216" t="str">
        <f t="shared" si="583"/>
        <v>Middle East and Africa: FAO. 2017. Global Livestock Environmental Assessment Model (GLEAM)</v>
      </c>
      <c r="C800" s="219" t="s">
        <v>227</v>
      </c>
      <c r="D800" s="219" t="s">
        <v>469</v>
      </c>
      <c r="E800" s="219" t="s">
        <v>99</v>
      </c>
      <c r="F800" s="373" t="s">
        <v>380</v>
      </c>
      <c r="G800" s="220" t="s">
        <v>26</v>
      </c>
      <c r="H800" s="221">
        <v>2010</v>
      </c>
      <c r="I800" s="240"/>
      <c r="J800" s="377">
        <v>53506638041.099998</v>
      </c>
      <c r="K800" s="367" t="s">
        <v>372</v>
      </c>
      <c r="L800" s="337">
        <f>J800/[1]GHGsources!Q18*0.001</f>
        <v>9.3702581305742341E-2</v>
      </c>
      <c r="M800" s="335" t="str">
        <f>'[1]Advanced Controls'!$I$158</f>
        <v>t CH4-CO2eq per kg of protein</v>
      </c>
      <c r="N800" s="238"/>
      <c r="O800" s="227" t="s">
        <v>465</v>
      </c>
      <c r="P800" s="122"/>
      <c r="Q800" s="228"/>
      <c r="R800" s="231">
        <f t="shared" si="586"/>
        <v>9.3702581305742341E-2</v>
      </c>
      <c r="S800" s="230">
        <f t="shared" si="584"/>
        <v>9.3702581305742341E-2</v>
      </c>
      <c r="T800" s="231">
        <f t="shared" si="597"/>
        <v>0</v>
      </c>
      <c r="U800" s="232" t="str">
        <f t="shared" si="585"/>
        <v>t CH4-CO2eq per kg of protein</v>
      </c>
      <c r="V800" s="28"/>
      <c r="W800" s="28"/>
      <c r="Y800" s="91"/>
      <c r="AO800" s="91"/>
      <c r="AP800" s="28"/>
      <c r="AQ800" s="28"/>
      <c r="AR800" s="237"/>
      <c r="AS800" s="28"/>
      <c r="AT800" s="304" t="str">
        <f t="shared" si="596"/>
        <v/>
      </c>
      <c r="AU800" s="304" t="str">
        <f t="shared" si="596"/>
        <v/>
      </c>
      <c r="AV800" s="28"/>
      <c r="AW800" s="304" t="str">
        <f t="shared" si="587"/>
        <v/>
      </c>
      <c r="AX800" s="304" t="str">
        <f t="shared" si="587"/>
        <v/>
      </c>
      <c r="AY800" s="28"/>
      <c r="AZ800" s="304" t="str">
        <f t="shared" si="588"/>
        <v/>
      </c>
      <c r="BA800" s="304" t="str">
        <f t="shared" si="588"/>
        <v/>
      </c>
      <c r="BB800" s="28"/>
      <c r="BC800" s="304" t="str">
        <f t="shared" si="589"/>
        <v/>
      </c>
      <c r="BD800" s="304" t="str">
        <f t="shared" si="589"/>
        <v/>
      </c>
      <c r="BE800" s="28"/>
      <c r="BF800" s="304">
        <f t="shared" si="590"/>
        <v>9.3702581305742341E-2</v>
      </c>
      <c r="BG800" s="304">
        <f t="shared" si="590"/>
        <v>9.3702581305742341E-2</v>
      </c>
      <c r="BH800" s="28"/>
      <c r="BI800" s="304" t="str">
        <f t="shared" si="591"/>
        <v/>
      </c>
      <c r="BJ800" s="304" t="str">
        <f t="shared" si="591"/>
        <v/>
      </c>
      <c r="BK800" s="28"/>
      <c r="BL800" s="304" t="str">
        <f t="shared" si="592"/>
        <v/>
      </c>
      <c r="BM800" s="304" t="str">
        <f t="shared" si="592"/>
        <v/>
      </c>
      <c r="BN800" s="28"/>
      <c r="BO800" s="304" t="str">
        <f t="shared" si="593"/>
        <v/>
      </c>
      <c r="BP800" s="304" t="str">
        <f t="shared" si="593"/>
        <v/>
      </c>
      <c r="BQ800" s="28"/>
      <c r="BR800" s="304" t="str">
        <f t="shared" si="594"/>
        <v/>
      </c>
      <c r="BS800" s="304" t="str">
        <f t="shared" si="594"/>
        <v/>
      </c>
      <c r="BT800" s="28"/>
      <c r="BU800" s="304" t="str">
        <f t="shared" si="595"/>
        <v/>
      </c>
      <c r="BV800" s="304" t="str">
        <f t="shared" si="595"/>
        <v/>
      </c>
      <c r="BW800" s="28"/>
      <c r="BX800" s="91"/>
    </row>
    <row r="801" spans="1:76" s="55" customFormat="1" x14ac:dyDescent="0.25">
      <c r="A801" s="195">
        <v>105</v>
      </c>
      <c r="B801" s="216" t="str">
        <f t="shared" si="583"/>
        <v>OECD90: FAO. 2017. Global Livestock Environmental Assessment Model (GLEAM)</v>
      </c>
      <c r="C801" s="219" t="s">
        <v>227</v>
      </c>
      <c r="D801" s="219" t="s">
        <v>470</v>
      </c>
      <c r="E801" s="219" t="s">
        <v>96</v>
      </c>
      <c r="F801" s="373" t="s">
        <v>179</v>
      </c>
      <c r="G801" s="220" t="s">
        <v>26</v>
      </c>
      <c r="H801" s="221">
        <v>2010</v>
      </c>
      <c r="I801" s="240"/>
      <c r="J801" s="377">
        <v>51133539715.5</v>
      </c>
      <c r="K801" s="367" t="s">
        <v>372</v>
      </c>
      <c r="L801" s="337">
        <f>J801/[1]GHGsources!Q19*0.001</f>
        <v>3.7414102551069965E-2</v>
      </c>
      <c r="M801" s="335" t="str">
        <f>'[1]Advanced Controls'!$I$158</f>
        <v>t CH4-CO2eq per kg of protein</v>
      </c>
      <c r="N801" s="238"/>
      <c r="O801" s="227" t="s">
        <v>465</v>
      </c>
      <c r="P801" s="122"/>
      <c r="Q801" s="228"/>
      <c r="R801" s="231">
        <f t="shared" si="586"/>
        <v>3.7414102551069965E-2</v>
      </c>
      <c r="S801" s="230">
        <f t="shared" si="584"/>
        <v>3.7414102551069965E-2</v>
      </c>
      <c r="T801" s="231">
        <f t="shared" si="597"/>
        <v>0</v>
      </c>
      <c r="U801" s="232" t="str">
        <f t="shared" si="585"/>
        <v>t CH4-CO2eq per kg of protein</v>
      </c>
      <c r="V801" s="28"/>
      <c r="W801" s="28"/>
      <c r="Y801" s="91"/>
      <c r="AO801" s="91"/>
      <c r="AP801" s="28"/>
      <c r="AQ801" s="28"/>
      <c r="AR801" s="237"/>
      <c r="AS801" s="28"/>
      <c r="AT801" s="304" t="str">
        <f t="shared" si="596"/>
        <v/>
      </c>
      <c r="AU801" s="304" t="str">
        <f t="shared" si="596"/>
        <v/>
      </c>
      <c r="AV801" s="28"/>
      <c r="AW801" s="304">
        <f t="shared" si="587"/>
        <v>3.7414102551069965E-2</v>
      </c>
      <c r="AX801" s="304">
        <f t="shared" si="587"/>
        <v>3.7414102551069965E-2</v>
      </c>
      <c r="AY801" s="28"/>
      <c r="AZ801" s="304" t="str">
        <f t="shared" si="588"/>
        <v/>
      </c>
      <c r="BA801" s="304" t="str">
        <f t="shared" si="588"/>
        <v/>
      </c>
      <c r="BB801" s="28"/>
      <c r="BC801" s="304" t="str">
        <f t="shared" si="589"/>
        <v/>
      </c>
      <c r="BD801" s="304" t="str">
        <f t="shared" si="589"/>
        <v/>
      </c>
      <c r="BE801" s="28"/>
      <c r="BF801" s="304" t="str">
        <f t="shared" si="590"/>
        <v/>
      </c>
      <c r="BG801" s="304" t="str">
        <f t="shared" si="590"/>
        <v/>
      </c>
      <c r="BH801" s="28"/>
      <c r="BI801" s="304" t="str">
        <f t="shared" si="591"/>
        <v/>
      </c>
      <c r="BJ801" s="304" t="str">
        <f t="shared" si="591"/>
        <v/>
      </c>
      <c r="BK801" s="28"/>
      <c r="BL801" s="304" t="str">
        <f t="shared" si="592"/>
        <v/>
      </c>
      <c r="BM801" s="304" t="str">
        <f t="shared" si="592"/>
        <v/>
      </c>
      <c r="BN801" s="28"/>
      <c r="BO801" s="304" t="str">
        <f t="shared" si="593"/>
        <v/>
      </c>
      <c r="BP801" s="304" t="str">
        <f t="shared" si="593"/>
        <v/>
      </c>
      <c r="BQ801" s="28"/>
      <c r="BR801" s="304" t="str">
        <f t="shared" si="594"/>
        <v/>
      </c>
      <c r="BS801" s="304" t="str">
        <f t="shared" si="594"/>
        <v/>
      </c>
      <c r="BT801" s="28"/>
      <c r="BU801" s="304" t="str">
        <f t="shared" si="595"/>
        <v/>
      </c>
      <c r="BV801" s="304" t="str">
        <f t="shared" si="595"/>
        <v/>
      </c>
      <c r="BW801" s="28"/>
      <c r="BX801" s="91"/>
    </row>
    <row r="802" spans="1:76" s="55" customFormat="1" x14ac:dyDescent="0.25">
      <c r="A802" s="195">
        <v>106</v>
      </c>
      <c r="B802" s="216" t="str">
        <f t="shared" si="583"/>
        <v>OECD90: FAO. 2017. Global Livestock Environmental Assessment Model (GLEAM)</v>
      </c>
      <c r="C802" s="219" t="s">
        <v>227</v>
      </c>
      <c r="D802" s="219" t="s">
        <v>471</v>
      </c>
      <c r="E802" s="219" t="s">
        <v>96</v>
      </c>
      <c r="F802" s="373" t="s">
        <v>185</v>
      </c>
      <c r="G802" s="220" t="s">
        <v>26</v>
      </c>
      <c r="H802" s="221">
        <v>2010</v>
      </c>
      <c r="I802" s="240"/>
      <c r="J802" s="377">
        <v>12109974148.9</v>
      </c>
      <c r="K802" s="367" t="s">
        <v>372</v>
      </c>
      <c r="L802" s="337">
        <f>J802/[1]GHGsources!Q20*0.001</f>
        <v>2.7017675823834155E-2</v>
      </c>
      <c r="M802" s="335" t="str">
        <f>'[1]Advanced Controls'!$I$158</f>
        <v>t CH4-CO2eq per kg of protein</v>
      </c>
      <c r="N802" s="238"/>
      <c r="O802" s="227" t="s">
        <v>465</v>
      </c>
      <c r="P802" s="122"/>
      <c r="Q802" s="228"/>
      <c r="R802" s="231">
        <f t="shared" si="586"/>
        <v>2.7017675823834155E-2</v>
      </c>
      <c r="S802" s="230">
        <f t="shared" si="584"/>
        <v>2.7017675823834155E-2</v>
      </c>
      <c r="T802" s="231">
        <f t="shared" si="597"/>
        <v>0</v>
      </c>
      <c r="U802" s="232" t="str">
        <f t="shared" si="585"/>
        <v>t CH4-CO2eq per kg of protein</v>
      </c>
      <c r="V802" s="28"/>
      <c r="W802" s="28"/>
      <c r="Y802" s="91"/>
      <c r="AO802" s="91"/>
      <c r="AP802" s="28"/>
      <c r="AQ802" s="28"/>
      <c r="AR802" s="237"/>
      <c r="AS802" s="28"/>
      <c r="AT802" s="304" t="str">
        <f t="shared" si="596"/>
        <v/>
      </c>
      <c r="AU802" s="304" t="str">
        <f t="shared" si="596"/>
        <v/>
      </c>
      <c r="AV802" s="28"/>
      <c r="AW802" s="304">
        <f t="shared" si="587"/>
        <v>2.7017675823834155E-2</v>
      </c>
      <c r="AX802" s="304">
        <f t="shared" si="587"/>
        <v>2.7017675823834155E-2</v>
      </c>
      <c r="AY802" s="28"/>
      <c r="AZ802" s="304" t="str">
        <f t="shared" si="588"/>
        <v/>
      </c>
      <c r="BA802" s="304" t="str">
        <f t="shared" si="588"/>
        <v/>
      </c>
      <c r="BB802" s="28"/>
      <c r="BC802" s="304" t="str">
        <f t="shared" si="589"/>
        <v/>
      </c>
      <c r="BD802" s="304" t="str">
        <f t="shared" si="589"/>
        <v/>
      </c>
      <c r="BE802" s="28"/>
      <c r="BF802" s="304" t="str">
        <f t="shared" si="590"/>
        <v/>
      </c>
      <c r="BG802" s="304" t="str">
        <f t="shared" si="590"/>
        <v/>
      </c>
      <c r="BH802" s="28"/>
      <c r="BI802" s="304" t="str">
        <f t="shared" si="591"/>
        <v/>
      </c>
      <c r="BJ802" s="304" t="str">
        <f t="shared" si="591"/>
        <v/>
      </c>
      <c r="BK802" s="28"/>
      <c r="BL802" s="304" t="str">
        <f t="shared" si="592"/>
        <v/>
      </c>
      <c r="BM802" s="304" t="str">
        <f t="shared" si="592"/>
        <v/>
      </c>
      <c r="BN802" s="28"/>
      <c r="BO802" s="304" t="str">
        <f t="shared" si="593"/>
        <v/>
      </c>
      <c r="BP802" s="304" t="str">
        <f t="shared" si="593"/>
        <v/>
      </c>
      <c r="BQ802" s="28"/>
      <c r="BR802" s="304" t="str">
        <f t="shared" si="594"/>
        <v/>
      </c>
      <c r="BS802" s="304" t="str">
        <f t="shared" si="594"/>
        <v/>
      </c>
      <c r="BT802" s="28"/>
      <c r="BU802" s="304" t="str">
        <f t="shared" si="595"/>
        <v/>
      </c>
      <c r="BV802" s="304" t="str">
        <f t="shared" si="595"/>
        <v/>
      </c>
      <c r="BW802" s="28"/>
      <c r="BX802" s="91"/>
    </row>
    <row r="803" spans="1:76" s="55" customFormat="1" x14ac:dyDescent="0.25">
      <c r="A803" s="195">
        <v>107</v>
      </c>
      <c r="B803" s="216" t="str">
        <f t="shared" si="583"/>
        <v>Eastern Europe: FAO. 2017. Global Livestock Environmental Assessment Model (GLEAM)</v>
      </c>
      <c r="C803" s="219" t="s">
        <v>227</v>
      </c>
      <c r="D803" s="219" t="s">
        <v>472</v>
      </c>
      <c r="E803" s="219" t="s">
        <v>97</v>
      </c>
      <c r="F803" s="373" t="s">
        <v>384</v>
      </c>
      <c r="G803" s="220" t="s">
        <v>26</v>
      </c>
      <c r="H803" s="221">
        <v>2010</v>
      </c>
      <c r="I803" s="240"/>
      <c r="J803" s="377">
        <v>11841227965.47683</v>
      </c>
      <c r="K803" s="367" t="s">
        <v>372</v>
      </c>
      <c r="L803" s="338">
        <f>J803/[1]GHGsources!Q21*0.001</f>
        <v>3.1407913350318048E-2</v>
      </c>
      <c r="M803" s="335" t="str">
        <f>'[1]Advanced Controls'!$I$158</f>
        <v>t CH4-CO2eq per kg of protein</v>
      </c>
      <c r="N803" s="238"/>
      <c r="O803" s="227" t="s">
        <v>465</v>
      </c>
      <c r="P803" s="122"/>
      <c r="Q803" s="228"/>
      <c r="R803" s="231">
        <f t="shared" si="586"/>
        <v>3.1407913350318048E-2</v>
      </c>
      <c r="S803" s="230">
        <f t="shared" si="584"/>
        <v>3.1407913350318048E-2</v>
      </c>
      <c r="T803" s="231">
        <f t="shared" si="597"/>
        <v>0</v>
      </c>
      <c r="U803" s="232" t="str">
        <f t="shared" si="585"/>
        <v>t CH4-CO2eq per kg of protein</v>
      </c>
      <c r="V803" s="28"/>
      <c r="W803" s="28"/>
      <c r="Y803" s="91"/>
      <c r="AO803" s="91"/>
      <c r="AP803" s="28"/>
      <c r="AQ803" s="28"/>
      <c r="AR803" s="237"/>
      <c r="AS803" s="28"/>
      <c r="AT803" s="304" t="str">
        <f t="shared" si="596"/>
        <v/>
      </c>
      <c r="AU803" s="304" t="str">
        <f t="shared" si="596"/>
        <v/>
      </c>
      <c r="AV803" s="28"/>
      <c r="AW803" s="304" t="str">
        <f t="shared" si="587"/>
        <v/>
      </c>
      <c r="AX803" s="304" t="str">
        <f t="shared" si="587"/>
        <v/>
      </c>
      <c r="AY803" s="28"/>
      <c r="AZ803" s="304">
        <f t="shared" si="588"/>
        <v>3.1407913350318048E-2</v>
      </c>
      <c r="BA803" s="304">
        <f t="shared" si="588"/>
        <v>3.1407913350318048E-2</v>
      </c>
      <c r="BB803" s="28"/>
      <c r="BC803" s="304" t="str">
        <f t="shared" si="589"/>
        <v/>
      </c>
      <c r="BD803" s="304" t="str">
        <f t="shared" si="589"/>
        <v/>
      </c>
      <c r="BE803" s="28"/>
      <c r="BF803" s="304" t="str">
        <f t="shared" si="590"/>
        <v/>
      </c>
      <c r="BG803" s="304" t="str">
        <f t="shared" si="590"/>
        <v/>
      </c>
      <c r="BH803" s="28"/>
      <c r="BI803" s="304" t="str">
        <f t="shared" si="591"/>
        <v/>
      </c>
      <c r="BJ803" s="304" t="str">
        <f t="shared" si="591"/>
        <v/>
      </c>
      <c r="BK803" s="28"/>
      <c r="BL803" s="304" t="str">
        <f t="shared" si="592"/>
        <v/>
      </c>
      <c r="BM803" s="304" t="str">
        <f t="shared" si="592"/>
        <v/>
      </c>
      <c r="BN803" s="28"/>
      <c r="BO803" s="304" t="str">
        <f t="shared" si="593"/>
        <v/>
      </c>
      <c r="BP803" s="304" t="str">
        <f t="shared" si="593"/>
        <v/>
      </c>
      <c r="BQ803" s="28"/>
      <c r="BR803" s="304" t="str">
        <f t="shared" si="594"/>
        <v/>
      </c>
      <c r="BS803" s="304" t="str">
        <f t="shared" si="594"/>
        <v/>
      </c>
      <c r="BT803" s="28"/>
      <c r="BU803" s="304" t="str">
        <f t="shared" si="595"/>
        <v/>
      </c>
      <c r="BV803" s="304" t="str">
        <f t="shared" si="595"/>
        <v/>
      </c>
      <c r="BW803" s="28"/>
      <c r="BX803" s="91"/>
    </row>
    <row r="804" spans="1:76" s="55" customFormat="1" x14ac:dyDescent="0.25">
      <c r="A804" s="195">
        <v>108</v>
      </c>
      <c r="B804" s="216" t="str">
        <f t="shared" si="583"/>
        <v>Asia (Sans Japan): FAO. 2017. Global Livestock Environmental Assessment Model (GLEAM)</v>
      </c>
      <c r="C804" s="219" t="s">
        <v>227</v>
      </c>
      <c r="D804" s="219" t="s">
        <v>473</v>
      </c>
      <c r="E804" s="219" t="s">
        <v>98</v>
      </c>
      <c r="F804" s="373" t="s">
        <v>386</v>
      </c>
      <c r="G804" s="220" t="s">
        <v>26</v>
      </c>
      <c r="H804" s="221">
        <v>2010</v>
      </c>
      <c r="I804" s="240"/>
      <c r="J804" s="377">
        <v>49215694334.300003</v>
      </c>
      <c r="K804" s="367" t="s">
        <v>372</v>
      </c>
      <c r="L804" s="337">
        <f>J804/[1]GHGsources!Q22*0.001</f>
        <v>8.9199067209859303E-2</v>
      </c>
      <c r="M804" s="335" t="str">
        <f>'[1]Advanced Controls'!$I$158</f>
        <v>t CH4-CO2eq per kg of protein</v>
      </c>
      <c r="N804" s="238"/>
      <c r="O804" s="227" t="s">
        <v>465</v>
      </c>
      <c r="P804" s="122"/>
      <c r="Q804" s="228"/>
      <c r="R804" s="231">
        <f t="shared" si="586"/>
        <v>8.9199067209859303E-2</v>
      </c>
      <c r="S804" s="230">
        <f t="shared" si="584"/>
        <v>8.9199067209859303E-2</v>
      </c>
      <c r="T804" s="231">
        <f t="shared" si="597"/>
        <v>0</v>
      </c>
      <c r="U804" s="232" t="str">
        <f t="shared" si="585"/>
        <v>t CH4-CO2eq per kg of protein</v>
      </c>
      <c r="V804" s="28"/>
      <c r="W804" s="28"/>
      <c r="Y804" s="91"/>
      <c r="AO804" s="91"/>
      <c r="AP804" s="28"/>
      <c r="AQ804" s="28"/>
      <c r="AR804" s="237"/>
      <c r="AS804" s="28"/>
      <c r="AT804" s="304" t="str">
        <f t="shared" si="596"/>
        <v/>
      </c>
      <c r="AU804" s="304" t="str">
        <f t="shared" si="596"/>
        <v/>
      </c>
      <c r="AV804" s="28"/>
      <c r="AW804" s="304" t="str">
        <f t="shared" si="587"/>
        <v/>
      </c>
      <c r="AX804" s="304" t="str">
        <f t="shared" si="587"/>
        <v/>
      </c>
      <c r="AY804" s="28"/>
      <c r="AZ804" s="304" t="str">
        <f t="shared" si="588"/>
        <v/>
      </c>
      <c r="BA804" s="304" t="str">
        <f t="shared" si="588"/>
        <v/>
      </c>
      <c r="BB804" s="28"/>
      <c r="BC804" s="304">
        <f t="shared" si="589"/>
        <v>8.9199067209859303E-2</v>
      </c>
      <c r="BD804" s="304">
        <f t="shared" si="589"/>
        <v>8.9199067209859303E-2</v>
      </c>
      <c r="BE804" s="28"/>
      <c r="BF804" s="304" t="str">
        <f t="shared" si="590"/>
        <v/>
      </c>
      <c r="BG804" s="304" t="str">
        <f t="shared" si="590"/>
        <v/>
      </c>
      <c r="BH804" s="28"/>
      <c r="BI804" s="304" t="str">
        <f t="shared" si="591"/>
        <v/>
      </c>
      <c r="BJ804" s="304" t="str">
        <f t="shared" si="591"/>
        <v/>
      </c>
      <c r="BK804" s="28"/>
      <c r="BL804" s="304" t="str">
        <f t="shared" si="592"/>
        <v/>
      </c>
      <c r="BM804" s="304" t="str">
        <f t="shared" si="592"/>
        <v/>
      </c>
      <c r="BN804" s="28"/>
      <c r="BO804" s="304" t="str">
        <f t="shared" si="593"/>
        <v/>
      </c>
      <c r="BP804" s="304" t="str">
        <f t="shared" si="593"/>
        <v/>
      </c>
      <c r="BQ804" s="28"/>
      <c r="BR804" s="304" t="str">
        <f t="shared" si="594"/>
        <v/>
      </c>
      <c r="BS804" s="304" t="str">
        <f t="shared" si="594"/>
        <v/>
      </c>
      <c r="BT804" s="28"/>
      <c r="BU804" s="304" t="str">
        <f t="shared" si="595"/>
        <v/>
      </c>
      <c r="BV804" s="304" t="str">
        <f t="shared" si="595"/>
        <v/>
      </c>
      <c r="BW804" s="28"/>
      <c r="BX804" s="91"/>
    </row>
    <row r="805" spans="1:76" s="55" customFormat="1" x14ac:dyDescent="0.25">
      <c r="A805" s="195">
        <v>109</v>
      </c>
      <c r="B805" s="216" t="str">
        <f t="shared" si="583"/>
        <v>Middle East and Africa: FAO. 2017. Global Livestock Environmental Assessment Model (GLEAM)</v>
      </c>
      <c r="C805" s="219" t="s">
        <v>227</v>
      </c>
      <c r="D805" s="219" t="s">
        <v>474</v>
      </c>
      <c r="E805" s="219" t="s">
        <v>99</v>
      </c>
      <c r="F805" s="373" t="s">
        <v>388</v>
      </c>
      <c r="G805" s="220" t="s">
        <v>26</v>
      </c>
      <c r="H805" s="221">
        <v>2010</v>
      </c>
      <c r="I805" s="240"/>
      <c r="J805" s="377">
        <v>45380888162</v>
      </c>
      <c r="K805" s="367" t="s">
        <v>372</v>
      </c>
      <c r="L805" s="337">
        <f>J805/[1]GHGsources!Q23*0.001</f>
        <v>0.16330065072477579</v>
      </c>
      <c r="M805" s="335" t="str">
        <f>'[1]Advanced Controls'!$I$158</f>
        <v>t CH4-CO2eq per kg of protein</v>
      </c>
      <c r="N805" s="238"/>
      <c r="O805" s="227" t="s">
        <v>465</v>
      </c>
      <c r="P805" s="122"/>
      <c r="Q805" s="228"/>
      <c r="R805" s="231">
        <f t="shared" si="586"/>
        <v>0.16330065072477579</v>
      </c>
      <c r="S805" s="230">
        <f t="shared" si="584"/>
        <v>0.16330065072477579</v>
      </c>
      <c r="T805" s="231">
        <f t="shared" si="597"/>
        <v>0</v>
      </c>
      <c r="U805" s="232" t="str">
        <f t="shared" si="585"/>
        <v>t CH4-CO2eq per kg of protein</v>
      </c>
      <c r="V805" s="28"/>
      <c r="W805" s="28"/>
      <c r="Y805" s="91"/>
      <c r="AO805" s="91"/>
      <c r="AP805" s="28"/>
      <c r="AQ805" s="28"/>
      <c r="AR805" s="237"/>
      <c r="AS805" s="28"/>
      <c r="AT805" s="304" t="str">
        <f t="shared" si="596"/>
        <v/>
      </c>
      <c r="AU805" s="304" t="str">
        <f t="shared" si="596"/>
        <v/>
      </c>
      <c r="AV805" s="28"/>
      <c r="AW805" s="304" t="str">
        <f t="shared" si="587"/>
        <v/>
      </c>
      <c r="AX805" s="304" t="str">
        <f t="shared" si="587"/>
        <v/>
      </c>
      <c r="AY805" s="28"/>
      <c r="AZ805" s="304" t="str">
        <f t="shared" si="588"/>
        <v/>
      </c>
      <c r="BA805" s="304" t="str">
        <f t="shared" si="588"/>
        <v/>
      </c>
      <c r="BB805" s="28"/>
      <c r="BC805" s="304" t="str">
        <f t="shared" si="589"/>
        <v/>
      </c>
      <c r="BD805" s="304" t="str">
        <f t="shared" si="589"/>
        <v/>
      </c>
      <c r="BE805" s="28"/>
      <c r="BF805" s="304">
        <f t="shared" si="590"/>
        <v>0.16330065072477579</v>
      </c>
      <c r="BG805" s="304">
        <f t="shared" si="590"/>
        <v>0.16330065072477579</v>
      </c>
      <c r="BH805" s="28"/>
      <c r="BI805" s="304" t="str">
        <f t="shared" si="591"/>
        <v/>
      </c>
      <c r="BJ805" s="304" t="str">
        <f t="shared" si="591"/>
        <v/>
      </c>
      <c r="BK805" s="28"/>
      <c r="BL805" s="304" t="str">
        <f t="shared" si="592"/>
        <v/>
      </c>
      <c r="BM805" s="304" t="str">
        <f t="shared" si="592"/>
        <v/>
      </c>
      <c r="BN805" s="28"/>
      <c r="BO805" s="304" t="str">
        <f t="shared" si="593"/>
        <v/>
      </c>
      <c r="BP805" s="304" t="str">
        <f t="shared" si="593"/>
        <v/>
      </c>
      <c r="BQ805" s="28"/>
      <c r="BR805" s="304" t="str">
        <f t="shared" si="594"/>
        <v/>
      </c>
      <c r="BS805" s="304" t="str">
        <f t="shared" si="594"/>
        <v/>
      </c>
      <c r="BT805" s="28"/>
      <c r="BU805" s="304" t="str">
        <f t="shared" si="595"/>
        <v/>
      </c>
      <c r="BV805" s="304" t="str">
        <f t="shared" si="595"/>
        <v/>
      </c>
      <c r="BW805" s="28"/>
      <c r="BX805" s="91"/>
    </row>
    <row r="806" spans="1:76" s="55" customFormat="1" x14ac:dyDescent="0.25">
      <c r="A806" s="195">
        <v>110</v>
      </c>
      <c r="B806" s="216" t="str">
        <f t="shared" si="583"/>
        <v>OECD90: FAO. 2017. Global Livestock Environmental Assessment Model (GLEAM)</v>
      </c>
      <c r="C806" s="219" t="s">
        <v>227</v>
      </c>
      <c r="D806" s="219" t="s">
        <v>475</v>
      </c>
      <c r="E806" s="219" t="s">
        <v>96</v>
      </c>
      <c r="F806" s="373" t="s">
        <v>176</v>
      </c>
      <c r="G806" s="220" t="s">
        <v>26</v>
      </c>
      <c r="H806" s="221">
        <v>2010</v>
      </c>
      <c r="I806" s="240"/>
      <c r="J806" s="377">
        <v>33257953997.139999</v>
      </c>
      <c r="K806" s="367" t="s">
        <v>372</v>
      </c>
      <c r="L806" s="337">
        <f>J806/[1]GHGsources!Q24*0.001</f>
        <v>2.3586275964545062E-2</v>
      </c>
      <c r="M806" s="335" t="str">
        <f>'[1]Advanced Controls'!$I$158</f>
        <v>t CH4-CO2eq per kg of protein</v>
      </c>
      <c r="N806" s="238"/>
      <c r="O806" s="227" t="s">
        <v>465</v>
      </c>
      <c r="P806" s="122"/>
      <c r="Q806" s="228"/>
      <c r="R806" s="231">
        <f t="shared" si="586"/>
        <v>2.3586275964545062E-2</v>
      </c>
      <c r="S806" s="230">
        <f t="shared" si="584"/>
        <v>2.3586275964545062E-2</v>
      </c>
      <c r="T806" s="231">
        <f t="shared" si="597"/>
        <v>0</v>
      </c>
      <c r="U806" s="232" t="str">
        <f t="shared" si="585"/>
        <v>t CH4-CO2eq per kg of protein</v>
      </c>
      <c r="V806" s="28"/>
      <c r="W806" s="28"/>
      <c r="Y806" s="91"/>
      <c r="AO806" s="91"/>
      <c r="AP806" s="28"/>
      <c r="AQ806" s="28"/>
      <c r="AR806" s="237"/>
      <c r="AS806" s="28"/>
      <c r="AT806" s="304" t="str">
        <f t="shared" si="596"/>
        <v/>
      </c>
      <c r="AU806" s="304" t="str">
        <f t="shared" si="596"/>
        <v/>
      </c>
      <c r="AV806" s="28"/>
      <c r="AW806" s="304">
        <f t="shared" si="587"/>
        <v>2.3586275964545062E-2</v>
      </c>
      <c r="AX806" s="304">
        <f t="shared" si="587"/>
        <v>2.3586275964545062E-2</v>
      </c>
      <c r="AY806" s="28"/>
      <c r="AZ806" s="304" t="str">
        <f t="shared" si="588"/>
        <v/>
      </c>
      <c r="BA806" s="304" t="str">
        <f t="shared" si="588"/>
        <v/>
      </c>
      <c r="BB806" s="28"/>
      <c r="BC806" s="304" t="str">
        <f t="shared" si="589"/>
        <v/>
      </c>
      <c r="BD806" s="304" t="str">
        <f t="shared" si="589"/>
        <v/>
      </c>
      <c r="BE806" s="28"/>
      <c r="BF806" s="304" t="str">
        <f t="shared" si="590"/>
        <v/>
      </c>
      <c r="BG806" s="304" t="str">
        <f t="shared" si="590"/>
        <v/>
      </c>
      <c r="BH806" s="28"/>
      <c r="BI806" s="304" t="str">
        <f t="shared" si="591"/>
        <v/>
      </c>
      <c r="BJ806" s="304" t="str">
        <f t="shared" si="591"/>
        <v/>
      </c>
      <c r="BK806" s="28"/>
      <c r="BL806" s="304" t="str">
        <f t="shared" si="592"/>
        <v/>
      </c>
      <c r="BM806" s="304" t="str">
        <f t="shared" si="592"/>
        <v/>
      </c>
      <c r="BN806" s="28"/>
      <c r="BO806" s="304" t="str">
        <f t="shared" si="593"/>
        <v/>
      </c>
      <c r="BP806" s="304" t="str">
        <f t="shared" si="593"/>
        <v/>
      </c>
      <c r="BQ806" s="28"/>
      <c r="BR806" s="304" t="str">
        <f t="shared" si="594"/>
        <v/>
      </c>
      <c r="BS806" s="304" t="str">
        <f t="shared" si="594"/>
        <v/>
      </c>
      <c r="BT806" s="28"/>
      <c r="BU806" s="304" t="str">
        <f t="shared" si="595"/>
        <v/>
      </c>
      <c r="BV806" s="304" t="str">
        <f t="shared" si="595"/>
        <v/>
      </c>
      <c r="BW806" s="28"/>
      <c r="BX806" s="91"/>
    </row>
    <row r="807" spans="1:76" s="55" customFormat="1" x14ac:dyDescent="0.25">
      <c r="A807" s="195">
        <v>111</v>
      </c>
      <c r="B807" s="216" t="str">
        <f t="shared" si="583"/>
        <v>World: FAO. 2017. Global Livestock Environmental Assessment Model (GLEAM)</v>
      </c>
      <c r="C807" s="219" t="s">
        <v>227</v>
      </c>
      <c r="D807" s="378" t="s">
        <v>476</v>
      </c>
      <c r="E807" s="219" t="s">
        <v>95</v>
      </c>
      <c r="F807" s="371" t="s">
        <v>371</v>
      </c>
      <c r="G807" s="220" t="s">
        <v>26</v>
      </c>
      <c r="H807" s="221">
        <v>2010</v>
      </c>
      <c r="I807" s="240"/>
      <c r="J807" s="377">
        <v>151703526558.59363</v>
      </c>
      <c r="K807" s="367" t="s">
        <v>372</v>
      </c>
      <c r="L807" s="337">
        <f>J807/[1]GHGsources!R14*0.001</f>
        <v>1.2705242364033217E-2</v>
      </c>
      <c r="M807" s="335" t="str">
        <f>'[1]Advanced Controls'!$I$158</f>
        <v>t CH4-CO2eq per kg of protein</v>
      </c>
      <c r="N807" s="238"/>
      <c r="O807" s="227" t="s">
        <v>477</v>
      </c>
      <c r="P807" s="122"/>
      <c r="Q807" s="228"/>
      <c r="R807" s="231">
        <f t="shared" si="586"/>
        <v>1.2705242364033217E-2</v>
      </c>
      <c r="S807" s="230">
        <f t="shared" si="584"/>
        <v>1.2705242364033217E-2</v>
      </c>
      <c r="T807" s="231">
        <f t="shared" si="597"/>
        <v>0</v>
      </c>
      <c r="U807" s="232" t="str">
        <f t="shared" si="585"/>
        <v>t CH4-CO2eq per kg of protein</v>
      </c>
      <c r="V807" s="28"/>
      <c r="W807" s="28"/>
      <c r="Y807" s="91"/>
      <c r="AO807" s="91"/>
      <c r="AP807" s="28"/>
      <c r="AQ807" s="28"/>
      <c r="AR807" s="237"/>
      <c r="AS807" s="28"/>
      <c r="AT807" s="304">
        <f t="shared" si="596"/>
        <v>1.2705242364033217E-2</v>
      </c>
      <c r="AU807" s="304">
        <f t="shared" si="596"/>
        <v>1.2705242364033217E-2</v>
      </c>
      <c r="AV807" s="28"/>
      <c r="AW807" s="304" t="str">
        <f t="shared" si="587"/>
        <v/>
      </c>
      <c r="AX807" s="304" t="str">
        <f t="shared" si="587"/>
        <v/>
      </c>
      <c r="AY807" s="28"/>
      <c r="AZ807" s="304" t="str">
        <f t="shared" si="588"/>
        <v/>
      </c>
      <c r="BA807" s="304" t="str">
        <f t="shared" si="588"/>
        <v/>
      </c>
      <c r="BB807" s="28"/>
      <c r="BC807" s="304" t="str">
        <f t="shared" si="589"/>
        <v/>
      </c>
      <c r="BD807" s="304" t="str">
        <f t="shared" si="589"/>
        <v/>
      </c>
      <c r="BE807" s="28"/>
      <c r="BF807" s="304" t="str">
        <f t="shared" si="590"/>
        <v/>
      </c>
      <c r="BG807" s="304" t="str">
        <f t="shared" si="590"/>
        <v/>
      </c>
      <c r="BH807" s="28"/>
      <c r="BI807" s="304" t="str">
        <f t="shared" si="591"/>
        <v/>
      </c>
      <c r="BJ807" s="304" t="str">
        <f t="shared" si="591"/>
        <v/>
      </c>
      <c r="BK807" s="28"/>
      <c r="BL807" s="304" t="str">
        <f t="shared" si="592"/>
        <v/>
      </c>
      <c r="BM807" s="304" t="str">
        <f t="shared" si="592"/>
        <v/>
      </c>
      <c r="BN807" s="28"/>
      <c r="BO807" s="304" t="str">
        <f t="shared" si="593"/>
        <v/>
      </c>
      <c r="BP807" s="304" t="str">
        <f t="shared" si="593"/>
        <v/>
      </c>
      <c r="BQ807" s="28"/>
      <c r="BR807" s="304" t="str">
        <f t="shared" si="594"/>
        <v/>
      </c>
      <c r="BS807" s="304" t="str">
        <f t="shared" si="594"/>
        <v/>
      </c>
      <c r="BT807" s="28"/>
      <c r="BU807" s="304" t="str">
        <f t="shared" si="595"/>
        <v/>
      </c>
      <c r="BV807" s="304" t="str">
        <f t="shared" si="595"/>
        <v/>
      </c>
      <c r="BW807" s="28"/>
      <c r="BX807" s="91"/>
    </row>
    <row r="808" spans="1:76" s="55" customFormat="1" x14ac:dyDescent="0.25">
      <c r="A808" s="195">
        <v>112</v>
      </c>
      <c r="B808" s="216" t="str">
        <f t="shared" si="583"/>
        <v>Asia (Sans Japan): FAO. 2017. Global Livestock Environmental Assessment Model (GLEAM)</v>
      </c>
      <c r="C808" s="219" t="s">
        <v>227</v>
      </c>
      <c r="D808" s="219" t="s">
        <v>478</v>
      </c>
      <c r="E808" s="219" t="s">
        <v>98</v>
      </c>
      <c r="F808" s="373" t="s">
        <v>375</v>
      </c>
      <c r="G808" s="220" t="s">
        <v>26</v>
      </c>
      <c r="H808" s="221">
        <v>2010</v>
      </c>
      <c r="I808" s="240"/>
      <c r="J808" s="377">
        <v>43512282482.290001</v>
      </c>
      <c r="K808" s="367" t="s">
        <v>372</v>
      </c>
      <c r="L808" s="337">
        <f>J808/[1]GHGsources!R15*0.001</f>
        <v>4.495242181754306E-2</v>
      </c>
      <c r="M808" s="335" t="str">
        <f>'[1]Advanced Controls'!$I$158</f>
        <v>t CH4-CO2eq per kg of protein</v>
      </c>
      <c r="N808" s="238"/>
      <c r="O808" s="227" t="s">
        <v>477</v>
      </c>
      <c r="P808" s="122"/>
      <c r="Q808" s="228"/>
      <c r="R808" s="231">
        <f t="shared" si="586"/>
        <v>4.495242181754306E-2</v>
      </c>
      <c r="S808" s="230">
        <f t="shared" si="584"/>
        <v>4.495242181754306E-2</v>
      </c>
      <c r="T808" s="231" t="str">
        <f t="shared" si="597"/>
        <v/>
      </c>
      <c r="U808" s="232" t="str">
        <f t="shared" si="585"/>
        <v>t CH4-CO2eq per kg of protein</v>
      </c>
      <c r="V808" s="28"/>
      <c r="W808" s="28"/>
      <c r="Y808" s="91"/>
      <c r="AO808" s="91"/>
      <c r="AP808" s="28"/>
      <c r="AQ808" s="28"/>
      <c r="AR808" s="237"/>
      <c r="AS808" s="28"/>
      <c r="AT808" s="304" t="str">
        <f t="shared" si="596"/>
        <v/>
      </c>
      <c r="AU808" s="304" t="str">
        <f t="shared" si="596"/>
        <v/>
      </c>
      <c r="AV808" s="28"/>
      <c r="AW808" s="304" t="str">
        <f t="shared" si="587"/>
        <v/>
      </c>
      <c r="AX808" s="304" t="str">
        <f t="shared" si="587"/>
        <v/>
      </c>
      <c r="AY808" s="28"/>
      <c r="AZ808" s="304" t="str">
        <f t="shared" si="588"/>
        <v/>
      </c>
      <c r="BA808" s="304" t="str">
        <f t="shared" si="588"/>
        <v/>
      </c>
      <c r="BB808" s="28"/>
      <c r="BC808" s="304">
        <f t="shared" si="589"/>
        <v>4.495242181754306E-2</v>
      </c>
      <c r="BD808" s="304">
        <f t="shared" si="589"/>
        <v>4.495242181754306E-2</v>
      </c>
      <c r="BE808" s="28"/>
      <c r="BF808" s="304" t="str">
        <f t="shared" si="590"/>
        <v/>
      </c>
      <c r="BG808" s="304" t="str">
        <f t="shared" si="590"/>
        <v/>
      </c>
      <c r="BH808" s="28"/>
      <c r="BI808" s="304" t="str">
        <f t="shared" si="591"/>
        <v/>
      </c>
      <c r="BJ808" s="304" t="str">
        <f t="shared" si="591"/>
        <v/>
      </c>
      <c r="BK808" s="28"/>
      <c r="BL808" s="304" t="str">
        <f t="shared" si="592"/>
        <v/>
      </c>
      <c r="BM808" s="304" t="str">
        <f t="shared" si="592"/>
        <v/>
      </c>
      <c r="BN808" s="28"/>
      <c r="BO808" s="304" t="str">
        <f t="shared" si="593"/>
        <v/>
      </c>
      <c r="BP808" s="304" t="str">
        <f t="shared" si="593"/>
        <v/>
      </c>
      <c r="BQ808" s="28"/>
      <c r="BR808" s="304" t="str">
        <f t="shared" si="594"/>
        <v/>
      </c>
      <c r="BS808" s="304" t="str">
        <f t="shared" si="594"/>
        <v/>
      </c>
      <c r="BT808" s="28"/>
      <c r="BU808" s="304" t="str">
        <f t="shared" si="595"/>
        <v/>
      </c>
      <c r="BV808" s="304" t="str">
        <f t="shared" si="595"/>
        <v/>
      </c>
      <c r="BW808" s="28"/>
      <c r="BX808" s="91"/>
    </row>
    <row r="809" spans="1:76" s="55" customFormat="1" x14ac:dyDescent="0.25">
      <c r="A809" s="195">
        <v>113</v>
      </c>
      <c r="B809" s="216" t="str">
        <f t="shared" si="583"/>
        <v>Eastern Europe: FAO. 2017. Global Livestock Environmental Assessment Model (GLEAM)</v>
      </c>
      <c r="C809" s="219" t="s">
        <v>227</v>
      </c>
      <c r="D809" s="219" t="s">
        <v>479</v>
      </c>
      <c r="E809" s="219" t="s">
        <v>97</v>
      </c>
      <c r="F809" s="373" t="s">
        <v>97</v>
      </c>
      <c r="G809" s="220" t="s">
        <v>26</v>
      </c>
      <c r="H809" s="221">
        <v>2010</v>
      </c>
      <c r="I809" s="240"/>
      <c r="J809" s="377">
        <v>23234818777.639999</v>
      </c>
      <c r="K809" s="367" t="s">
        <v>372</v>
      </c>
      <c r="L809" s="337">
        <f>J809/[1]GHGsources!R16*0.001</f>
        <v>2.7695543767127146E-2</v>
      </c>
      <c r="M809" s="335" t="str">
        <f>'[1]Advanced Controls'!$I$158</f>
        <v>t CH4-CO2eq per kg of protein</v>
      </c>
      <c r="N809" s="238"/>
      <c r="O809" s="227" t="s">
        <v>477</v>
      </c>
      <c r="P809" s="122"/>
      <c r="Q809" s="228"/>
      <c r="R809" s="231">
        <f t="shared" si="586"/>
        <v>2.7695543767127146E-2</v>
      </c>
      <c r="S809" s="230">
        <f t="shared" si="584"/>
        <v>2.7695543767127146E-2</v>
      </c>
      <c r="T809" s="231">
        <f t="shared" si="597"/>
        <v>0</v>
      </c>
      <c r="U809" s="232" t="str">
        <f t="shared" si="585"/>
        <v>t CH4-CO2eq per kg of protein</v>
      </c>
      <c r="V809" s="28"/>
      <c r="W809" s="28"/>
      <c r="Y809" s="91"/>
      <c r="AO809" s="91"/>
      <c r="AP809" s="28"/>
      <c r="AQ809" s="28"/>
      <c r="AR809" s="237"/>
      <c r="AS809" s="28"/>
      <c r="AT809" s="304" t="str">
        <f t="shared" si="596"/>
        <v/>
      </c>
      <c r="AU809" s="304" t="str">
        <f t="shared" si="596"/>
        <v/>
      </c>
      <c r="AV809" s="28"/>
      <c r="AW809" s="304" t="str">
        <f t="shared" si="587"/>
        <v/>
      </c>
      <c r="AX809" s="304" t="str">
        <f t="shared" si="587"/>
        <v/>
      </c>
      <c r="AY809" s="28"/>
      <c r="AZ809" s="304">
        <f t="shared" si="588"/>
        <v>2.7695543767127146E-2</v>
      </c>
      <c r="BA809" s="304">
        <f t="shared" si="588"/>
        <v>2.7695543767127146E-2</v>
      </c>
      <c r="BB809" s="28"/>
      <c r="BC809" s="304" t="str">
        <f t="shared" si="589"/>
        <v/>
      </c>
      <c r="BD809" s="304" t="str">
        <f t="shared" si="589"/>
        <v/>
      </c>
      <c r="BE809" s="28"/>
      <c r="BF809" s="304" t="str">
        <f t="shared" si="590"/>
        <v/>
      </c>
      <c r="BG809" s="304" t="str">
        <f t="shared" si="590"/>
        <v/>
      </c>
      <c r="BH809" s="28"/>
      <c r="BI809" s="304" t="str">
        <f t="shared" si="591"/>
        <v/>
      </c>
      <c r="BJ809" s="304" t="str">
        <f t="shared" si="591"/>
        <v/>
      </c>
      <c r="BK809" s="28"/>
      <c r="BL809" s="304" t="str">
        <f t="shared" si="592"/>
        <v/>
      </c>
      <c r="BM809" s="304" t="str">
        <f t="shared" si="592"/>
        <v/>
      </c>
      <c r="BN809" s="28"/>
      <c r="BO809" s="304" t="str">
        <f t="shared" si="593"/>
        <v/>
      </c>
      <c r="BP809" s="304" t="str">
        <f t="shared" si="593"/>
        <v/>
      </c>
      <c r="BQ809" s="28"/>
      <c r="BR809" s="304" t="str">
        <f t="shared" si="594"/>
        <v/>
      </c>
      <c r="BS809" s="304" t="str">
        <f t="shared" si="594"/>
        <v/>
      </c>
      <c r="BT809" s="28"/>
      <c r="BU809" s="304" t="str">
        <f t="shared" si="595"/>
        <v/>
      </c>
      <c r="BV809" s="304" t="str">
        <f t="shared" si="595"/>
        <v/>
      </c>
      <c r="BW809" s="28"/>
      <c r="BX809" s="91"/>
    </row>
    <row r="810" spans="1:76" s="55" customFormat="1" x14ac:dyDescent="0.25">
      <c r="A810" s="195">
        <v>114</v>
      </c>
      <c r="B810" s="216" t="str">
        <f t="shared" si="583"/>
        <v>Latin America: FAO. 2017. Global Livestock Environmental Assessment Model (GLEAM)</v>
      </c>
      <c r="C810" s="219" t="s">
        <v>227</v>
      </c>
      <c r="D810" s="219" t="s">
        <v>480</v>
      </c>
      <c r="E810" s="219" t="s">
        <v>100</v>
      </c>
      <c r="F810" s="373" t="s">
        <v>378</v>
      </c>
      <c r="G810" s="220" t="s">
        <v>26</v>
      </c>
      <c r="H810" s="221">
        <v>2010</v>
      </c>
      <c r="I810" s="240"/>
      <c r="J810" s="377">
        <v>100862503637.52</v>
      </c>
      <c r="K810" s="367" t="s">
        <v>372</v>
      </c>
      <c r="L810" s="337">
        <f>J810/[1]GHGsources!R17*0.001</f>
        <v>6.6096608797016149E-2</v>
      </c>
      <c r="M810" s="335" t="str">
        <f>'[1]Advanced Controls'!$I$158</f>
        <v>t CH4-CO2eq per kg of protein</v>
      </c>
      <c r="N810" s="238"/>
      <c r="O810" s="227" t="s">
        <v>477</v>
      </c>
      <c r="P810" s="122"/>
      <c r="Q810" s="228"/>
      <c r="R810" s="231">
        <f t="shared" si="586"/>
        <v>6.6096608797016149E-2</v>
      </c>
      <c r="S810" s="230">
        <f t="shared" si="584"/>
        <v>6.6096608797016149E-2</v>
      </c>
      <c r="T810" s="231">
        <f t="shared" si="597"/>
        <v>0</v>
      </c>
      <c r="U810" s="232" t="str">
        <f t="shared" si="585"/>
        <v>t CH4-CO2eq per kg of protein</v>
      </c>
      <c r="V810" s="28"/>
      <c r="W810" s="28"/>
      <c r="Y810" s="91"/>
      <c r="AO810" s="91"/>
      <c r="AP810" s="28"/>
      <c r="AQ810" s="28"/>
      <c r="AR810" s="237"/>
      <c r="AS810" s="28"/>
      <c r="AT810" s="304" t="str">
        <f t="shared" si="596"/>
        <v/>
      </c>
      <c r="AU810" s="304" t="str">
        <f t="shared" si="596"/>
        <v/>
      </c>
      <c r="AV810" s="28"/>
      <c r="AW810" s="304" t="str">
        <f t="shared" si="587"/>
        <v/>
      </c>
      <c r="AX810" s="304" t="str">
        <f t="shared" si="587"/>
        <v/>
      </c>
      <c r="AY810" s="28"/>
      <c r="AZ810" s="304" t="str">
        <f t="shared" si="588"/>
        <v/>
      </c>
      <c r="BA810" s="304" t="str">
        <f t="shared" si="588"/>
        <v/>
      </c>
      <c r="BB810" s="28"/>
      <c r="BC810" s="304" t="str">
        <f t="shared" si="589"/>
        <v/>
      </c>
      <c r="BD810" s="304" t="str">
        <f t="shared" si="589"/>
        <v/>
      </c>
      <c r="BE810" s="28"/>
      <c r="BF810" s="304" t="str">
        <f t="shared" si="590"/>
        <v/>
      </c>
      <c r="BG810" s="304" t="str">
        <f t="shared" si="590"/>
        <v/>
      </c>
      <c r="BH810" s="28"/>
      <c r="BI810" s="304">
        <f t="shared" si="591"/>
        <v>6.6096608797016149E-2</v>
      </c>
      <c r="BJ810" s="304">
        <f t="shared" si="591"/>
        <v>6.6096608797016149E-2</v>
      </c>
      <c r="BK810" s="28"/>
      <c r="BL810" s="304" t="str">
        <f t="shared" si="592"/>
        <v/>
      </c>
      <c r="BM810" s="304" t="str">
        <f t="shared" si="592"/>
        <v/>
      </c>
      <c r="BN810" s="28"/>
      <c r="BO810" s="304" t="str">
        <f t="shared" si="593"/>
        <v/>
      </c>
      <c r="BP810" s="304" t="str">
        <f t="shared" si="593"/>
        <v/>
      </c>
      <c r="BQ810" s="28"/>
      <c r="BR810" s="304" t="str">
        <f t="shared" si="594"/>
        <v/>
      </c>
      <c r="BS810" s="304" t="str">
        <f t="shared" si="594"/>
        <v/>
      </c>
      <c r="BT810" s="28"/>
      <c r="BU810" s="304" t="str">
        <f t="shared" si="595"/>
        <v/>
      </c>
      <c r="BV810" s="304" t="str">
        <f t="shared" si="595"/>
        <v/>
      </c>
      <c r="BW810" s="28"/>
      <c r="BX810" s="91"/>
    </row>
    <row r="811" spans="1:76" s="55" customFormat="1" x14ac:dyDescent="0.25">
      <c r="A811" s="195">
        <v>115</v>
      </c>
      <c r="B811" s="216" t="str">
        <f t="shared" si="583"/>
        <v>Middle East and Africa: FAO. 2017. Global Livestock Environmental Assessment Model (GLEAM)</v>
      </c>
      <c r="C811" s="219" t="s">
        <v>227</v>
      </c>
      <c r="D811" s="219" t="s">
        <v>481</v>
      </c>
      <c r="E811" s="219" t="s">
        <v>99</v>
      </c>
      <c r="F811" s="373" t="s">
        <v>380</v>
      </c>
      <c r="G811" s="220" t="s">
        <v>26</v>
      </c>
      <c r="H811" s="221">
        <v>2010</v>
      </c>
      <c r="I811" s="240"/>
      <c r="J811" s="377">
        <v>62780044420.199997</v>
      </c>
      <c r="K811" s="367" t="s">
        <v>372</v>
      </c>
      <c r="L811" s="337">
        <f>J811/[1]GHGsources!R18*0.001</f>
        <v>7.2288569112202286E-2</v>
      </c>
      <c r="M811" s="335" t="str">
        <f>'[1]Advanced Controls'!$I$158</f>
        <v>t CH4-CO2eq per kg of protein</v>
      </c>
      <c r="N811" s="238"/>
      <c r="O811" s="227" t="s">
        <v>477</v>
      </c>
      <c r="P811" s="122"/>
      <c r="Q811" s="228"/>
      <c r="R811" s="231">
        <f t="shared" si="586"/>
        <v>7.2288569112202286E-2</v>
      </c>
      <c r="S811" s="230">
        <f t="shared" si="584"/>
        <v>7.2288569112202286E-2</v>
      </c>
      <c r="T811" s="231" t="str">
        <f t="shared" si="597"/>
        <v/>
      </c>
      <c r="U811" s="232" t="str">
        <f t="shared" si="585"/>
        <v>t CH4-CO2eq per kg of protein</v>
      </c>
      <c r="V811" s="28"/>
      <c r="W811" s="28"/>
      <c r="Y811" s="91"/>
      <c r="AO811" s="91"/>
      <c r="AP811" s="28"/>
      <c r="AQ811" s="28"/>
      <c r="AR811" s="237"/>
      <c r="AS811" s="28"/>
      <c r="AT811" s="304" t="str">
        <f t="shared" si="596"/>
        <v/>
      </c>
      <c r="AU811" s="304" t="str">
        <f t="shared" si="596"/>
        <v/>
      </c>
      <c r="AV811" s="28"/>
      <c r="AW811" s="304" t="str">
        <f t="shared" si="587"/>
        <v/>
      </c>
      <c r="AX811" s="304" t="str">
        <f t="shared" si="587"/>
        <v/>
      </c>
      <c r="AY811" s="28"/>
      <c r="AZ811" s="304" t="str">
        <f t="shared" si="588"/>
        <v/>
      </c>
      <c r="BA811" s="304" t="str">
        <f t="shared" si="588"/>
        <v/>
      </c>
      <c r="BB811" s="28"/>
      <c r="BC811" s="304" t="str">
        <f t="shared" si="589"/>
        <v/>
      </c>
      <c r="BD811" s="304" t="str">
        <f t="shared" si="589"/>
        <v/>
      </c>
      <c r="BE811" s="28"/>
      <c r="BF811" s="304">
        <f t="shared" si="590"/>
        <v>7.2288569112202286E-2</v>
      </c>
      <c r="BG811" s="304">
        <f t="shared" si="590"/>
        <v>7.2288569112202286E-2</v>
      </c>
      <c r="BH811" s="28"/>
      <c r="BI811" s="304" t="str">
        <f t="shared" si="591"/>
        <v/>
      </c>
      <c r="BJ811" s="304" t="str">
        <f t="shared" si="591"/>
        <v/>
      </c>
      <c r="BK811" s="28"/>
      <c r="BL811" s="304" t="str">
        <f t="shared" si="592"/>
        <v/>
      </c>
      <c r="BM811" s="304" t="str">
        <f t="shared" si="592"/>
        <v/>
      </c>
      <c r="BN811" s="28"/>
      <c r="BO811" s="304" t="str">
        <f t="shared" si="593"/>
        <v/>
      </c>
      <c r="BP811" s="304" t="str">
        <f t="shared" si="593"/>
        <v/>
      </c>
      <c r="BQ811" s="28"/>
      <c r="BR811" s="304" t="str">
        <f t="shared" si="594"/>
        <v/>
      </c>
      <c r="BS811" s="304" t="str">
        <f t="shared" si="594"/>
        <v/>
      </c>
      <c r="BT811" s="28"/>
      <c r="BU811" s="304" t="str">
        <f t="shared" si="595"/>
        <v/>
      </c>
      <c r="BV811" s="304" t="str">
        <f t="shared" si="595"/>
        <v/>
      </c>
      <c r="BW811" s="28"/>
      <c r="BX811" s="91"/>
    </row>
    <row r="812" spans="1:76" s="55" customFormat="1" x14ac:dyDescent="0.25">
      <c r="A812" s="195">
        <v>116</v>
      </c>
      <c r="B812" s="216" t="str">
        <f t="shared" si="583"/>
        <v>OECD90: FAO. 2017. Global Livestock Environmental Assessment Model (GLEAM)</v>
      </c>
      <c r="C812" s="219" t="s">
        <v>227</v>
      </c>
      <c r="D812" s="219" t="s">
        <v>482</v>
      </c>
      <c r="E812" s="219" t="s">
        <v>96</v>
      </c>
      <c r="F812" s="373" t="s">
        <v>179</v>
      </c>
      <c r="G812" s="220" t="s">
        <v>26</v>
      </c>
      <c r="H812" s="221">
        <v>2010</v>
      </c>
      <c r="I812" s="240"/>
      <c r="J812" s="377">
        <v>53247808065</v>
      </c>
      <c r="K812" s="367" t="s">
        <v>372</v>
      </c>
      <c r="L812" s="337">
        <f>J812/[1]GHGsources!R19*0.001</f>
        <v>3.4880597737820138E-2</v>
      </c>
      <c r="M812" s="335" t="str">
        <f>'[1]Advanced Controls'!$I$158</f>
        <v>t CH4-CO2eq per kg of protein</v>
      </c>
      <c r="N812" s="238"/>
      <c r="O812" s="227" t="s">
        <v>477</v>
      </c>
      <c r="P812" s="122"/>
      <c r="Q812" s="228"/>
      <c r="R812" s="231">
        <f t="shared" si="586"/>
        <v>3.4880597737820138E-2</v>
      </c>
      <c r="S812" s="230">
        <f t="shared" si="584"/>
        <v>3.4880597737820138E-2</v>
      </c>
      <c r="T812" s="231" t="str">
        <f t="shared" si="597"/>
        <v/>
      </c>
      <c r="U812" s="232" t="str">
        <f t="shared" si="585"/>
        <v>t CH4-CO2eq per kg of protein</v>
      </c>
      <c r="V812" s="28"/>
      <c r="W812" s="28"/>
      <c r="Y812" s="91"/>
      <c r="AO812" s="91"/>
      <c r="AP812" s="28"/>
      <c r="AQ812" s="28"/>
      <c r="AR812" s="237"/>
      <c r="AS812" s="28"/>
      <c r="AT812" s="304" t="str">
        <f t="shared" si="596"/>
        <v/>
      </c>
      <c r="AU812" s="304" t="str">
        <f t="shared" si="596"/>
        <v/>
      </c>
      <c r="AV812" s="28"/>
      <c r="AW812" s="304">
        <f t="shared" si="587"/>
        <v>3.4880597737820138E-2</v>
      </c>
      <c r="AX812" s="304">
        <f t="shared" si="587"/>
        <v>3.4880597737820138E-2</v>
      </c>
      <c r="AY812" s="28"/>
      <c r="AZ812" s="304" t="str">
        <f t="shared" si="588"/>
        <v/>
      </c>
      <c r="BA812" s="304" t="str">
        <f t="shared" si="588"/>
        <v/>
      </c>
      <c r="BB812" s="28"/>
      <c r="BC812" s="304" t="str">
        <f t="shared" si="589"/>
        <v/>
      </c>
      <c r="BD812" s="304" t="str">
        <f t="shared" si="589"/>
        <v/>
      </c>
      <c r="BE812" s="28"/>
      <c r="BF812" s="304" t="str">
        <f t="shared" si="590"/>
        <v/>
      </c>
      <c r="BG812" s="304" t="str">
        <f t="shared" si="590"/>
        <v/>
      </c>
      <c r="BH812" s="28"/>
      <c r="BI812" s="304" t="str">
        <f t="shared" si="591"/>
        <v/>
      </c>
      <c r="BJ812" s="304" t="str">
        <f t="shared" si="591"/>
        <v/>
      </c>
      <c r="BK812" s="28"/>
      <c r="BL812" s="304" t="str">
        <f t="shared" si="592"/>
        <v/>
      </c>
      <c r="BM812" s="304" t="str">
        <f t="shared" si="592"/>
        <v/>
      </c>
      <c r="BN812" s="28"/>
      <c r="BO812" s="304" t="str">
        <f t="shared" si="593"/>
        <v/>
      </c>
      <c r="BP812" s="304" t="str">
        <f t="shared" si="593"/>
        <v/>
      </c>
      <c r="BQ812" s="28"/>
      <c r="BR812" s="304" t="str">
        <f t="shared" si="594"/>
        <v/>
      </c>
      <c r="BS812" s="304" t="str">
        <f t="shared" si="594"/>
        <v/>
      </c>
      <c r="BT812" s="28"/>
      <c r="BU812" s="304" t="str">
        <f t="shared" si="595"/>
        <v/>
      </c>
      <c r="BV812" s="304" t="str">
        <f t="shared" si="595"/>
        <v/>
      </c>
      <c r="BW812" s="28"/>
      <c r="BX812" s="91"/>
    </row>
    <row r="813" spans="1:76" s="55" customFormat="1" x14ac:dyDescent="0.25">
      <c r="A813" s="195">
        <v>117</v>
      </c>
      <c r="B813" s="216" t="str">
        <f t="shared" si="583"/>
        <v>OECD90: FAO. 2017. Global Livestock Environmental Assessment Model (GLEAM)</v>
      </c>
      <c r="C813" s="219" t="s">
        <v>227</v>
      </c>
      <c r="D813" s="219" t="s">
        <v>483</v>
      </c>
      <c r="E813" s="219" t="s">
        <v>96</v>
      </c>
      <c r="F813" s="373" t="s">
        <v>185</v>
      </c>
      <c r="G813" s="220" t="s">
        <v>26</v>
      </c>
      <c r="H813" s="221">
        <v>2010</v>
      </c>
      <c r="I813" s="240"/>
      <c r="J813" s="377">
        <v>9689531314.0736408</v>
      </c>
      <c r="K813" s="367" t="s">
        <v>372</v>
      </c>
      <c r="L813" s="337">
        <f>J813/[1]GHGsources!R20*0.001</f>
        <v>2.7596367575693198E-2</v>
      </c>
      <c r="M813" s="335" t="str">
        <f>'[1]Advanced Controls'!$I$158</f>
        <v>t CH4-CO2eq per kg of protein</v>
      </c>
      <c r="N813" s="238"/>
      <c r="O813" s="227" t="s">
        <v>477</v>
      </c>
      <c r="P813" s="122"/>
      <c r="Q813" s="228"/>
      <c r="R813" s="231">
        <f t="shared" si="586"/>
        <v>2.7596367575693198E-2</v>
      </c>
      <c r="S813" s="230">
        <f t="shared" si="584"/>
        <v>2.7596367575693198E-2</v>
      </c>
      <c r="T813" s="231">
        <f t="shared" si="597"/>
        <v>0</v>
      </c>
      <c r="U813" s="232" t="str">
        <f t="shared" si="585"/>
        <v>t CH4-CO2eq per kg of protein</v>
      </c>
      <c r="V813" s="28"/>
      <c r="W813" s="28"/>
      <c r="Y813" s="91"/>
      <c r="AO813" s="91"/>
      <c r="AP813" s="28"/>
      <c r="AQ813" s="28"/>
      <c r="AR813" s="237"/>
      <c r="AS813" s="28"/>
      <c r="AT813" s="304" t="str">
        <f t="shared" si="596"/>
        <v/>
      </c>
      <c r="AU813" s="304" t="str">
        <f t="shared" si="596"/>
        <v/>
      </c>
      <c r="AV813" s="28"/>
      <c r="AW813" s="304">
        <f t="shared" si="587"/>
        <v>2.7596367575693198E-2</v>
      </c>
      <c r="AX813" s="304">
        <f t="shared" si="587"/>
        <v>2.7596367575693198E-2</v>
      </c>
      <c r="AY813" s="28"/>
      <c r="AZ813" s="304" t="str">
        <f t="shared" si="588"/>
        <v/>
      </c>
      <c r="BA813" s="304" t="str">
        <f t="shared" si="588"/>
        <v/>
      </c>
      <c r="BB813" s="28"/>
      <c r="BC813" s="304" t="str">
        <f t="shared" si="589"/>
        <v/>
      </c>
      <c r="BD813" s="304" t="str">
        <f t="shared" si="589"/>
        <v/>
      </c>
      <c r="BE813" s="28"/>
      <c r="BF813" s="304" t="str">
        <f t="shared" si="590"/>
        <v/>
      </c>
      <c r="BG813" s="304" t="str">
        <f t="shared" si="590"/>
        <v/>
      </c>
      <c r="BH813" s="28"/>
      <c r="BI813" s="304" t="str">
        <f t="shared" si="591"/>
        <v/>
      </c>
      <c r="BJ813" s="304" t="str">
        <f t="shared" si="591"/>
        <v/>
      </c>
      <c r="BK813" s="28"/>
      <c r="BL813" s="304" t="str">
        <f t="shared" si="592"/>
        <v/>
      </c>
      <c r="BM813" s="304" t="str">
        <f t="shared" si="592"/>
        <v/>
      </c>
      <c r="BN813" s="28"/>
      <c r="BO813" s="304" t="str">
        <f t="shared" si="593"/>
        <v/>
      </c>
      <c r="BP813" s="304" t="str">
        <f t="shared" si="593"/>
        <v/>
      </c>
      <c r="BQ813" s="28"/>
      <c r="BR813" s="304" t="str">
        <f t="shared" si="594"/>
        <v/>
      </c>
      <c r="BS813" s="304" t="str">
        <f t="shared" si="594"/>
        <v/>
      </c>
      <c r="BT813" s="28"/>
      <c r="BU813" s="304" t="str">
        <f t="shared" si="595"/>
        <v/>
      </c>
      <c r="BV813" s="304" t="str">
        <f t="shared" si="595"/>
        <v/>
      </c>
      <c r="BW813" s="28"/>
      <c r="BX813" s="91"/>
    </row>
    <row r="814" spans="1:76" s="55" customFormat="1" x14ac:dyDescent="0.25">
      <c r="A814" s="195">
        <v>118</v>
      </c>
      <c r="B814" s="216" t="str">
        <f t="shared" si="583"/>
        <v>Eastern Europe: FAO. 2017. Global Livestock Environmental Assessment Model (GLEAM)</v>
      </c>
      <c r="C814" s="219" t="s">
        <v>227</v>
      </c>
      <c r="D814" s="219" t="s">
        <v>484</v>
      </c>
      <c r="E814" s="219" t="s">
        <v>97</v>
      </c>
      <c r="F814" s="373" t="s">
        <v>384</v>
      </c>
      <c r="G814" s="220" t="s">
        <v>26</v>
      </c>
      <c r="H814" s="221">
        <v>2010</v>
      </c>
      <c r="I814" s="240"/>
      <c r="J814" s="377">
        <v>14338956136.271441</v>
      </c>
      <c r="K814" s="367" t="s">
        <v>372</v>
      </c>
      <c r="L814" s="337">
        <f>J814/[1]GHGsources!R21*0.001</f>
        <v>2.9899427664300308E-2</v>
      </c>
      <c r="M814" s="335" t="str">
        <f>'[1]Advanced Controls'!$I$158</f>
        <v>t CH4-CO2eq per kg of protein</v>
      </c>
      <c r="N814" s="238"/>
      <c r="O814" s="227" t="s">
        <v>477</v>
      </c>
      <c r="P814" s="122"/>
      <c r="Q814" s="228"/>
      <c r="R814" s="231">
        <f t="shared" si="586"/>
        <v>2.9899427664300308E-2</v>
      </c>
      <c r="S814" s="230">
        <f t="shared" si="584"/>
        <v>2.9899427664300308E-2</v>
      </c>
      <c r="T814" s="231">
        <f t="shared" si="597"/>
        <v>0</v>
      </c>
      <c r="U814" s="232" t="str">
        <f t="shared" si="585"/>
        <v>t CH4-CO2eq per kg of protein</v>
      </c>
      <c r="V814" s="28"/>
      <c r="W814" s="28"/>
      <c r="Y814" s="91"/>
      <c r="AO814" s="91"/>
      <c r="AP814" s="28"/>
      <c r="AQ814" s="28"/>
      <c r="AR814" s="237"/>
      <c r="AS814" s="28"/>
      <c r="AT814" s="304" t="str">
        <f t="shared" si="596"/>
        <v/>
      </c>
      <c r="AU814" s="304" t="str">
        <f t="shared" si="596"/>
        <v/>
      </c>
      <c r="AV814" s="28"/>
      <c r="AW814" s="304" t="str">
        <f t="shared" si="587"/>
        <v/>
      </c>
      <c r="AX814" s="304" t="str">
        <f t="shared" si="587"/>
        <v/>
      </c>
      <c r="AY814" s="28"/>
      <c r="AZ814" s="304">
        <f t="shared" si="588"/>
        <v>2.9899427664300308E-2</v>
      </c>
      <c r="BA814" s="304">
        <f t="shared" si="588"/>
        <v>2.9899427664300308E-2</v>
      </c>
      <c r="BB814" s="28"/>
      <c r="BC814" s="304" t="str">
        <f t="shared" si="589"/>
        <v/>
      </c>
      <c r="BD814" s="304" t="str">
        <f t="shared" si="589"/>
        <v/>
      </c>
      <c r="BE814" s="28"/>
      <c r="BF814" s="304" t="str">
        <f t="shared" si="590"/>
        <v/>
      </c>
      <c r="BG814" s="304" t="str">
        <f t="shared" si="590"/>
        <v/>
      </c>
      <c r="BH814" s="28"/>
      <c r="BI814" s="304" t="str">
        <f t="shared" si="591"/>
        <v/>
      </c>
      <c r="BJ814" s="304" t="str">
        <f t="shared" si="591"/>
        <v/>
      </c>
      <c r="BK814" s="28"/>
      <c r="BL814" s="304" t="str">
        <f t="shared" si="592"/>
        <v/>
      </c>
      <c r="BM814" s="304" t="str">
        <f t="shared" si="592"/>
        <v/>
      </c>
      <c r="BN814" s="28"/>
      <c r="BO814" s="304" t="str">
        <f t="shared" si="593"/>
        <v/>
      </c>
      <c r="BP814" s="304" t="str">
        <f t="shared" si="593"/>
        <v/>
      </c>
      <c r="BQ814" s="28"/>
      <c r="BR814" s="304" t="str">
        <f t="shared" si="594"/>
        <v/>
      </c>
      <c r="BS814" s="304" t="str">
        <f t="shared" si="594"/>
        <v/>
      </c>
      <c r="BT814" s="28"/>
      <c r="BU814" s="304" t="str">
        <f t="shared" si="595"/>
        <v/>
      </c>
      <c r="BV814" s="304" t="str">
        <f t="shared" si="595"/>
        <v/>
      </c>
      <c r="BW814" s="28"/>
      <c r="BX814" s="91"/>
    </row>
    <row r="815" spans="1:76" s="55" customFormat="1" x14ac:dyDescent="0.25">
      <c r="A815" s="195">
        <v>119</v>
      </c>
      <c r="B815" s="216" t="str">
        <f t="shared" si="583"/>
        <v>Asia (Sans Japan): FAO. 2017. Global Livestock Environmental Assessment Model (GLEAM)</v>
      </c>
      <c r="C815" s="219" t="s">
        <v>227</v>
      </c>
      <c r="D815" s="219" t="s">
        <v>485</v>
      </c>
      <c r="E815" s="219" t="s">
        <v>98</v>
      </c>
      <c r="F815" s="373" t="s">
        <v>386</v>
      </c>
      <c r="G815" s="220" t="s">
        <v>26</v>
      </c>
      <c r="H815" s="221">
        <v>2010</v>
      </c>
      <c r="I815" s="240"/>
      <c r="J815" s="377">
        <v>174975644124.10001</v>
      </c>
      <c r="K815" s="367" t="s">
        <v>372</v>
      </c>
      <c r="L815" s="337">
        <f>J815/[1]GHGsources!R22*0.001</f>
        <v>8.4390651236624092E-2</v>
      </c>
      <c r="M815" s="335" t="str">
        <f>'[1]Advanced Controls'!$I$158</f>
        <v>t CH4-CO2eq per kg of protein</v>
      </c>
      <c r="N815" s="238"/>
      <c r="O815" s="227" t="s">
        <v>477</v>
      </c>
      <c r="P815" s="122"/>
      <c r="Q815" s="228"/>
      <c r="R815" s="231">
        <f t="shared" si="586"/>
        <v>8.4390651236624092E-2</v>
      </c>
      <c r="S815" s="230">
        <f t="shared" si="584"/>
        <v>8.4390651236624092E-2</v>
      </c>
      <c r="T815" s="231" t="str">
        <f t="shared" si="597"/>
        <v/>
      </c>
      <c r="U815" s="232" t="str">
        <f t="shared" si="585"/>
        <v>t CH4-CO2eq per kg of protein</v>
      </c>
      <c r="V815" s="28"/>
      <c r="W815" s="28"/>
      <c r="Y815" s="91"/>
      <c r="AO815" s="91"/>
      <c r="AP815" s="28"/>
      <c r="AQ815" s="28"/>
      <c r="AR815" s="237"/>
      <c r="AS815" s="28"/>
      <c r="AT815" s="304" t="str">
        <f t="shared" si="596"/>
        <v/>
      </c>
      <c r="AU815" s="304" t="str">
        <f t="shared" si="596"/>
        <v/>
      </c>
      <c r="AV815" s="28"/>
      <c r="AW815" s="304" t="str">
        <f t="shared" si="587"/>
        <v/>
      </c>
      <c r="AX815" s="304" t="str">
        <f t="shared" si="587"/>
        <v/>
      </c>
      <c r="AY815" s="28"/>
      <c r="AZ815" s="304" t="str">
        <f t="shared" si="588"/>
        <v/>
      </c>
      <c r="BA815" s="304" t="str">
        <f t="shared" si="588"/>
        <v/>
      </c>
      <c r="BB815" s="28"/>
      <c r="BC815" s="304">
        <f t="shared" si="589"/>
        <v>8.4390651236624092E-2</v>
      </c>
      <c r="BD815" s="304">
        <f t="shared" si="589"/>
        <v>8.4390651236624092E-2</v>
      </c>
      <c r="BE815" s="28"/>
      <c r="BF815" s="304" t="str">
        <f t="shared" si="590"/>
        <v/>
      </c>
      <c r="BG815" s="304" t="str">
        <f t="shared" si="590"/>
        <v/>
      </c>
      <c r="BH815" s="28"/>
      <c r="BI815" s="304" t="str">
        <f t="shared" si="591"/>
        <v/>
      </c>
      <c r="BJ815" s="304" t="str">
        <f t="shared" si="591"/>
        <v/>
      </c>
      <c r="BK815" s="28"/>
      <c r="BL815" s="304" t="str">
        <f t="shared" si="592"/>
        <v/>
      </c>
      <c r="BM815" s="304" t="str">
        <f t="shared" si="592"/>
        <v/>
      </c>
      <c r="BN815" s="28"/>
      <c r="BO815" s="304" t="str">
        <f t="shared" si="593"/>
        <v/>
      </c>
      <c r="BP815" s="304" t="str">
        <f t="shared" si="593"/>
        <v/>
      </c>
      <c r="BQ815" s="28"/>
      <c r="BR815" s="304" t="str">
        <f t="shared" si="594"/>
        <v/>
      </c>
      <c r="BS815" s="304" t="str">
        <f t="shared" si="594"/>
        <v/>
      </c>
      <c r="BT815" s="28"/>
      <c r="BU815" s="304" t="str">
        <f t="shared" si="595"/>
        <v/>
      </c>
      <c r="BV815" s="304" t="str">
        <f t="shared" si="595"/>
        <v/>
      </c>
      <c r="BW815" s="28"/>
      <c r="BX815" s="91"/>
    </row>
    <row r="816" spans="1:76" s="55" customFormat="1" x14ac:dyDescent="0.25">
      <c r="A816" s="195">
        <v>120</v>
      </c>
      <c r="B816" s="216" t="str">
        <f t="shared" si="583"/>
        <v>Middle East and Africa: FAO. 2017. Global Livestock Environmental Assessment Model (GLEAM)</v>
      </c>
      <c r="C816" s="219" t="s">
        <v>227</v>
      </c>
      <c r="D816" s="219" t="s">
        <v>486</v>
      </c>
      <c r="E816" s="219" t="s">
        <v>99</v>
      </c>
      <c r="F816" s="373" t="s">
        <v>388</v>
      </c>
      <c r="G816" s="220" t="s">
        <v>26</v>
      </c>
      <c r="H816" s="221">
        <v>2010</v>
      </c>
      <c r="I816" s="240"/>
      <c r="J816" s="377">
        <v>41151491607</v>
      </c>
      <c r="K816" s="367" t="s">
        <v>372</v>
      </c>
      <c r="L816" s="337">
        <f>J816/[1]GHGsources!R23*0.001</f>
        <v>0.11840098389751613</v>
      </c>
      <c r="M816" s="335" t="str">
        <f>'[1]Advanced Controls'!$I$158</f>
        <v>t CH4-CO2eq per kg of protein</v>
      </c>
      <c r="N816" s="238"/>
      <c r="O816" s="227" t="s">
        <v>477</v>
      </c>
      <c r="P816" s="122"/>
      <c r="Q816" s="228"/>
      <c r="R816" s="231">
        <f t="shared" si="586"/>
        <v>0.11840098389751613</v>
      </c>
      <c r="S816" s="230">
        <f t="shared" si="584"/>
        <v>0.11840098389751613</v>
      </c>
      <c r="T816" s="231">
        <f t="shared" si="597"/>
        <v>0</v>
      </c>
      <c r="U816" s="232" t="str">
        <f t="shared" si="585"/>
        <v>t CH4-CO2eq per kg of protein</v>
      </c>
      <c r="V816" s="28"/>
      <c r="W816" s="28"/>
      <c r="Y816" s="91"/>
      <c r="AO816" s="91"/>
      <c r="AP816" s="28"/>
      <c r="AQ816" s="28"/>
      <c r="AR816" s="237"/>
      <c r="AS816" s="28"/>
      <c r="AT816" s="304" t="str">
        <f t="shared" si="596"/>
        <v/>
      </c>
      <c r="AU816" s="304" t="str">
        <f t="shared" si="596"/>
        <v/>
      </c>
      <c r="AV816" s="28"/>
      <c r="AW816" s="304" t="str">
        <f t="shared" si="587"/>
        <v/>
      </c>
      <c r="AX816" s="304" t="str">
        <f t="shared" si="587"/>
        <v/>
      </c>
      <c r="AY816" s="28"/>
      <c r="AZ816" s="304" t="str">
        <f t="shared" si="588"/>
        <v/>
      </c>
      <c r="BA816" s="304" t="str">
        <f t="shared" si="588"/>
        <v/>
      </c>
      <c r="BB816" s="28"/>
      <c r="BC816" s="304" t="str">
        <f t="shared" si="589"/>
        <v/>
      </c>
      <c r="BD816" s="304" t="str">
        <f t="shared" si="589"/>
        <v/>
      </c>
      <c r="BE816" s="28"/>
      <c r="BF816" s="304">
        <f t="shared" si="590"/>
        <v>0.11840098389751613</v>
      </c>
      <c r="BG816" s="304">
        <f t="shared" si="590"/>
        <v>0.11840098389751613</v>
      </c>
      <c r="BH816" s="28"/>
      <c r="BI816" s="304" t="str">
        <f t="shared" si="591"/>
        <v/>
      </c>
      <c r="BJ816" s="304" t="str">
        <f t="shared" si="591"/>
        <v/>
      </c>
      <c r="BK816" s="28"/>
      <c r="BL816" s="304" t="str">
        <f t="shared" si="592"/>
        <v/>
      </c>
      <c r="BM816" s="304" t="str">
        <f t="shared" si="592"/>
        <v/>
      </c>
      <c r="BN816" s="28"/>
      <c r="BO816" s="304" t="str">
        <f t="shared" si="593"/>
        <v/>
      </c>
      <c r="BP816" s="304" t="str">
        <f t="shared" si="593"/>
        <v/>
      </c>
      <c r="BQ816" s="28"/>
      <c r="BR816" s="304" t="str">
        <f t="shared" si="594"/>
        <v/>
      </c>
      <c r="BS816" s="304" t="str">
        <f t="shared" si="594"/>
        <v/>
      </c>
      <c r="BT816" s="28"/>
      <c r="BU816" s="304" t="str">
        <f t="shared" si="595"/>
        <v/>
      </c>
      <c r="BV816" s="304" t="str">
        <f t="shared" si="595"/>
        <v/>
      </c>
      <c r="BW816" s="28"/>
      <c r="BX816" s="91"/>
    </row>
    <row r="817" spans="1:76" s="55" customFormat="1" x14ac:dyDescent="0.25">
      <c r="A817" s="195">
        <v>121</v>
      </c>
      <c r="B817" s="216" t="str">
        <f t="shared" si="583"/>
        <v>OECD90: FAO. 2017. Global Livestock Environmental Assessment Model (GLEAM)</v>
      </c>
      <c r="C817" s="219" t="s">
        <v>227</v>
      </c>
      <c r="D817" s="219" t="s">
        <v>487</v>
      </c>
      <c r="E817" s="219" t="s">
        <v>96</v>
      </c>
      <c r="F817" s="373" t="s">
        <v>176</v>
      </c>
      <c r="G817" s="220" t="s">
        <v>26</v>
      </c>
      <c r="H817" s="221">
        <v>2010</v>
      </c>
      <c r="I817" s="240"/>
      <c r="J817" s="377">
        <v>72505088529.569992</v>
      </c>
      <c r="K817" s="367" t="s">
        <v>372</v>
      </c>
      <c r="L817" s="337">
        <f>J817/[1]GHGsources!R24*0.001</f>
        <v>2.4489533557531647E-2</v>
      </c>
      <c r="M817" s="335" t="str">
        <f>'[1]Advanced Controls'!$I$158</f>
        <v>t CH4-CO2eq per kg of protein</v>
      </c>
      <c r="N817" s="238"/>
      <c r="O817" s="227" t="s">
        <v>477</v>
      </c>
      <c r="P817" s="122"/>
      <c r="Q817" s="228"/>
      <c r="R817" s="231">
        <f t="shared" si="586"/>
        <v>2.4489533557531647E-2</v>
      </c>
      <c r="S817" s="230">
        <f t="shared" si="584"/>
        <v>2.4489533557531647E-2</v>
      </c>
      <c r="T817" s="231">
        <f t="shared" si="597"/>
        <v>0</v>
      </c>
      <c r="U817" s="232" t="str">
        <f t="shared" si="585"/>
        <v>t CH4-CO2eq per kg of protein</v>
      </c>
      <c r="V817" s="28"/>
      <c r="W817" s="28"/>
      <c r="Y817" s="91"/>
      <c r="AO817" s="91"/>
      <c r="AP817" s="28"/>
      <c r="AQ817" s="28"/>
      <c r="AR817" s="237"/>
      <c r="AS817" s="28"/>
      <c r="AT817" s="304" t="str">
        <f t="shared" si="596"/>
        <v/>
      </c>
      <c r="AU817" s="304" t="str">
        <f t="shared" si="596"/>
        <v/>
      </c>
      <c r="AV817" s="28"/>
      <c r="AW817" s="304">
        <f t="shared" si="587"/>
        <v>2.4489533557531647E-2</v>
      </c>
      <c r="AX817" s="304">
        <f t="shared" si="587"/>
        <v>2.4489533557531647E-2</v>
      </c>
      <c r="AY817" s="28"/>
      <c r="AZ817" s="304" t="str">
        <f t="shared" si="588"/>
        <v/>
      </c>
      <c r="BA817" s="304" t="str">
        <f t="shared" si="588"/>
        <v/>
      </c>
      <c r="BB817" s="28"/>
      <c r="BC817" s="304" t="str">
        <f t="shared" si="589"/>
        <v/>
      </c>
      <c r="BD817" s="304" t="str">
        <f t="shared" si="589"/>
        <v/>
      </c>
      <c r="BE817" s="28"/>
      <c r="BF817" s="304" t="str">
        <f t="shared" si="590"/>
        <v/>
      </c>
      <c r="BG817" s="304" t="str">
        <f t="shared" si="590"/>
        <v/>
      </c>
      <c r="BH817" s="28"/>
      <c r="BI817" s="304" t="str">
        <f t="shared" si="591"/>
        <v/>
      </c>
      <c r="BJ817" s="304" t="str">
        <f t="shared" si="591"/>
        <v/>
      </c>
      <c r="BK817" s="28"/>
      <c r="BL817" s="304" t="str">
        <f t="shared" si="592"/>
        <v/>
      </c>
      <c r="BM817" s="304" t="str">
        <f t="shared" si="592"/>
        <v/>
      </c>
      <c r="BN817" s="28"/>
      <c r="BO817" s="304" t="str">
        <f t="shared" si="593"/>
        <v/>
      </c>
      <c r="BP817" s="304" t="str">
        <f t="shared" si="593"/>
        <v/>
      </c>
      <c r="BQ817" s="28"/>
      <c r="BR817" s="304" t="str">
        <f t="shared" si="594"/>
        <v/>
      </c>
      <c r="BS817" s="304" t="str">
        <f t="shared" si="594"/>
        <v/>
      </c>
      <c r="BT817" s="28"/>
      <c r="BU817" s="304" t="str">
        <f t="shared" si="595"/>
        <v/>
      </c>
      <c r="BV817" s="304" t="str">
        <f t="shared" si="595"/>
        <v/>
      </c>
      <c r="BW817" s="28"/>
      <c r="BX817" s="91"/>
    </row>
    <row r="818" spans="1:76" s="55" customFormat="1" x14ac:dyDescent="0.25">
      <c r="A818" s="195">
        <v>122</v>
      </c>
      <c r="B818" s="216" t="str">
        <f t="shared" si="583"/>
        <v>Asia (Sans Japan): FAO. 2017. Reducing Enteric Methane for improving food security and livelihoods</v>
      </c>
      <c r="C818" s="219" t="s">
        <v>488</v>
      </c>
      <c r="D818" s="379" t="s">
        <v>235</v>
      </c>
      <c r="E818" s="219" t="s">
        <v>98</v>
      </c>
      <c r="F818" s="330" t="s">
        <v>236</v>
      </c>
      <c r="G818" s="220" t="s">
        <v>26</v>
      </c>
      <c r="H818" s="221">
        <v>2017</v>
      </c>
      <c r="I818" s="220"/>
      <c r="J818" s="341">
        <v>12.7</v>
      </c>
      <c r="K818" s="380" t="s">
        <v>489</v>
      </c>
      <c r="L818" s="337">
        <f>(J818*0.001)/0.032*0.6</f>
        <v>0.23812499999999998</v>
      </c>
      <c r="M818" s="335" t="str">
        <f>'[1]Advanced Controls'!$I$158</f>
        <v>t CH4-CO2eq per kg of protein</v>
      </c>
      <c r="N818" s="238"/>
      <c r="O818" s="227" t="s">
        <v>490</v>
      </c>
      <c r="P818" s="122"/>
      <c r="Q818" s="228"/>
      <c r="R818" s="231">
        <f t="shared" si="586"/>
        <v>0.23812499999999998</v>
      </c>
      <c r="S818" s="230">
        <f t="shared" si="584"/>
        <v>0.23812499999999998</v>
      </c>
      <c r="T818" s="231">
        <f t="shared" si="597"/>
        <v>0</v>
      </c>
      <c r="U818" s="232" t="str">
        <f t="shared" si="585"/>
        <v>t CH4-CO2eq per kg of protein</v>
      </c>
      <c r="V818" s="28"/>
      <c r="W818" s="28"/>
      <c r="Y818" s="91"/>
      <c r="AO818" s="91"/>
      <c r="AP818" s="28"/>
      <c r="AQ818" s="28"/>
      <c r="AR818" s="237"/>
      <c r="AS818" s="28"/>
      <c r="AT818" s="304" t="str">
        <f t="shared" si="596"/>
        <v/>
      </c>
      <c r="AU818" s="304" t="str">
        <f t="shared" si="596"/>
        <v/>
      </c>
      <c r="AV818" s="28"/>
      <c r="AW818" s="304" t="str">
        <f t="shared" si="587"/>
        <v/>
      </c>
      <c r="AX818" s="304" t="str">
        <f t="shared" si="587"/>
        <v/>
      </c>
      <c r="AY818" s="28"/>
      <c r="AZ818" s="304" t="str">
        <f t="shared" si="588"/>
        <v/>
      </c>
      <c r="BA818" s="304" t="str">
        <f t="shared" si="588"/>
        <v/>
      </c>
      <c r="BB818" s="28"/>
      <c r="BC818" s="304">
        <f t="shared" si="589"/>
        <v>0.23812499999999998</v>
      </c>
      <c r="BD818" s="304">
        <f t="shared" si="589"/>
        <v>0.23812499999999998</v>
      </c>
      <c r="BE818" s="28"/>
      <c r="BF818" s="304" t="str">
        <f t="shared" si="590"/>
        <v/>
      </c>
      <c r="BG818" s="304" t="str">
        <f t="shared" si="590"/>
        <v/>
      </c>
      <c r="BH818" s="28"/>
      <c r="BI818" s="304" t="str">
        <f t="shared" si="591"/>
        <v/>
      </c>
      <c r="BJ818" s="304" t="str">
        <f t="shared" si="591"/>
        <v/>
      </c>
      <c r="BK818" s="28"/>
      <c r="BL818" s="304" t="str">
        <f t="shared" si="592"/>
        <v/>
      </c>
      <c r="BM818" s="304" t="str">
        <f t="shared" si="592"/>
        <v/>
      </c>
      <c r="BN818" s="28"/>
      <c r="BO818" s="304" t="str">
        <f t="shared" si="593"/>
        <v/>
      </c>
      <c r="BP818" s="304" t="str">
        <f t="shared" si="593"/>
        <v/>
      </c>
      <c r="BQ818" s="28"/>
      <c r="BR818" s="304" t="str">
        <f t="shared" si="594"/>
        <v/>
      </c>
      <c r="BS818" s="304" t="str">
        <f t="shared" si="594"/>
        <v/>
      </c>
      <c r="BT818" s="28"/>
      <c r="BU818" s="304" t="str">
        <f t="shared" si="595"/>
        <v/>
      </c>
      <c r="BV818" s="304" t="str">
        <f t="shared" si="595"/>
        <v/>
      </c>
      <c r="BW818" s="28"/>
      <c r="BX818" s="91"/>
    </row>
    <row r="819" spans="1:76" s="55" customFormat="1" x14ac:dyDescent="0.25">
      <c r="A819" s="195">
        <v>123</v>
      </c>
      <c r="B819" s="216" t="str">
        <f t="shared" si="583"/>
        <v>Asia (Sans Japan): FAO. 2017. Reducing Enteric Methane for improving food security and livelihoods</v>
      </c>
      <c r="C819" s="219" t="s">
        <v>488</v>
      </c>
      <c r="D819" s="379" t="s">
        <v>235</v>
      </c>
      <c r="E819" s="219" t="s">
        <v>98</v>
      </c>
      <c r="F819" s="330" t="s">
        <v>236</v>
      </c>
      <c r="G819" s="220" t="s">
        <v>26</v>
      </c>
      <c r="H819" s="221">
        <v>2017</v>
      </c>
      <c r="I819" s="220"/>
      <c r="J819" s="341">
        <v>5.6</v>
      </c>
      <c r="K819" s="380" t="s">
        <v>489</v>
      </c>
      <c r="L819" s="334">
        <f>(J819*0.001)/0.032*0.6</f>
        <v>0.105</v>
      </c>
      <c r="M819" s="335" t="str">
        <f>'[1]Advanced Controls'!$I$158</f>
        <v>t CH4-CO2eq per kg of protein</v>
      </c>
      <c r="N819" s="238"/>
      <c r="O819" s="227" t="s">
        <v>491</v>
      </c>
      <c r="P819" s="122"/>
      <c r="Q819" s="228"/>
      <c r="R819" s="231">
        <f t="shared" si="586"/>
        <v>0.105</v>
      </c>
      <c r="S819" s="230">
        <f t="shared" si="584"/>
        <v>0.105</v>
      </c>
      <c r="T819" s="231">
        <f t="shared" si="597"/>
        <v>0</v>
      </c>
      <c r="U819" s="232" t="str">
        <f t="shared" si="585"/>
        <v>t CH4-CO2eq per kg of protein</v>
      </c>
      <c r="V819" s="28"/>
      <c r="W819" s="28"/>
      <c r="Y819" s="91"/>
      <c r="AO819" s="91"/>
      <c r="AP819" s="28"/>
      <c r="AQ819" s="28"/>
      <c r="AR819" s="237"/>
      <c r="AS819" s="28"/>
      <c r="AT819" s="304" t="str">
        <f t="shared" si="596"/>
        <v/>
      </c>
      <c r="AU819" s="304" t="str">
        <f t="shared" si="596"/>
        <v/>
      </c>
      <c r="AV819" s="28"/>
      <c r="AW819" s="304" t="str">
        <f t="shared" si="587"/>
        <v/>
      </c>
      <c r="AX819" s="304" t="str">
        <f t="shared" si="587"/>
        <v/>
      </c>
      <c r="AY819" s="28"/>
      <c r="AZ819" s="304" t="str">
        <f t="shared" si="588"/>
        <v/>
      </c>
      <c r="BA819" s="304" t="str">
        <f t="shared" si="588"/>
        <v/>
      </c>
      <c r="BB819" s="28"/>
      <c r="BC819" s="304">
        <f t="shared" si="589"/>
        <v>0.105</v>
      </c>
      <c r="BD819" s="304">
        <f t="shared" si="589"/>
        <v>0.105</v>
      </c>
      <c r="BE819" s="28"/>
      <c r="BF819" s="304" t="str">
        <f t="shared" si="590"/>
        <v/>
      </c>
      <c r="BG819" s="304" t="str">
        <f t="shared" si="590"/>
        <v/>
      </c>
      <c r="BH819" s="28"/>
      <c r="BI819" s="304" t="str">
        <f t="shared" si="591"/>
        <v/>
      </c>
      <c r="BJ819" s="304" t="str">
        <f t="shared" si="591"/>
        <v/>
      </c>
      <c r="BK819" s="28"/>
      <c r="BL819" s="304" t="str">
        <f t="shared" si="592"/>
        <v/>
      </c>
      <c r="BM819" s="304" t="str">
        <f t="shared" si="592"/>
        <v/>
      </c>
      <c r="BN819" s="28"/>
      <c r="BO819" s="304" t="str">
        <f t="shared" si="593"/>
        <v/>
      </c>
      <c r="BP819" s="304" t="str">
        <f t="shared" si="593"/>
        <v/>
      </c>
      <c r="BQ819" s="28"/>
      <c r="BR819" s="304" t="str">
        <f t="shared" si="594"/>
        <v/>
      </c>
      <c r="BS819" s="304" t="str">
        <f t="shared" si="594"/>
        <v/>
      </c>
      <c r="BT819" s="28"/>
      <c r="BU819" s="304" t="str">
        <f t="shared" si="595"/>
        <v/>
      </c>
      <c r="BV819" s="304" t="str">
        <f t="shared" si="595"/>
        <v/>
      </c>
      <c r="BW819" s="28"/>
      <c r="BX819" s="91"/>
    </row>
    <row r="820" spans="1:76" s="55" customFormat="1" x14ac:dyDescent="0.25">
      <c r="A820" s="195">
        <v>124</v>
      </c>
      <c r="B820" s="216" t="str">
        <f t="shared" si="583"/>
        <v>Asia (Sans Japan): FAO. 2017. Reducing Enteric Methane for improving food security and livelihoods</v>
      </c>
      <c r="C820" s="219" t="s">
        <v>488</v>
      </c>
      <c r="D820" s="379" t="s">
        <v>235</v>
      </c>
      <c r="E820" s="219" t="s">
        <v>98</v>
      </c>
      <c r="F820" s="330" t="s">
        <v>236</v>
      </c>
      <c r="G820" s="220" t="s">
        <v>26</v>
      </c>
      <c r="H820" s="221">
        <v>2017</v>
      </c>
      <c r="I820" s="240"/>
      <c r="J820" s="341">
        <v>12.7</v>
      </c>
      <c r="K820" s="380" t="s">
        <v>489</v>
      </c>
      <c r="L820" s="334">
        <f>(J820*0.001)/0.032*0.6</f>
        <v>0.23812499999999998</v>
      </c>
      <c r="M820" s="335" t="str">
        <f>'[1]Advanced Controls'!$I$158</f>
        <v>t CH4-CO2eq per kg of protein</v>
      </c>
      <c r="N820" s="238"/>
      <c r="O820" s="227" t="s">
        <v>492</v>
      </c>
      <c r="P820" s="122"/>
      <c r="Q820" s="228"/>
      <c r="R820" s="231">
        <f t="shared" si="586"/>
        <v>0.23812499999999998</v>
      </c>
      <c r="S820" s="230">
        <f t="shared" si="584"/>
        <v>0.23812499999999998</v>
      </c>
      <c r="T820" s="231">
        <f t="shared" si="597"/>
        <v>0</v>
      </c>
      <c r="U820" s="232" t="str">
        <f t="shared" si="585"/>
        <v>t CH4-CO2eq per kg of protein</v>
      </c>
      <c r="V820" s="28"/>
      <c r="W820" s="28"/>
      <c r="Y820" s="91"/>
      <c r="AO820" s="91"/>
      <c r="AP820" s="28"/>
      <c r="AQ820" s="28"/>
      <c r="AR820" s="237"/>
      <c r="AS820" s="28"/>
      <c r="AT820" s="304" t="str">
        <f t="shared" si="596"/>
        <v/>
      </c>
      <c r="AU820" s="304" t="str">
        <f t="shared" si="596"/>
        <v/>
      </c>
      <c r="AV820" s="28"/>
      <c r="AW820" s="304" t="str">
        <f t="shared" si="587"/>
        <v/>
      </c>
      <c r="AX820" s="304" t="str">
        <f t="shared" si="587"/>
        <v/>
      </c>
      <c r="AY820" s="28"/>
      <c r="AZ820" s="304" t="str">
        <f t="shared" si="588"/>
        <v/>
      </c>
      <c r="BA820" s="304" t="str">
        <f t="shared" si="588"/>
        <v/>
      </c>
      <c r="BB820" s="28"/>
      <c r="BC820" s="304">
        <f t="shared" si="589"/>
        <v>0.23812499999999998</v>
      </c>
      <c r="BD820" s="304">
        <f t="shared" si="589"/>
        <v>0.23812499999999998</v>
      </c>
      <c r="BE820" s="28"/>
      <c r="BF820" s="304" t="str">
        <f t="shared" si="590"/>
        <v/>
      </c>
      <c r="BG820" s="304" t="str">
        <f t="shared" si="590"/>
        <v/>
      </c>
      <c r="BH820" s="28"/>
      <c r="BI820" s="304" t="str">
        <f t="shared" si="591"/>
        <v/>
      </c>
      <c r="BJ820" s="304" t="str">
        <f t="shared" si="591"/>
        <v/>
      </c>
      <c r="BK820" s="28"/>
      <c r="BL820" s="304" t="str">
        <f t="shared" si="592"/>
        <v/>
      </c>
      <c r="BM820" s="304" t="str">
        <f t="shared" si="592"/>
        <v/>
      </c>
      <c r="BN820" s="28"/>
      <c r="BO820" s="304" t="str">
        <f t="shared" si="593"/>
        <v/>
      </c>
      <c r="BP820" s="304" t="str">
        <f t="shared" si="593"/>
        <v/>
      </c>
      <c r="BQ820" s="28"/>
      <c r="BR820" s="304" t="str">
        <f t="shared" si="594"/>
        <v/>
      </c>
      <c r="BS820" s="304" t="str">
        <f t="shared" si="594"/>
        <v/>
      </c>
      <c r="BT820" s="28"/>
      <c r="BU820" s="304" t="str">
        <f t="shared" si="595"/>
        <v/>
      </c>
      <c r="BV820" s="304" t="str">
        <f t="shared" si="595"/>
        <v/>
      </c>
      <c r="BW820" s="28"/>
      <c r="BX820" s="91"/>
    </row>
    <row r="821" spans="1:76" s="55" customFormat="1" x14ac:dyDescent="0.25">
      <c r="A821" s="195">
        <v>125</v>
      </c>
      <c r="B821" s="216" t="str">
        <f t="shared" si="583"/>
        <v>Asia (Sans Japan): FAO. 2017. Reducing Enteric Methane for improving food security and livelihoods</v>
      </c>
      <c r="C821" s="219" t="s">
        <v>488</v>
      </c>
      <c r="D821" s="379" t="s">
        <v>235</v>
      </c>
      <c r="E821" s="219" t="s">
        <v>98</v>
      </c>
      <c r="F821" s="330" t="s">
        <v>236</v>
      </c>
      <c r="G821" s="220" t="s">
        <v>26</v>
      </c>
      <c r="H821" s="221">
        <v>2017</v>
      </c>
      <c r="I821" s="240"/>
      <c r="J821" s="341">
        <v>5.6</v>
      </c>
      <c r="K821" s="380" t="s">
        <v>489</v>
      </c>
      <c r="L821" s="334">
        <f>(J821*0.001)/0.032*0.6</f>
        <v>0.105</v>
      </c>
      <c r="M821" s="335" t="str">
        <f>'[1]Advanced Controls'!$I$158</f>
        <v>t CH4-CO2eq per kg of protein</v>
      </c>
      <c r="N821" s="238"/>
      <c r="O821" s="227" t="s">
        <v>493</v>
      </c>
      <c r="P821" s="122"/>
      <c r="Q821" s="228"/>
      <c r="R821" s="231">
        <f t="shared" si="586"/>
        <v>0.105</v>
      </c>
      <c r="S821" s="230">
        <f t="shared" si="584"/>
        <v>0.105</v>
      </c>
      <c r="T821" s="231">
        <f>IF(OR(Q821="Y",IFERROR(R821&gt;R1330+R1409*$AA$35,0),IFERROR(R821&lt;R1330-R1409*$AA$35,0)),"",IFERROR(R821*N821,""))</f>
        <v>0</v>
      </c>
      <c r="U821" s="232" t="str">
        <f t="shared" si="585"/>
        <v>t CH4-CO2eq per kg of protein</v>
      </c>
      <c r="V821" s="28"/>
      <c r="W821" s="28"/>
      <c r="Y821" s="91"/>
      <c r="AO821" s="91"/>
      <c r="AP821" s="28"/>
      <c r="AQ821" s="28"/>
      <c r="AR821" s="237"/>
      <c r="AS821" s="28"/>
      <c r="AT821" s="304" t="str">
        <f t="shared" si="596"/>
        <v/>
      </c>
      <c r="AU821" s="304" t="str">
        <f t="shared" si="596"/>
        <v/>
      </c>
      <c r="AV821" s="28"/>
      <c r="AW821" s="304" t="str">
        <f t="shared" si="587"/>
        <v/>
      </c>
      <c r="AX821" s="304" t="str">
        <f t="shared" si="587"/>
        <v/>
      </c>
      <c r="AY821" s="28"/>
      <c r="AZ821" s="304" t="str">
        <f t="shared" si="588"/>
        <v/>
      </c>
      <c r="BA821" s="304" t="str">
        <f t="shared" si="588"/>
        <v/>
      </c>
      <c r="BB821" s="28"/>
      <c r="BC821" s="304">
        <f t="shared" si="589"/>
        <v>0.105</v>
      </c>
      <c r="BD821" s="304">
        <f t="shared" si="589"/>
        <v>0.105</v>
      </c>
      <c r="BE821" s="28"/>
      <c r="BF821" s="304" t="str">
        <f t="shared" si="590"/>
        <v/>
      </c>
      <c r="BG821" s="304" t="str">
        <f t="shared" si="590"/>
        <v/>
      </c>
      <c r="BH821" s="28"/>
      <c r="BI821" s="304" t="str">
        <f t="shared" si="591"/>
        <v/>
      </c>
      <c r="BJ821" s="304" t="str">
        <f t="shared" si="591"/>
        <v/>
      </c>
      <c r="BK821" s="28"/>
      <c r="BL821" s="304" t="str">
        <f t="shared" si="592"/>
        <v/>
      </c>
      <c r="BM821" s="304" t="str">
        <f t="shared" si="592"/>
        <v/>
      </c>
      <c r="BN821" s="28"/>
      <c r="BO821" s="304" t="str">
        <f t="shared" si="593"/>
        <v/>
      </c>
      <c r="BP821" s="304" t="str">
        <f t="shared" si="593"/>
        <v/>
      </c>
      <c r="BQ821" s="28"/>
      <c r="BR821" s="304" t="str">
        <f t="shared" si="594"/>
        <v/>
      </c>
      <c r="BS821" s="304" t="str">
        <f t="shared" si="594"/>
        <v/>
      </c>
      <c r="BT821" s="28"/>
      <c r="BU821" s="304" t="str">
        <f t="shared" si="595"/>
        <v/>
      </c>
      <c r="BV821" s="304" t="str">
        <f t="shared" si="595"/>
        <v/>
      </c>
      <c r="BW821" s="28"/>
      <c r="BX821" s="91"/>
    </row>
    <row r="822" spans="1:76" s="55" customFormat="1" x14ac:dyDescent="0.25">
      <c r="A822" s="195">
        <v>126</v>
      </c>
      <c r="B822" s="216" t="str">
        <f t="shared" si="583"/>
        <v>Asia (Sans Japan): FAO. 2017. Reducing Enteric Methane for improving food security and livelihoods</v>
      </c>
      <c r="C822" s="219" t="s">
        <v>488</v>
      </c>
      <c r="D822" s="379" t="s">
        <v>269</v>
      </c>
      <c r="E822" s="219" t="s">
        <v>98</v>
      </c>
      <c r="F822" s="330" t="s">
        <v>270</v>
      </c>
      <c r="G822" s="220" t="s">
        <v>26</v>
      </c>
      <c r="H822" s="221">
        <v>2017</v>
      </c>
      <c r="I822" s="240"/>
      <c r="J822" s="341">
        <v>6.8</v>
      </c>
      <c r="K822" s="380" t="s">
        <v>489</v>
      </c>
      <c r="L822" s="334">
        <f t="shared" ref="L822:L831" si="598">(J822*0.001)/0.032*0.88</f>
        <v>0.187</v>
      </c>
      <c r="M822" s="335" t="str">
        <f>'[1]Advanced Controls'!$I$158</f>
        <v>t CH4-CO2eq per kg of protein</v>
      </c>
      <c r="N822" s="238"/>
      <c r="O822" s="227" t="s">
        <v>494</v>
      </c>
      <c r="P822" s="122"/>
      <c r="Q822" s="228"/>
      <c r="R822" s="231">
        <f t="shared" si="586"/>
        <v>0.187</v>
      </c>
      <c r="S822" s="230">
        <f t="shared" si="584"/>
        <v>0.187</v>
      </c>
      <c r="T822" s="231" t="str">
        <f>IF(OR(Q822="Y",IFERROR(R822&gt;R1331+R1410*$AA$35,0),IFERROR(R822&lt;R1331-R1410*$AA$35,0)),"",IFERROR(R822*N822,""))</f>
        <v/>
      </c>
      <c r="U822" s="232" t="str">
        <f t="shared" si="585"/>
        <v>t CH4-CO2eq per kg of protein</v>
      </c>
      <c r="V822" s="28"/>
      <c r="W822" s="28"/>
      <c r="Y822" s="91"/>
      <c r="AO822" s="91"/>
      <c r="AP822" s="28"/>
      <c r="AQ822" s="28"/>
      <c r="AR822" s="237"/>
      <c r="AS822" s="28"/>
      <c r="AT822" s="304" t="str">
        <f t="shared" si="596"/>
        <v/>
      </c>
      <c r="AU822" s="304" t="str">
        <f t="shared" si="596"/>
        <v/>
      </c>
      <c r="AV822" s="28"/>
      <c r="AW822" s="304" t="str">
        <f t="shared" si="587"/>
        <v/>
      </c>
      <c r="AX822" s="304" t="str">
        <f t="shared" si="587"/>
        <v/>
      </c>
      <c r="AY822" s="28"/>
      <c r="AZ822" s="304" t="str">
        <f t="shared" si="588"/>
        <v/>
      </c>
      <c r="BA822" s="304" t="str">
        <f t="shared" si="588"/>
        <v/>
      </c>
      <c r="BB822" s="28"/>
      <c r="BC822" s="304">
        <f t="shared" si="589"/>
        <v>0.187</v>
      </c>
      <c r="BD822" s="304">
        <f t="shared" si="589"/>
        <v>0.187</v>
      </c>
      <c r="BE822" s="28"/>
      <c r="BF822" s="304" t="str">
        <f t="shared" si="590"/>
        <v/>
      </c>
      <c r="BG822" s="304" t="str">
        <f t="shared" si="590"/>
        <v/>
      </c>
      <c r="BH822" s="28"/>
      <c r="BI822" s="304" t="str">
        <f t="shared" si="591"/>
        <v/>
      </c>
      <c r="BJ822" s="304" t="str">
        <f t="shared" si="591"/>
        <v/>
      </c>
      <c r="BK822" s="28"/>
      <c r="BL822" s="304" t="str">
        <f t="shared" si="592"/>
        <v/>
      </c>
      <c r="BM822" s="304" t="str">
        <f t="shared" si="592"/>
        <v/>
      </c>
      <c r="BN822" s="28"/>
      <c r="BO822" s="304" t="str">
        <f t="shared" si="593"/>
        <v/>
      </c>
      <c r="BP822" s="304" t="str">
        <f t="shared" si="593"/>
        <v/>
      </c>
      <c r="BQ822" s="28"/>
      <c r="BR822" s="304" t="str">
        <f t="shared" si="594"/>
        <v/>
      </c>
      <c r="BS822" s="304" t="str">
        <f t="shared" si="594"/>
        <v/>
      </c>
      <c r="BT822" s="28"/>
      <c r="BU822" s="304" t="str">
        <f t="shared" si="595"/>
        <v/>
      </c>
      <c r="BV822" s="304" t="str">
        <f t="shared" si="595"/>
        <v/>
      </c>
      <c r="BW822" s="28"/>
      <c r="BX822" s="91"/>
    </row>
    <row r="823" spans="1:76" s="55" customFormat="1" x14ac:dyDescent="0.25">
      <c r="A823" s="195">
        <v>127</v>
      </c>
      <c r="B823" s="216" t="str">
        <f t="shared" si="583"/>
        <v>Asia (Sans Japan): FAO. 2017. Reducing Enteric Methane for improving food security and livelihoods</v>
      </c>
      <c r="C823" s="219" t="s">
        <v>488</v>
      </c>
      <c r="D823" s="379" t="s">
        <v>269</v>
      </c>
      <c r="E823" s="219" t="s">
        <v>98</v>
      </c>
      <c r="F823" s="330" t="s">
        <v>270</v>
      </c>
      <c r="G823" s="220" t="s">
        <v>26</v>
      </c>
      <c r="H823" s="221">
        <v>2017</v>
      </c>
      <c r="I823" s="240"/>
      <c r="J823" s="341">
        <v>4.8</v>
      </c>
      <c r="K823" s="380" t="s">
        <v>489</v>
      </c>
      <c r="L823" s="334">
        <f t="shared" si="598"/>
        <v>0.13200000000000001</v>
      </c>
      <c r="M823" s="335" t="str">
        <f>'[1]Advanced Controls'!$I$158</f>
        <v>t CH4-CO2eq per kg of protein</v>
      </c>
      <c r="N823" s="238"/>
      <c r="O823" s="227" t="s">
        <v>495</v>
      </c>
      <c r="P823" s="122"/>
      <c r="Q823" s="228"/>
      <c r="R823" s="231">
        <f t="shared" si="586"/>
        <v>0.13200000000000001</v>
      </c>
      <c r="S823" s="230">
        <f t="shared" si="584"/>
        <v>0.13200000000000001</v>
      </c>
      <c r="T823" s="231">
        <f>IF(OR(Q823="Y",IFERROR(R823&gt;R1332+R1411*$AA$35,0),IFERROR(R823&lt;R1332-R1411*$AA$35,0)),"",IFERROR(R823*N823,""))</f>
        <v>0</v>
      </c>
      <c r="U823" s="232" t="str">
        <f t="shared" si="585"/>
        <v>t CH4-CO2eq per kg of protein</v>
      </c>
      <c r="V823" s="28"/>
      <c r="W823" s="28"/>
      <c r="Y823" s="91"/>
      <c r="AO823" s="91"/>
      <c r="AP823" s="28"/>
      <c r="AQ823" s="28"/>
      <c r="AR823" s="237"/>
      <c r="AS823" s="28"/>
      <c r="AT823" s="304" t="str">
        <f t="shared" si="596"/>
        <v/>
      </c>
      <c r="AU823" s="304" t="str">
        <f t="shared" si="596"/>
        <v/>
      </c>
      <c r="AV823" s="28"/>
      <c r="AW823" s="304" t="str">
        <f t="shared" si="587"/>
        <v/>
      </c>
      <c r="AX823" s="304" t="str">
        <f t="shared" si="587"/>
        <v/>
      </c>
      <c r="AY823" s="28"/>
      <c r="AZ823" s="304" t="str">
        <f t="shared" si="588"/>
        <v/>
      </c>
      <c r="BA823" s="304" t="str">
        <f t="shared" si="588"/>
        <v/>
      </c>
      <c r="BB823" s="28"/>
      <c r="BC823" s="304">
        <f t="shared" si="589"/>
        <v>0.13200000000000001</v>
      </c>
      <c r="BD823" s="304">
        <f t="shared" si="589"/>
        <v>0.13200000000000001</v>
      </c>
      <c r="BE823" s="28"/>
      <c r="BF823" s="304" t="str">
        <f t="shared" si="590"/>
        <v/>
      </c>
      <c r="BG823" s="304" t="str">
        <f t="shared" si="590"/>
        <v/>
      </c>
      <c r="BH823" s="28"/>
      <c r="BI823" s="304" t="str">
        <f t="shared" si="591"/>
        <v/>
      </c>
      <c r="BJ823" s="304" t="str">
        <f t="shared" si="591"/>
        <v/>
      </c>
      <c r="BK823" s="28"/>
      <c r="BL823" s="304" t="str">
        <f t="shared" si="592"/>
        <v/>
      </c>
      <c r="BM823" s="304" t="str">
        <f t="shared" si="592"/>
        <v/>
      </c>
      <c r="BN823" s="28"/>
      <c r="BO823" s="304" t="str">
        <f t="shared" si="593"/>
        <v/>
      </c>
      <c r="BP823" s="304" t="str">
        <f t="shared" si="593"/>
        <v/>
      </c>
      <c r="BQ823" s="28"/>
      <c r="BR823" s="304" t="str">
        <f t="shared" si="594"/>
        <v/>
      </c>
      <c r="BS823" s="304" t="str">
        <f t="shared" si="594"/>
        <v/>
      </c>
      <c r="BT823" s="28"/>
      <c r="BU823" s="304" t="str">
        <f t="shared" si="595"/>
        <v/>
      </c>
      <c r="BV823" s="304" t="str">
        <f t="shared" si="595"/>
        <v/>
      </c>
      <c r="BW823" s="28"/>
      <c r="BX823" s="91"/>
    </row>
    <row r="824" spans="1:76" s="55" customFormat="1" x14ac:dyDescent="0.25">
      <c r="A824" s="195">
        <v>128</v>
      </c>
      <c r="B824" s="216" t="str">
        <f t="shared" si="583"/>
        <v>Asia (Sans Japan): FAO. 2017. Reducing Enteric Methane for improving food security and livelihoods</v>
      </c>
      <c r="C824" s="219" t="s">
        <v>488</v>
      </c>
      <c r="D824" s="379" t="s">
        <v>269</v>
      </c>
      <c r="E824" s="219" t="s">
        <v>98</v>
      </c>
      <c r="F824" s="330" t="s">
        <v>270</v>
      </c>
      <c r="G824" s="220" t="s">
        <v>26</v>
      </c>
      <c r="H824" s="221">
        <v>2017</v>
      </c>
      <c r="I824" s="240"/>
      <c r="J824" s="341">
        <v>13.8</v>
      </c>
      <c r="K824" s="380" t="s">
        <v>489</v>
      </c>
      <c r="L824" s="334">
        <f t="shared" si="598"/>
        <v>0.3795</v>
      </c>
      <c r="M824" s="335" t="str">
        <f>'[1]Advanced Controls'!$I$158</f>
        <v>t CH4-CO2eq per kg of protein</v>
      </c>
      <c r="N824" s="238"/>
      <c r="O824" s="227" t="s">
        <v>496</v>
      </c>
      <c r="P824" s="122"/>
      <c r="Q824" s="228"/>
      <c r="R824" s="231">
        <f t="shared" si="586"/>
        <v>0.3795</v>
      </c>
      <c r="S824" s="230">
        <f t="shared" si="584"/>
        <v>0.3795</v>
      </c>
      <c r="T824" s="231" t="str">
        <f>IF(OR(Q824="Y",IFERROR(R824&gt;R1333+R1412*$AA$35,0),IFERROR(R824&lt;R1333-R1412*$AA$35,0)),"",IFERROR(R824*N824,""))</f>
        <v/>
      </c>
      <c r="U824" s="232" t="str">
        <f t="shared" si="585"/>
        <v>t CH4-CO2eq per kg of protein</v>
      </c>
      <c r="V824" s="28"/>
      <c r="W824" s="28"/>
      <c r="Y824" s="91"/>
      <c r="AO824" s="91"/>
      <c r="AP824" s="28"/>
      <c r="AQ824" s="28"/>
      <c r="AR824" s="237"/>
      <c r="AS824" s="28"/>
      <c r="AT824" s="304" t="str">
        <f t="shared" si="596"/>
        <v/>
      </c>
      <c r="AU824" s="304" t="str">
        <f t="shared" si="596"/>
        <v/>
      </c>
      <c r="AV824" s="28"/>
      <c r="AW824" s="304" t="str">
        <f t="shared" si="587"/>
        <v/>
      </c>
      <c r="AX824" s="304" t="str">
        <f t="shared" si="587"/>
        <v/>
      </c>
      <c r="AY824" s="28"/>
      <c r="AZ824" s="304" t="str">
        <f t="shared" si="588"/>
        <v/>
      </c>
      <c r="BA824" s="304" t="str">
        <f t="shared" si="588"/>
        <v/>
      </c>
      <c r="BB824" s="28"/>
      <c r="BC824" s="304">
        <f t="shared" si="589"/>
        <v>0.3795</v>
      </c>
      <c r="BD824" s="304">
        <f t="shared" si="589"/>
        <v>0.3795</v>
      </c>
      <c r="BE824" s="28"/>
      <c r="BF824" s="304" t="str">
        <f t="shared" si="590"/>
        <v/>
      </c>
      <c r="BG824" s="304" t="str">
        <f t="shared" si="590"/>
        <v/>
      </c>
      <c r="BH824" s="28"/>
      <c r="BI824" s="304" t="str">
        <f t="shared" si="591"/>
        <v/>
      </c>
      <c r="BJ824" s="304" t="str">
        <f t="shared" si="591"/>
        <v/>
      </c>
      <c r="BK824" s="28"/>
      <c r="BL824" s="304" t="str">
        <f t="shared" si="592"/>
        <v/>
      </c>
      <c r="BM824" s="304" t="str">
        <f t="shared" si="592"/>
        <v/>
      </c>
      <c r="BN824" s="28"/>
      <c r="BO824" s="304" t="str">
        <f t="shared" si="593"/>
        <v/>
      </c>
      <c r="BP824" s="304" t="str">
        <f t="shared" si="593"/>
        <v/>
      </c>
      <c r="BQ824" s="28"/>
      <c r="BR824" s="304" t="str">
        <f t="shared" si="594"/>
        <v/>
      </c>
      <c r="BS824" s="304" t="str">
        <f t="shared" si="594"/>
        <v/>
      </c>
      <c r="BT824" s="28"/>
      <c r="BU824" s="304" t="str">
        <f t="shared" si="595"/>
        <v/>
      </c>
      <c r="BV824" s="304" t="str">
        <f t="shared" si="595"/>
        <v/>
      </c>
      <c r="BW824" s="28"/>
      <c r="BX824" s="91"/>
    </row>
    <row r="825" spans="1:76" s="55" customFormat="1" x14ac:dyDescent="0.25">
      <c r="A825" s="195">
        <v>129</v>
      </c>
      <c r="B825" s="216" t="str">
        <f t="shared" ref="B825:B888" si="599">CONCATENATE(E825,": ",C825)</f>
        <v>Middle East and Africa: FAO. 2017. Reducing Enteric Methane for improving food security and livelihoods</v>
      </c>
      <c r="C825" s="219" t="s">
        <v>488</v>
      </c>
      <c r="D825" s="379" t="s">
        <v>252</v>
      </c>
      <c r="E825" s="219" t="s">
        <v>99</v>
      </c>
      <c r="F825" s="330" t="s">
        <v>253</v>
      </c>
      <c r="G825" s="220" t="s">
        <v>26</v>
      </c>
      <c r="H825" s="221">
        <v>2017</v>
      </c>
      <c r="I825" s="240"/>
      <c r="J825" s="341">
        <v>2.1</v>
      </c>
      <c r="K825" s="380" t="s">
        <v>489</v>
      </c>
      <c r="L825" s="334">
        <f t="shared" si="598"/>
        <v>5.7750000000000003E-2</v>
      </c>
      <c r="M825" s="335" t="str">
        <f>'[1]Advanced Controls'!$I$158</f>
        <v>t CH4-CO2eq per kg of protein</v>
      </c>
      <c r="N825" s="238"/>
      <c r="O825" s="227" t="s">
        <v>497</v>
      </c>
      <c r="P825" s="122"/>
      <c r="Q825" s="228"/>
      <c r="R825" s="231">
        <f t="shared" si="586"/>
        <v>5.7750000000000003E-2</v>
      </c>
      <c r="S825" s="230">
        <f t="shared" ref="S825:S888" si="600">IF(R825="","",IF($R$910="Y",T825,IF(R825&gt;=$R$902-$AA$35*$R$906,IF(R825&lt;=$R$902+$AA$35*$R$906,R825,""),"")))</f>
        <v>5.7750000000000003E-2</v>
      </c>
      <c r="T825" s="231">
        <f t="shared" ref="T825:T888" si="601">IF(OR(Q825="Y",IFERROR(R825&gt;R1409+R1413*$AA$35,0),IFERROR(R825&lt;R1409-R1413*$AA$35,0)),"",IFERROR(R825*N825,""))</f>
        <v>0</v>
      </c>
      <c r="U825" s="232" t="str">
        <f t="shared" ref="U825:U888" si="602">IF(AND(M825="",K825=""),"",IF(M825="",K825,M825))</f>
        <v>t CH4-CO2eq per kg of protein</v>
      </c>
      <c r="V825" s="28"/>
      <c r="W825" s="28"/>
      <c r="Y825" s="91"/>
      <c r="AO825" s="91"/>
      <c r="AP825" s="28"/>
      <c r="AQ825" s="28"/>
      <c r="AR825" s="237"/>
      <c r="AS825" s="28"/>
      <c r="AT825" s="304" t="str">
        <f t="shared" si="596"/>
        <v/>
      </c>
      <c r="AU825" s="304" t="str">
        <f t="shared" si="596"/>
        <v/>
      </c>
      <c r="AV825" s="28"/>
      <c r="AW825" s="304" t="str">
        <f t="shared" si="587"/>
        <v/>
      </c>
      <c r="AX825" s="304" t="str">
        <f t="shared" si="587"/>
        <v/>
      </c>
      <c r="AY825" s="28"/>
      <c r="AZ825" s="304" t="str">
        <f t="shared" si="588"/>
        <v/>
      </c>
      <c r="BA825" s="304" t="str">
        <f t="shared" si="588"/>
        <v/>
      </c>
      <c r="BB825" s="28"/>
      <c r="BC825" s="304" t="str">
        <f t="shared" si="589"/>
        <v/>
      </c>
      <c r="BD825" s="304" t="str">
        <f t="shared" si="589"/>
        <v/>
      </c>
      <c r="BE825" s="28"/>
      <c r="BF825" s="304">
        <f t="shared" si="590"/>
        <v>5.7750000000000003E-2</v>
      </c>
      <c r="BG825" s="304">
        <f t="shared" si="590"/>
        <v>5.7750000000000003E-2</v>
      </c>
      <c r="BH825" s="28"/>
      <c r="BI825" s="304" t="str">
        <f t="shared" si="591"/>
        <v/>
      </c>
      <c r="BJ825" s="304" t="str">
        <f t="shared" si="591"/>
        <v/>
      </c>
      <c r="BK825" s="28"/>
      <c r="BL825" s="304" t="str">
        <f t="shared" si="592"/>
        <v/>
      </c>
      <c r="BM825" s="304" t="str">
        <f t="shared" si="592"/>
        <v/>
      </c>
      <c r="BN825" s="28"/>
      <c r="BO825" s="304" t="str">
        <f t="shared" si="593"/>
        <v/>
      </c>
      <c r="BP825" s="304" t="str">
        <f t="shared" si="593"/>
        <v/>
      </c>
      <c r="BQ825" s="28"/>
      <c r="BR825" s="304" t="str">
        <f t="shared" si="594"/>
        <v/>
      </c>
      <c r="BS825" s="304" t="str">
        <f t="shared" si="594"/>
        <v/>
      </c>
      <c r="BT825" s="28"/>
      <c r="BU825" s="304" t="str">
        <f t="shared" si="595"/>
        <v/>
      </c>
      <c r="BV825" s="304" t="str">
        <f t="shared" si="595"/>
        <v/>
      </c>
      <c r="BW825" s="28"/>
      <c r="BX825" s="91"/>
    </row>
    <row r="826" spans="1:76" s="55" customFormat="1" x14ac:dyDescent="0.25">
      <c r="A826" s="195">
        <v>130</v>
      </c>
      <c r="B826" s="216" t="str">
        <f t="shared" si="599"/>
        <v>Middle East and Africa: FAO. 2017. Reducing Enteric Methane for improving food security and livelihoods</v>
      </c>
      <c r="C826" s="219" t="s">
        <v>488</v>
      </c>
      <c r="D826" s="379" t="s">
        <v>252</v>
      </c>
      <c r="E826" s="219" t="s">
        <v>99</v>
      </c>
      <c r="F826" s="330" t="s">
        <v>253</v>
      </c>
      <c r="G826" s="220" t="s">
        <v>26</v>
      </c>
      <c r="H826" s="221">
        <v>2017</v>
      </c>
      <c r="I826" s="240"/>
      <c r="J826" s="341">
        <v>4.0999999999999996</v>
      </c>
      <c r="K826" s="380" t="s">
        <v>489</v>
      </c>
      <c r="L826" s="334">
        <f t="shared" si="598"/>
        <v>0.11274999999999999</v>
      </c>
      <c r="M826" s="335" t="str">
        <f>'[1]Advanced Controls'!$I$158</f>
        <v>t CH4-CO2eq per kg of protein</v>
      </c>
      <c r="N826" s="238"/>
      <c r="O826" s="227" t="s">
        <v>498</v>
      </c>
      <c r="P826" s="122"/>
      <c r="Q826" s="228"/>
      <c r="R826" s="231">
        <f t="shared" ref="R826:R889" si="603">IF(Q826="Y","",IF(AND(L826="",J826=""),"",IF(L826="",J826,L826)))</f>
        <v>0.11274999999999999</v>
      </c>
      <c r="S826" s="230">
        <f t="shared" si="600"/>
        <v>0.11274999999999999</v>
      </c>
      <c r="T826" s="231">
        <f t="shared" si="601"/>
        <v>0</v>
      </c>
      <c r="U826" s="232" t="str">
        <f t="shared" si="602"/>
        <v>t CH4-CO2eq per kg of protein</v>
      </c>
      <c r="V826" s="28"/>
      <c r="W826" s="28"/>
      <c r="Y826" s="91"/>
      <c r="AO826" s="91"/>
      <c r="AP826" s="28"/>
      <c r="AQ826" s="28"/>
      <c r="AR826" s="237"/>
      <c r="AS826" s="28"/>
      <c r="AT826" s="304" t="str">
        <f t="shared" si="596"/>
        <v/>
      </c>
      <c r="AU826" s="304" t="str">
        <f t="shared" si="596"/>
        <v/>
      </c>
      <c r="AV826" s="28"/>
      <c r="AW826" s="304" t="str">
        <f t="shared" si="587"/>
        <v/>
      </c>
      <c r="AX826" s="304" t="str">
        <f t="shared" si="587"/>
        <v/>
      </c>
      <c r="AY826" s="28"/>
      <c r="AZ826" s="304" t="str">
        <f t="shared" si="588"/>
        <v/>
      </c>
      <c r="BA826" s="304" t="str">
        <f t="shared" si="588"/>
        <v/>
      </c>
      <c r="BB826" s="28"/>
      <c r="BC826" s="304" t="str">
        <f t="shared" si="589"/>
        <v/>
      </c>
      <c r="BD826" s="304" t="str">
        <f t="shared" si="589"/>
        <v/>
      </c>
      <c r="BE826" s="28"/>
      <c r="BF826" s="304">
        <f t="shared" si="590"/>
        <v>0.11274999999999999</v>
      </c>
      <c r="BG826" s="304">
        <f t="shared" si="590"/>
        <v>0.11274999999999999</v>
      </c>
      <c r="BH826" s="28"/>
      <c r="BI826" s="304" t="str">
        <f t="shared" si="591"/>
        <v/>
      </c>
      <c r="BJ826" s="304" t="str">
        <f t="shared" si="591"/>
        <v/>
      </c>
      <c r="BK826" s="28"/>
      <c r="BL826" s="304" t="str">
        <f t="shared" si="592"/>
        <v/>
      </c>
      <c r="BM826" s="304" t="str">
        <f t="shared" si="592"/>
        <v/>
      </c>
      <c r="BN826" s="28"/>
      <c r="BO826" s="304" t="str">
        <f t="shared" si="593"/>
        <v/>
      </c>
      <c r="BP826" s="304" t="str">
        <f t="shared" si="593"/>
        <v/>
      </c>
      <c r="BQ826" s="28"/>
      <c r="BR826" s="304" t="str">
        <f t="shared" si="594"/>
        <v/>
      </c>
      <c r="BS826" s="304" t="str">
        <f t="shared" si="594"/>
        <v/>
      </c>
      <c r="BT826" s="28"/>
      <c r="BU826" s="304" t="str">
        <f t="shared" si="595"/>
        <v/>
      </c>
      <c r="BV826" s="304" t="str">
        <f t="shared" si="595"/>
        <v/>
      </c>
      <c r="BW826" s="28"/>
      <c r="BX826" s="91"/>
    </row>
    <row r="827" spans="1:76" s="55" customFormat="1" x14ac:dyDescent="0.25">
      <c r="A827" s="195">
        <v>131</v>
      </c>
      <c r="B827" s="216" t="str">
        <f t="shared" si="599"/>
        <v>Middle East and Africa: FAO. 2017. Reducing Enteric Methane for improving food security and livelihoods</v>
      </c>
      <c r="C827" s="219" t="s">
        <v>488</v>
      </c>
      <c r="D827" s="379" t="s">
        <v>252</v>
      </c>
      <c r="E827" s="219" t="s">
        <v>99</v>
      </c>
      <c r="F827" s="330" t="s">
        <v>253</v>
      </c>
      <c r="G827" s="220" t="s">
        <v>26</v>
      </c>
      <c r="H827" s="221">
        <v>2017</v>
      </c>
      <c r="I827" s="240"/>
      <c r="J827" s="341">
        <v>2.1</v>
      </c>
      <c r="K827" s="380" t="s">
        <v>489</v>
      </c>
      <c r="L827" s="334">
        <f t="shared" si="598"/>
        <v>5.7750000000000003E-2</v>
      </c>
      <c r="M827" s="335" t="str">
        <f>'[1]Advanced Controls'!$I$158</f>
        <v>t CH4-CO2eq per kg of protein</v>
      </c>
      <c r="N827" s="238"/>
      <c r="O827" s="227" t="s">
        <v>499</v>
      </c>
      <c r="P827" s="122"/>
      <c r="Q827" s="228"/>
      <c r="R827" s="231">
        <f t="shared" si="603"/>
        <v>5.7750000000000003E-2</v>
      </c>
      <c r="S827" s="230">
        <f t="shared" si="600"/>
        <v>5.7750000000000003E-2</v>
      </c>
      <c r="T827" s="231">
        <f t="shared" si="601"/>
        <v>0</v>
      </c>
      <c r="U827" s="232" t="str">
        <f t="shared" si="602"/>
        <v>t CH4-CO2eq per kg of protein</v>
      </c>
      <c r="V827" s="28"/>
      <c r="W827" s="28"/>
      <c r="Y827" s="91"/>
      <c r="AO827" s="91"/>
      <c r="AP827" s="28"/>
      <c r="AQ827" s="28"/>
      <c r="AR827" s="237"/>
      <c r="AS827" s="28"/>
      <c r="AT827" s="304" t="str">
        <f t="shared" si="596"/>
        <v/>
      </c>
      <c r="AU827" s="304" t="str">
        <f t="shared" si="596"/>
        <v/>
      </c>
      <c r="AV827" s="28"/>
      <c r="AW827" s="304" t="str">
        <f t="shared" si="587"/>
        <v/>
      </c>
      <c r="AX827" s="304" t="str">
        <f t="shared" si="587"/>
        <v/>
      </c>
      <c r="AY827" s="28"/>
      <c r="AZ827" s="304" t="str">
        <f t="shared" si="588"/>
        <v/>
      </c>
      <c r="BA827" s="304" t="str">
        <f t="shared" si="588"/>
        <v/>
      </c>
      <c r="BB827" s="28"/>
      <c r="BC827" s="304" t="str">
        <f t="shared" si="589"/>
        <v/>
      </c>
      <c r="BD827" s="304" t="str">
        <f t="shared" si="589"/>
        <v/>
      </c>
      <c r="BE827" s="28"/>
      <c r="BF827" s="304">
        <f t="shared" si="590"/>
        <v>5.7750000000000003E-2</v>
      </c>
      <c r="BG827" s="304">
        <f t="shared" si="590"/>
        <v>5.7750000000000003E-2</v>
      </c>
      <c r="BH827" s="28"/>
      <c r="BI827" s="304" t="str">
        <f t="shared" si="591"/>
        <v/>
      </c>
      <c r="BJ827" s="304" t="str">
        <f t="shared" si="591"/>
        <v/>
      </c>
      <c r="BK827" s="28"/>
      <c r="BL827" s="304" t="str">
        <f t="shared" si="592"/>
        <v/>
      </c>
      <c r="BM827" s="304" t="str">
        <f t="shared" si="592"/>
        <v/>
      </c>
      <c r="BN827" s="28"/>
      <c r="BO827" s="304" t="str">
        <f t="shared" si="593"/>
        <v/>
      </c>
      <c r="BP827" s="304" t="str">
        <f t="shared" si="593"/>
        <v/>
      </c>
      <c r="BQ827" s="28"/>
      <c r="BR827" s="304" t="str">
        <f t="shared" si="594"/>
        <v/>
      </c>
      <c r="BS827" s="304" t="str">
        <f t="shared" si="594"/>
        <v/>
      </c>
      <c r="BT827" s="28"/>
      <c r="BU827" s="304" t="str">
        <f t="shared" si="595"/>
        <v/>
      </c>
      <c r="BV827" s="304" t="str">
        <f t="shared" si="595"/>
        <v/>
      </c>
      <c r="BW827" s="28"/>
      <c r="BX827" s="91"/>
    </row>
    <row r="828" spans="1:76" s="55" customFormat="1" x14ac:dyDescent="0.25">
      <c r="A828" s="195">
        <v>132</v>
      </c>
      <c r="B828" s="216" t="str">
        <f t="shared" si="599"/>
        <v>Middle East and Africa: FAO. 2017. Reducing Enteric Methane for improving food security and livelihoods</v>
      </c>
      <c r="C828" s="219" t="s">
        <v>488</v>
      </c>
      <c r="D828" s="379" t="s">
        <v>252</v>
      </c>
      <c r="E828" s="219" t="s">
        <v>99</v>
      </c>
      <c r="F828" s="330" t="s">
        <v>253</v>
      </c>
      <c r="G828" s="220" t="s">
        <v>26</v>
      </c>
      <c r="H828" s="221">
        <v>2017</v>
      </c>
      <c r="I828" s="240"/>
      <c r="J828" s="341">
        <v>4.0999999999999996</v>
      </c>
      <c r="K828" s="380" t="s">
        <v>489</v>
      </c>
      <c r="L828" s="334">
        <f t="shared" si="598"/>
        <v>0.11274999999999999</v>
      </c>
      <c r="M828" s="335" t="str">
        <f>'[1]Advanced Controls'!$I$158</f>
        <v>t CH4-CO2eq per kg of protein</v>
      </c>
      <c r="N828" s="238"/>
      <c r="O828" s="227" t="s">
        <v>500</v>
      </c>
      <c r="P828" s="122"/>
      <c r="Q828" s="228"/>
      <c r="R828" s="231">
        <f t="shared" si="603"/>
        <v>0.11274999999999999</v>
      </c>
      <c r="S828" s="230">
        <f t="shared" si="600"/>
        <v>0.11274999999999999</v>
      </c>
      <c r="T828" s="231">
        <f t="shared" si="601"/>
        <v>0</v>
      </c>
      <c r="U828" s="232" t="str">
        <f t="shared" si="602"/>
        <v>t CH4-CO2eq per kg of protein</v>
      </c>
      <c r="V828" s="28"/>
      <c r="W828" s="28"/>
      <c r="Y828" s="91"/>
      <c r="AO828" s="91"/>
      <c r="AP828" s="28"/>
      <c r="AQ828" s="28"/>
      <c r="AR828" s="237"/>
      <c r="AS828" s="28"/>
      <c r="AT828" s="304" t="str">
        <f t="shared" si="596"/>
        <v/>
      </c>
      <c r="AU828" s="304" t="str">
        <f t="shared" si="596"/>
        <v/>
      </c>
      <c r="AV828" s="28"/>
      <c r="AW828" s="304" t="str">
        <f t="shared" si="587"/>
        <v/>
      </c>
      <c r="AX828" s="304" t="str">
        <f t="shared" si="587"/>
        <v/>
      </c>
      <c r="AY828" s="28"/>
      <c r="AZ828" s="304" t="str">
        <f t="shared" si="588"/>
        <v/>
      </c>
      <c r="BA828" s="304" t="str">
        <f t="shared" si="588"/>
        <v/>
      </c>
      <c r="BB828" s="28"/>
      <c r="BC828" s="304" t="str">
        <f t="shared" si="589"/>
        <v/>
      </c>
      <c r="BD828" s="304" t="str">
        <f t="shared" si="589"/>
        <v/>
      </c>
      <c r="BE828" s="28"/>
      <c r="BF828" s="304">
        <f t="shared" si="590"/>
        <v>0.11274999999999999</v>
      </c>
      <c r="BG828" s="304">
        <f t="shared" si="590"/>
        <v>0.11274999999999999</v>
      </c>
      <c r="BH828" s="28"/>
      <c r="BI828" s="304" t="str">
        <f t="shared" si="591"/>
        <v/>
      </c>
      <c r="BJ828" s="304" t="str">
        <f t="shared" si="591"/>
        <v/>
      </c>
      <c r="BK828" s="28"/>
      <c r="BL828" s="304" t="str">
        <f t="shared" si="592"/>
        <v/>
      </c>
      <c r="BM828" s="304" t="str">
        <f t="shared" si="592"/>
        <v/>
      </c>
      <c r="BN828" s="28"/>
      <c r="BO828" s="304" t="str">
        <f t="shared" si="593"/>
        <v/>
      </c>
      <c r="BP828" s="304" t="str">
        <f t="shared" si="593"/>
        <v/>
      </c>
      <c r="BQ828" s="28"/>
      <c r="BR828" s="304" t="str">
        <f t="shared" si="594"/>
        <v/>
      </c>
      <c r="BS828" s="304" t="str">
        <f t="shared" si="594"/>
        <v/>
      </c>
      <c r="BT828" s="28"/>
      <c r="BU828" s="304" t="str">
        <f t="shared" si="595"/>
        <v/>
      </c>
      <c r="BV828" s="304" t="str">
        <f t="shared" si="595"/>
        <v/>
      </c>
      <c r="BW828" s="28"/>
      <c r="BX828" s="91"/>
    </row>
    <row r="829" spans="1:76" s="55" customFormat="1" x14ac:dyDescent="0.25">
      <c r="A829" s="195">
        <v>133</v>
      </c>
      <c r="B829" s="216" t="str">
        <f t="shared" si="599"/>
        <v>Middle East and Africa: FAO. 2017. Reducing Enteric Methane for improving food security and livelihoods</v>
      </c>
      <c r="C829" s="219" t="s">
        <v>488</v>
      </c>
      <c r="D829" s="379" t="s">
        <v>252</v>
      </c>
      <c r="E829" s="219" t="s">
        <v>99</v>
      </c>
      <c r="F829" s="330" t="s">
        <v>253</v>
      </c>
      <c r="G829" s="220" t="s">
        <v>26</v>
      </c>
      <c r="H829" s="221">
        <v>2017</v>
      </c>
      <c r="I829" s="240"/>
      <c r="J829" s="341">
        <v>7.1</v>
      </c>
      <c r="K829" s="380" t="s">
        <v>489</v>
      </c>
      <c r="L829" s="334">
        <f t="shared" si="598"/>
        <v>0.19524999999999998</v>
      </c>
      <c r="M829" s="335" t="str">
        <f>'[1]Advanced Controls'!$I$158</f>
        <v>t CH4-CO2eq per kg of protein</v>
      </c>
      <c r="N829" s="238"/>
      <c r="O829" s="227" t="s">
        <v>501</v>
      </c>
      <c r="P829" s="122"/>
      <c r="Q829" s="228"/>
      <c r="R829" s="231">
        <f t="shared" si="603"/>
        <v>0.19524999999999998</v>
      </c>
      <c r="S829" s="230">
        <f t="shared" si="600"/>
        <v>0.19524999999999998</v>
      </c>
      <c r="T829" s="231">
        <f t="shared" si="601"/>
        <v>0</v>
      </c>
      <c r="U829" s="232" t="str">
        <f t="shared" si="602"/>
        <v>t CH4-CO2eq per kg of protein</v>
      </c>
      <c r="V829" s="28"/>
      <c r="W829" s="28"/>
      <c r="Y829" s="91"/>
      <c r="AO829" s="91"/>
      <c r="AP829" s="28"/>
      <c r="AQ829" s="28"/>
      <c r="AR829" s="237"/>
      <c r="AS829" s="28"/>
      <c r="AT829" s="304" t="str">
        <f t="shared" si="596"/>
        <v/>
      </c>
      <c r="AU829" s="304" t="str">
        <f t="shared" si="596"/>
        <v/>
      </c>
      <c r="AV829" s="28"/>
      <c r="AW829" s="304" t="str">
        <f t="shared" si="587"/>
        <v/>
      </c>
      <c r="AX829" s="304" t="str">
        <f t="shared" si="587"/>
        <v/>
      </c>
      <c r="AY829" s="28"/>
      <c r="AZ829" s="304" t="str">
        <f t="shared" si="588"/>
        <v/>
      </c>
      <c r="BA829" s="304" t="str">
        <f t="shared" si="588"/>
        <v/>
      </c>
      <c r="BB829" s="28"/>
      <c r="BC829" s="304" t="str">
        <f t="shared" si="589"/>
        <v/>
      </c>
      <c r="BD829" s="304" t="str">
        <f t="shared" si="589"/>
        <v/>
      </c>
      <c r="BE829" s="28"/>
      <c r="BF829" s="304">
        <f t="shared" si="590"/>
        <v>0.19524999999999998</v>
      </c>
      <c r="BG829" s="304">
        <f t="shared" si="590"/>
        <v>0.19524999999999998</v>
      </c>
      <c r="BH829" s="28"/>
      <c r="BI829" s="304" t="str">
        <f t="shared" si="591"/>
        <v/>
      </c>
      <c r="BJ829" s="304" t="str">
        <f t="shared" si="591"/>
        <v/>
      </c>
      <c r="BK829" s="28"/>
      <c r="BL829" s="304" t="str">
        <f t="shared" si="592"/>
        <v/>
      </c>
      <c r="BM829" s="304" t="str">
        <f t="shared" si="592"/>
        <v/>
      </c>
      <c r="BN829" s="28"/>
      <c r="BO829" s="304" t="str">
        <f t="shared" si="593"/>
        <v/>
      </c>
      <c r="BP829" s="304" t="str">
        <f t="shared" si="593"/>
        <v/>
      </c>
      <c r="BQ829" s="28"/>
      <c r="BR829" s="304" t="str">
        <f t="shared" si="594"/>
        <v/>
      </c>
      <c r="BS829" s="304" t="str">
        <f t="shared" si="594"/>
        <v/>
      </c>
      <c r="BT829" s="28"/>
      <c r="BU829" s="304" t="str">
        <f t="shared" si="595"/>
        <v/>
      </c>
      <c r="BV829" s="304" t="str">
        <f t="shared" si="595"/>
        <v/>
      </c>
      <c r="BW829" s="28"/>
      <c r="BX829" s="91"/>
    </row>
    <row r="830" spans="1:76" s="55" customFormat="1" x14ac:dyDescent="0.25">
      <c r="A830" s="195">
        <v>134</v>
      </c>
      <c r="B830" s="216" t="str">
        <f t="shared" si="599"/>
        <v>Middle East and Africa: FAO. 2017. Reducing Enteric Methane for improving food security and livelihoods</v>
      </c>
      <c r="C830" s="219" t="s">
        <v>488</v>
      </c>
      <c r="D830" s="379" t="s">
        <v>252</v>
      </c>
      <c r="E830" s="219" t="s">
        <v>99</v>
      </c>
      <c r="F830" s="330" t="s">
        <v>253</v>
      </c>
      <c r="G830" s="220" t="s">
        <v>26</v>
      </c>
      <c r="H830" s="221">
        <v>2017</v>
      </c>
      <c r="I830" s="240"/>
      <c r="J830" s="341">
        <v>4.0999999999999996</v>
      </c>
      <c r="K830" s="380" t="s">
        <v>489</v>
      </c>
      <c r="L830" s="334">
        <f t="shared" si="598"/>
        <v>0.11274999999999999</v>
      </c>
      <c r="M830" s="335" t="str">
        <f>'[1]Advanced Controls'!$I$158</f>
        <v>t CH4-CO2eq per kg of protein</v>
      </c>
      <c r="N830" s="238"/>
      <c r="O830" s="227" t="s">
        <v>498</v>
      </c>
      <c r="P830" s="122"/>
      <c r="Q830" s="228"/>
      <c r="R830" s="231">
        <f t="shared" si="603"/>
        <v>0.11274999999999999</v>
      </c>
      <c r="S830" s="230">
        <f t="shared" si="600"/>
        <v>0.11274999999999999</v>
      </c>
      <c r="T830" s="231">
        <f t="shared" si="601"/>
        <v>0</v>
      </c>
      <c r="U830" s="232" t="str">
        <f t="shared" si="602"/>
        <v>t CH4-CO2eq per kg of protein</v>
      </c>
      <c r="V830" s="28"/>
      <c r="W830" s="28"/>
      <c r="Y830" s="91"/>
      <c r="AO830" s="91"/>
      <c r="AP830" s="28"/>
      <c r="AQ830" s="28"/>
      <c r="AR830" s="237"/>
      <c r="AS830" s="28"/>
      <c r="AT830" s="304" t="str">
        <f t="shared" si="596"/>
        <v/>
      </c>
      <c r="AU830" s="304" t="str">
        <f t="shared" si="596"/>
        <v/>
      </c>
      <c r="AV830" s="28"/>
      <c r="AW830" s="304" t="str">
        <f t="shared" si="587"/>
        <v/>
      </c>
      <c r="AX830" s="304" t="str">
        <f t="shared" si="587"/>
        <v/>
      </c>
      <c r="AY830" s="28"/>
      <c r="AZ830" s="304" t="str">
        <f t="shared" si="588"/>
        <v/>
      </c>
      <c r="BA830" s="304" t="str">
        <f t="shared" si="588"/>
        <v/>
      </c>
      <c r="BB830" s="28"/>
      <c r="BC830" s="304" t="str">
        <f t="shared" si="589"/>
        <v/>
      </c>
      <c r="BD830" s="304" t="str">
        <f t="shared" si="589"/>
        <v/>
      </c>
      <c r="BE830" s="28"/>
      <c r="BF830" s="304">
        <f t="shared" si="590"/>
        <v>0.11274999999999999</v>
      </c>
      <c r="BG830" s="304">
        <f t="shared" si="590"/>
        <v>0.11274999999999999</v>
      </c>
      <c r="BH830" s="28"/>
      <c r="BI830" s="304" t="str">
        <f t="shared" si="591"/>
        <v/>
      </c>
      <c r="BJ830" s="304" t="str">
        <f t="shared" si="591"/>
        <v/>
      </c>
      <c r="BK830" s="28"/>
      <c r="BL830" s="304" t="str">
        <f t="shared" si="592"/>
        <v/>
      </c>
      <c r="BM830" s="304" t="str">
        <f t="shared" si="592"/>
        <v/>
      </c>
      <c r="BN830" s="28"/>
      <c r="BO830" s="304" t="str">
        <f t="shared" si="593"/>
        <v/>
      </c>
      <c r="BP830" s="304" t="str">
        <f t="shared" si="593"/>
        <v/>
      </c>
      <c r="BQ830" s="28"/>
      <c r="BR830" s="304" t="str">
        <f t="shared" si="594"/>
        <v/>
      </c>
      <c r="BS830" s="304" t="str">
        <f t="shared" si="594"/>
        <v/>
      </c>
      <c r="BT830" s="28"/>
      <c r="BU830" s="304" t="str">
        <f t="shared" si="595"/>
        <v/>
      </c>
      <c r="BV830" s="304" t="str">
        <f t="shared" si="595"/>
        <v/>
      </c>
      <c r="BW830" s="28"/>
      <c r="BX830" s="91"/>
    </row>
    <row r="831" spans="1:76" s="55" customFormat="1" x14ac:dyDescent="0.25">
      <c r="A831" s="195">
        <v>135</v>
      </c>
      <c r="B831" s="216" t="str">
        <f t="shared" si="599"/>
        <v>Middle East and Africa: FAO. 2017. Reducing Enteric Methane for improving food security and livelihoods</v>
      </c>
      <c r="C831" s="219" t="s">
        <v>488</v>
      </c>
      <c r="D831" s="379" t="s">
        <v>252</v>
      </c>
      <c r="E831" s="219" t="s">
        <v>99</v>
      </c>
      <c r="F831" s="330" t="s">
        <v>253</v>
      </c>
      <c r="G831" s="220" t="s">
        <v>26</v>
      </c>
      <c r="H831" s="221">
        <v>2017</v>
      </c>
      <c r="I831" s="240"/>
      <c r="J831" s="341">
        <v>2.1</v>
      </c>
      <c r="K831" s="380" t="s">
        <v>489</v>
      </c>
      <c r="L831" s="334">
        <f t="shared" si="598"/>
        <v>5.7750000000000003E-2</v>
      </c>
      <c r="M831" s="335" t="str">
        <f>'[1]Advanced Controls'!$I$158</f>
        <v>t CH4-CO2eq per kg of protein</v>
      </c>
      <c r="N831" s="238"/>
      <c r="O831" s="227" t="s">
        <v>497</v>
      </c>
      <c r="P831" s="122"/>
      <c r="Q831" s="228"/>
      <c r="R831" s="231">
        <f t="shared" si="603"/>
        <v>5.7750000000000003E-2</v>
      </c>
      <c r="S831" s="230">
        <f t="shared" si="600"/>
        <v>5.7750000000000003E-2</v>
      </c>
      <c r="T831" s="231">
        <f t="shared" si="601"/>
        <v>0</v>
      </c>
      <c r="U831" s="232" t="str">
        <f t="shared" si="602"/>
        <v>t CH4-CO2eq per kg of protein</v>
      </c>
      <c r="V831" s="28"/>
      <c r="W831" s="28"/>
      <c r="Y831" s="91"/>
      <c r="AO831" s="91"/>
      <c r="AP831" s="28"/>
      <c r="AQ831" s="28"/>
      <c r="AR831" s="237"/>
      <c r="AS831" s="28"/>
      <c r="AT831" s="304" t="str">
        <f t="shared" si="596"/>
        <v/>
      </c>
      <c r="AU831" s="304" t="str">
        <f t="shared" si="596"/>
        <v/>
      </c>
      <c r="AV831" s="28"/>
      <c r="AW831" s="304" t="str">
        <f t="shared" si="587"/>
        <v/>
      </c>
      <c r="AX831" s="304" t="str">
        <f t="shared" si="587"/>
        <v/>
      </c>
      <c r="AY831" s="28"/>
      <c r="AZ831" s="304" t="str">
        <f t="shared" si="588"/>
        <v/>
      </c>
      <c r="BA831" s="304" t="str">
        <f t="shared" si="588"/>
        <v/>
      </c>
      <c r="BB831" s="28"/>
      <c r="BC831" s="304" t="str">
        <f t="shared" si="589"/>
        <v/>
      </c>
      <c r="BD831" s="304" t="str">
        <f t="shared" si="589"/>
        <v/>
      </c>
      <c r="BE831" s="28"/>
      <c r="BF831" s="304">
        <f t="shared" si="590"/>
        <v>5.7750000000000003E-2</v>
      </c>
      <c r="BG831" s="304">
        <f t="shared" si="590"/>
        <v>5.7750000000000003E-2</v>
      </c>
      <c r="BH831" s="28"/>
      <c r="BI831" s="304" t="str">
        <f t="shared" si="591"/>
        <v/>
      </c>
      <c r="BJ831" s="304" t="str">
        <f t="shared" si="591"/>
        <v/>
      </c>
      <c r="BK831" s="28"/>
      <c r="BL831" s="304" t="str">
        <f t="shared" si="592"/>
        <v/>
      </c>
      <c r="BM831" s="304" t="str">
        <f t="shared" si="592"/>
        <v/>
      </c>
      <c r="BN831" s="28"/>
      <c r="BO831" s="304" t="str">
        <f t="shared" si="593"/>
        <v/>
      </c>
      <c r="BP831" s="304" t="str">
        <f t="shared" si="593"/>
        <v/>
      </c>
      <c r="BQ831" s="28"/>
      <c r="BR831" s="304" t="str">
        <f t="shared" si="594"/>
        <v/>
      </c>
      <c r="BS831" s="304" t="str">
        <f t="shared" si="594"/>
        <v/>
      </c>
      <c r="BT831" s="28"/>
      <c r="BU831" s="304" t="str">
        <f t="shared" si="595"/>
        <v/>
      </c>
      <c r="BV831" s="304" t="str">
        <f t="shared" si="595"/>
        <v/>
      </c>
      <c r="BW831" s="28"/>
      <c r="BX831" s="91"/>
    </row>
    <row r="832" spans="1:76" s="55" customFormat="1" x14ac:dyDescent="0.25">
      <c r="A832" s="195">
        <v>136</v>
      </c>
      <c r="B832" s="216" t="str">
        <f t="shared" si="599"/>
        <v>Middle East and Africa: FAO. 2017. Reducing Enteric Methane for improving food security and livelihoods</v>
      </c>
      <c r="C832" s="219" t="s">
        <v>488</v>
      </c>
      <c r="D832" s="379" t="s">
        <v>240</v>
      </c>
      <c r="E832" s="219" t="s">
        <v>99</v>
      </c>
      <c r="F832" s="330" t="s">
        <v>241</v>
      </c>
      <c r="G832" s="220" t="s">
        <v>26</v>
      </c>
      <c r="H832" s="221">
        <v>2017</v>
      </c>
      <c r="I832" s="240"/>
      <c r="J832" s="341">
        <v>44.6</v>
      </c>
      <c r="K832" s="380" t="s">
        <v>489</v>
      </c>
      <c r="L832" s="334">
        <f>(J832*0.001)/0.032*0.87</f>
        <v>1.2125625</v>
      </c>
      <c r="M832" s="335" t="str">
        <f>'[1]Advanced Controls'!$I$158</f>
        <v>t CH4-CO2eq per kg of protein</v>
      </c>
      <c r="N832" s="238"/>
      <c r="O832" s="227" t="s">
        <v>502</v>
      </c>
      <c r="P832" s="122"/>
      <c r="Q832" s="228"/>
      <c r="R832" s="231">
        <f t="shared" si="603"/>
        <v>1.2125625</v>
      </c>
      <c r="S832" s="230">
        <f t="shared" si="600"/>
        <v>1.2125625</v>
      </c>
      <c r="T832" s="231">
        <f t="shared" si="601"/>
        <v>0</v>
      </c>
      <c r="U832" s="232" t="str">
        <f t="shared" si="602"/>
        <v>t CH4-CO2eq per kg of protein</v>
      </c>
      <c r="V832" s="28"/>
      <c r="W832" s="28"/>
      <c r="Y832" s="91"/>
      <c r="AO832" s="91"/>
      <c r="AP832" s="28"/>
      <c r="AQ832" s="28"/>
      <c r="AR832" s="237"/>
      <c r="AS832" s="28"/>
      <c r="AT832" s="304" t="str">
        <f t="shared" si="596"/>
        <v/>
      </c>
      <c r="AU832" s="304" t="str">
        <f t="shared" si="596"/>
        <v/>
      </c>
      <c r="AV832" s="28"/>
      <c r="AW832" s="304" t="str">
        <f t="shared" si="587"/>
        <v/>
      </c>
      <c r="AX832" s="304" t="str">
        <f t="shared" si="587"/>
        <v/>
      </c>
      <c r="AY832" s="28"/>
      <c r="AZ832" s="304" t="str">
        <f t="shared" si="588"/>
        <v/>
      </c>
      <c r="BA832" s="304" t="str">
        <f t="shared" si="588"/>
        <v/>
      </c>
      <c r="BB832" s="28"/>
      <c r="BC832" s="304" t="str">
        <f t="shared" si="589"/>
        <v/>
      </c>
      <c r="BD832" s="304" t="str">
        <f t="shared" si="589"/>
        <v/>
      </c>
      <c r="BE832" s="28"/>
      <c r="BF832" s="304">
        <f t="shared" si="590"/>
        <v>1.2125625</v>
      </c>
      <c r="BG832" s="304">
        <f t="shared" si="590"/>
        <v>1.2125625</v>
      </c>
      <c r="BH832" s="28"/>
      <c r="BI832" s="304" t="str">
        <f t="shared" si="591"/>
        <v/>
      </c>
      <c r="BJ832" s="304" t="str">
        <f t="shared" si="591"/>
        <v/>
      </c>
      <c r="BK832" s="28"/>
      <c r="BL832" s="304" t="str">
        <f t="shared" si="592"/>
        <v/>
      </c>
      <c r="BM832" s="304" t="str">
        <f t="shared" si="592"/>
        <v/>
      </c>
      <c r="BN832" s="28"/>
      <c r="BO832" s="304" t="str">
        <f t="shared" si="593"/>
        <v/>
      </c>
      <c r="BP832" s="304" t="str">
        <f t="shared" si="593"/>
        <v/>
      </c>
      <c r="BQ832" s="28"/>
      <c r="BR832" s="304" t="str">
        <f t="shared" si="594"/>
        <v/>
      </c>
      <c r="BS832" s="304" t="str">
        <f t="shared" si="594"/>
        <v/>
      </c>
      <c r="BT832" s="28"/>
      <c r="BU832" s="304" t="str">
        <f t="shared" si="595"/>
        <v/>
      </c>
      <c r="BV832" s="304" t="str">
        <f t="shared" si="595"/>
        <v/>
      </c>
      <c r="BW832" s="28"/>
      <c r="BX832" s="91"/>
    </row>
    <row r="833" spans="1:76" s="55" customFormat="1" x14ac:dyDescent="0.25">
      <c r="A833" s="195">
        <v>137</v>
      </c>
      <c r="B833" s="216" t="str">
        <f t="shared" si="599"/>
        <v>Middle East and Africa: FAO. 2017. Reducing Enteric Methane for improving food security and livelihoods</v>
      </c>
      <c r="C833" s="219" t="s">
        <v>488</v>
      </c>
      <c r="D833" s="379" t="s">
        <v>240</v>
      </c>
      <c r="E833" s="219" t="s">
        <v>99</v>
      </c>
      <c r="F833" s="330" t="s">
        <v>241</v>
      </c>
      <c r="G833" s="220" t="s">
        <v>26</v>
      </c>
      <c r="H833" s="221">
        <v>2017</v>
      </c>
      <c r="I833" s="240"/>
      <c r="J833" s="341">
        <v>18.899999999999999</v>
      </c>
      <c r="K833" s="380" t="s">
        <v>489</v>
      </c>
      <c r="L833" s="334">
        <f>(J833*0.001)/0.032*0.87</f>
        <v>0.51384374999999993</v>
      </c>
      <c r="M833" s="335" t="str">
        <f>'[1]Advanced Controls'!$I$158</f>
        <v>t CH4-CO2eq per kg of protein</v>
      </c>
      <c r="N833" s="238"/>
      <c r="O833" s="227" t="s">
        <v>503</v>
      </c>
      <c r="P833" s="122"/>
      <c r="Q833" s="228"/>
      <c r="R833" s="231">
        <f t="shared" si="603"/>
        <v>0.51384374999999993</v>
      </c>
      <c r="S833" s="230">
        <f t="shared" si="600"/>
        <v>0.51384374999999993</v>
      </c>
      <c r="T833" s="231">
        <f t="shared" si="601"/>
        <v>0</v>
      </c>
      <c r="U833" s="232" t="str">
        <f t="shared" si="602"/>
        <v>t CH4-CO2eq per kg of protein</v>
      </c>
      <c r="V833" s="28"/>
      <c r="W833" s="28"/>
      <c r="Y833" s="91"/>
      <c r="AO833" s="91"/>
      <c r="AP833" s="28"/>
      <c r="AQ833" s="28"/>
      <c r="AR833" s="237"/>
      <c r="AS833" s="28"/>
      <c r="AT833" s="304" t="str">
        <f t="shared" si="596"/>
        <v/>
      </c>
      <c r="AU833" s="304" t="str">
        <f t="shared" si="596"/>
        <v/>
      </c>
      <c r="AV833" s="28"/>
      <c r="AW833" s="304" t="str">
        <f t="shared" si="587"/>
        <v/>
      </c>
      <c r="AX833" s="304" t="str">
        <f t="shared" si="587"/>
        <v/>
      </c>
      <c r="AY833" s="28"/>
      <c r="AZ833" s="304" t="str">
        <f t="shared" si="588"/>
        <v/>
      </c>
      <c r="BA833" s="304" t="str">
        <f t="shared" si="588"/>
        <v/>
      </c>
      <c r="BB833" s="28"/>
      <c r="BC833" s="304" t="str">
        <f t="shared" si="589"/>
        <v/>
      </c>
      <c r="BD833" s="304" t="str">
        <f t="shared" si="589"/>
        <v/>
      </c>
      <c r="BE833" s="28"/>
      <c r="BF833" s="304">
        <f t="shared" si="590"/>
        <v>0.51384374999999993</v>
      </c>
      <c r="BG833" s="304">
        <f t="shared" si="590"/>
        <v>0.51384374999999993</v>
      </c>
      <c r="BH833" s="28"/>
      <c r="BI833" s="304" t="str">
        <f t="shared" si="591"/>
        <v/>
      </c>
      <c r="BJ833" s="304" t="str">
        <f t="shared" si="591"/>
        <v/>
      </c>
      <c r="BK833" s="28"/>
      <c r="BL833" s="304" t="str">
        <f t="shared" si="592"/>
        <v/>
      </c>
      <c r="BM833" s="304" t="str">
        <f t="shared" si="592"/>
        <v/>
      </c>
      <c r="BN833" s="28"/>
      <c r="BO833" s="304" t="str">
        <f t="shared" si="593"/>
        <v/>
      </c>
      <c r="BP833" s="304" t="str">
        <f t="shared" si="593"/>
        <v/>
      </c>
      <c r="BQ833" s="28"/>
      <c r="BR833" s="304" t="str">
        <f t="shared" si="594"/>
        <v/>
      </c>
      <c r="BS833" s="304" t="str">
        <f t="shared" si="594"/>
        <v/>
      </c>
      <c r="BT833" s="28"/>
      <c r="BU833" s="304" t="str">
        <f t="shared" si="595"/>
        <v/>
      </c>
      <c r="BV833" s="304" t="str">
        <f t="shared" si="595"/>
        <v/>
      </c>
      <c r="BW833" s="28"/>
      <c r="BX833" s="91"/>
    </row>
    <row r="834" spans="1:76" s="55" customFormat="1" x14ac:dyDescent="0.25">
      <c r="A834" s="195">
        <v>138</v>
      </c>
      <c r="B834" s="216" t="str">
        <f t="shared" si="599"/>
        <v>Middle East and Africa: FAO. 2017. Reducing Enteric Methane for improving food security and livelihoods</v>
      </c>
      <c r="C834" s="219" t="s">
        <v>488</v>
      </c>
      <c r="D834" s="379" t="s">
        <v>240</v>
      </c>
      <c r="E834" s="219" t="s">
        <v>99</v>
      </c>
      <c r="F834" s="330" t="s">
        <v>241</v>
      </c>
      <c r="G834" s="220" t="s">
        <v>26</v>
      </c>
      <c r="H834" s="221">
        <v>2017</v>
      </c>
      <c r="I834" s="240"/>
      <c r="J834" s="341">
        <v>44.6</v>
      </c>
      <c r="K834" s="380" t="s">
        <v>489</v>
      </c>
      <c r="L834" s="334">
        <f>(J834*0.001)/0.032*0.87</f>
        <v>1.2125625</v>
      </c>
      <c r="M834" s="335" t="str">
        <f>'[1]Advanced Controls'!$I$158</f>
        <v>t CH4-CO2eq per kg of protein</v>
      </c>
      <c r="N834" s="238"/>
      <c r="O834" s="227" t="s">
        <v>504</v>
      </c>
      <c r="P834" s="122"/>
      <c r="Q834" s="228"/>
      <c r="R834" s="231">
        <f t="shared" si="603"/>
        <v>1.2125625</v>
      </c>
      <c r="S834" s="230">
        <f t="shared" si="600"/>
        <v>1.2125625</v>
      </c>
      <c r="T834" s="231">
        <f t="shared" si="601"/>
        <v>0</v>
      </c>
      <c r="U834" s="232" t="str">
        <f t="shared" si="602"/>
        <v>t CH4-CO2eq per kg of protein</v>
      </c>
      <c r="V834" s="28"/>
      <c r="W834" s="28"/>
      <c r="Y834" s="91"/>
      <c r="AO834" s="91"/>
      <c r="AP834" s="28"/>
      <c r="AQ834" s="28"/>
      <c r="AR834" s="237"/>
      <c r="AS834" s="28"/>
      <c r="AT834" s="304" t="str">
        <f t="shared" si="596"/>
        <v/>
      </c>
      <c r="AU834" s="304" t="str">
        <f t="shared" si="596"/>
        <v/>
      </c>
      <c r="AV834" s="28"/>
      <c r="AW834" s="304" t="str">
        <f t="shared" si="587"/>
        <v/>
      </c>
      <c r="AX834" s="304" t="str">
        <f t="shared" si="587"/>
        <v/>
      </c>
      <c r="AY834" s="28"/>
      <c r="AZ834" s="304" t="str">
        <f t="shared" si="588"/>
        <v/>
      </c>
      <c r="BA834" s="304" t="str">
        <f t="shared" si="588"/>
        <v/>
      </c>
      <c r="BB834" s="28"/>
      <c r="BC834" s="304" t="str">
        <f t="shared" si="589"/>
        <v/>
      </c>
      <c r="BD834" s="304" t="str">
        <f t="shared" si="589"/>
        <v/>
      </c>
      <c r="BE834" s="28"/>
      <c r="BF834" s="304">
        <f t="shared" si="590"/>
        <v>1.2125625</v>
      </c>
      <c r="BG834" s="304">
        <f t="shared" si="590"/>
        <v>1.2125625</v>
      </c>
      <c r="BH834" s="28"/>
      <c r="BI834" s="304" t="str">
        <f t="shared" si="591"/>
        <v/>
      </c>
      <c r="BJ834" s="304" t="str">
        <f t="shared" si="591"/>
        <v/>
      </c>
      <c r="BK834" s="28"/>
      <c r="BL834" s="304" t="str">
        <f t="shared" si="592"/>
        <v/>
      </c>
      <c r="BM834" s="304" t="str">
        <f t="shared" si="592"/>
        <v/>
      </c>
      <c r="BN834" s="28"/>
      <c r="BO834" s="304" t="str">
        <f t="shared" si="593"/>
        <v/>
      </c>
      <c r="BP834" s="304" t="str">
        <f t="shared" si="593"/>
        <v/>
      </c>
      <c r="BQ834" s="28"/>
      <c r="BR834" s="304" t="str">
        <f t="shared" si="594"/>
        <v/>
      </c>
      <c r="BS834" s="304" t="str">
        <f t="shared" si="594"/>
        <v/>
      </c>
      <c r="BT834" s="28"/>
      <c r="BU834" s="304" t="str">
        <f t="shared" si="595"/>
        <v/>
      </c>
      <c r="BV834" s="304" t="str">
        <f t="shared" si="595"/>
        <v/>
      </c>
      <c r="BW834" s="28"/>
      <c r="BX834" s="91"/>
    </row>
    <row r="835" spans="1:76" s="55" customFormat="1" x14ac:dyDescent="0.25">
      <c r="A835" s="195">
        <v>139</v>
      </c>
      <c r="B835" s="216" t="str">
        <f t="shared" si="599"/>
        <v>Middle East and Africa: FAO. 2017. Reducing Enteric Methane for improving food security and livelihoods</v>
      </c>
      <c r="C835" s="219" t="s">
        <v>488</v>
      </c>
      <c r="D835" s="379" t="s">
        <v>240</v>
      </c>
      <c r="E835" s="219" t="s">
        <v>99</v>
      </c>
      <c r="F835" s="330" t="s">
        <v>241</v>
      </c>
      <c r="G835" s="220" t="s">
        <v>26</v>
      </c>
      <c r="H835" s="221">
        <v>2017</v>
      </c>
      <c r="I835" s="240"/>
      <c r="J835" s="341">
        <v>8.6999999999999993</v>
      </c>
      <c r="K835" s="380" t="s">
        <v>489</v>
      </c>
      <c r="L835" s="334">
        <f>(J835*0.001)/0.032*0.87</f>
        <v>0.23653124999999997</v>
      </c>
      <c r="M835" s="335" t="str">
        <f>'[1]Advanced Controls'!$I$158</f>
        <v>t CH4-CO2eq per kg of protein</v>
      </c>
      <c r="N835" s="238"/>
      <c r="O835" s="227" t="s">
        <v>505</v>
      </c>
      <c r="P835" s="122"/>
      <c r="Q835" s="228"/>
      <c r="R835" s="231">
        <f t="shared" si="603"/>
        <v>0.23653124999999997</v>
      </c>
      <c r="S835" s="230">
        <f t="shared" si="600"/>
        <v>0.23653124999999997</v>
      </c>
      <c r="T835" s="231">
        <f t="shared" si="601"/>
        <v>0</v>
      </c>
      <c r="U835" s="232" t="str">
        <f t="shared" si="602"/>
        <v>t CH4-CO2eq per kg of protein</v>
      </c>
      <c r="V835" s="28"/>
      <c r="W835" s="28"/>
      <c r="Y835" s="91"/>
      <c r="AO835" s="91"/>
      <c r="AP835" s="28"/>
      <c r="AQ835" s="28"/>
      <c r="AR835" s="237"/>
      <c r="AS835" s="28"/>
      <c r="AT835" s="304" t="str">
        <f t="shared" si="596"/>
        <v/>
      </c>
      <c r="AU835" s="304" t="str">
        <f t="shared" si="596"/>
        <v/>
      </c>
      <c r="AV835" s="28"/>
      <c r="AW835" s="304" t="str">
        <f t="shared" si="587"/>
        <v/>
      </c>
      <c r="AX835" s="304" t="str">
        <f t="shared" si="587"/>
        <v/>
      </c>
      <c r="AY835" s="28"/>
      <c r="AZ835" s="304" t="str">
        <f t="shared" si="588"/>
        <v/>
      </c>
      <c r="BA835" s="304" t="str">
        <f t="shared" si="588"/>
        <v/>
      </c>
      <c r="BB835" s="28"/>
      <c r="BC835" s="304" t="str">
        <f t="shared" si="589"/>
        <v/>
      </c>
      <c r="BD835" s="304" t="str">
        <f t="shared" si="589"/>
        <v/>
      </c>
      <c r="BE835" s="28"/>
      <c r="BF835" s="304">
        <f t="shared" si="590"/>
        <v>0.23653124999999997</v>
      </c>
      <c r="BG835" s="304">
        <f t="shared" si="590"/>
        <v>0.23653124999999997</v>
      </c>
      <c r="BH835" s="28"/>
      <c r="BI835" s="304" t="str">
        <f t="shared" si="591"/>
        <v/>
      </c>
      <c r="BJ835" s="304" t="str">
        <f t="shared" si="591"/>
        <v/>
      </c>
      <c r="BK835" s="28"/>
      <c r="BL835" s="304" t="str">
        <f t="shared" si="592"/>
        <v/>
      </c>
      <c r="BM835" s="304" t="str">
        <f t="shared" si="592"/>
        <v/>
      </c>
      <c r="BN835" s="28"/>
      <c r="BO835" s="304" t="str">
        <f t="shared" si="593"/>
        <v/>
      </c>
      <c r="BP835" s="304" t="str">
        <f t="shared" si="593"/>
        <v/>
      </c>
      <c r="BQ835" s="28"/>
      <c r="BR835" s="304" t="str">
        <f t="shared" si="594"/>
        <v/>
      </c>
      <c r="BS835" s="304" t="str">
        <f t="shared" si="594"/>
        <v/>
      </c>
      <c r="BT835" s="28"/>
      <c r="BU835" s="304" t="str">
        <f t="shared" si="595"/>
        <v/>
      </c>
      <c r="BV835" s="304" t="str">
        <f t="shared" si="595"/>
        <v/>
      </c>
      <c r="BW835" s="28"/>
      <c r="BX835" s="91"/>
    </row>
    <row r="836" spans="1:76" s="55" customFormat="1" x14ac:dyDescent="0.25">
      <c r="A836" s="195">
        <v>140</v>
      </c>
      <c r="B836" s="216" t="str">
        <f t="shared" si="599"/>
        <v>Middle East and Africa: FAO. 2017. Reducing Enteric Methane for improving food security and livelihoods</v>
      </c>
      <c r="C836" s="219" t="s">
        <v>488</v>
      </c>
      <c r="D836" s="379" t="s">
        <v>240</v>
      </c>
      <c r="E836" s="219" t="s">
        <v>99</v>
      </c>
      <c r="F836" s="330" t="s">
        <v>241</v>
      </c>
      <c r="G836" s="220" t="s">
        <v>26</v>
      </c>
      <c r="H836" s="221">
        <v>2017</v>
      </c>
      <c r="I836" s="240"/>
      <c r="J836" s="341">
        <v>3.8</v>
      </c>
      <c r="K836" s="380" t="s">
        <v>489</v>
      </c>
      <c r="L836" s="334">
        <f>(J836*0.001)/0.032*0.87</f>
        <v>0.1033125</v>
      </c>
      <c r="M836" s="335" t="str">
        <f>'[1]Advanced Controls'!$I$158</f>
        <v>t CH4-CO2eq per kg of protein</v>
      </c>
      <c r="N836" s="238"/>
      <c r="O836" s="227" t="s">
        <v>506</v>
      </c>
      <c r="P836" s="122"/>
      <c r="Q836" s="228"/>
      <c r="R836" s="231">
        <f t="shared" si="603"/>
        <v>0.1033125</v>
      </c>
      <c r="S836" s="230">
        <f t="shared" si="600"/>
        <v>0.1033125</v>
      </c>
      <c r="T836" s="231">
        <f t="shared" si="601"/>
        <v>0</v>
      </c>
      <c r="U836" s="232" t="str">
        <f t="shared" si="602"/>
        <v>t CH4-CO2eq per kg of protein</v>
      </c>
      <c r="V836" s="28"/>
      <c r="W836" s="28"/>
      <c r="Y836" s="91"/>
      <c r="AO836" s="91"/>
      <c r="AP836" s="28"/>
      <c r="AQ836" s="28"/>
      <c r="AR836" s="237"/>
      <c r="AS836" s="28"/>
      <c r="AT836" s="304" t="str">
        <f t="shared" si="596"/>
        <v/>
      </c>
      <c r="AU836" s="304" t="str">
        <f t="shared" si="596"/>
        <v/>
      </c>
      <c r="AV836" s="28"/>
      <c r="AW836" s="304" t="str">
        <f t="shared" si="587"/>
        <v/>
      </c>
      <c r="AX836" s="304" t="str">
        <f t="shared" si="587"/>
        <v/>
      </c>
      <c r="AY836" s="28"/>
      <c r="AZ836" s="304" t="str">
        <f t="shared" si="588"/>
        <v/>
      </c>
      <c r="BA836" s="304" t="str">
        <f t="shared" si="588"/>
        <v/>
      </c>
      <c r="BB836" s="28"/>
      <c r="BC836" s="304" t="str">
        <f t="shared" si="589"/>
        <v/>
      </c>
      <c r="BD836" s="304" t="str">
        <f t="shared" si="589"/>
        <v/>
      </c>
      <c r="BE836" s="28"/>
      <c r="BF836" s="304">
        <f t="shared" si="590"/>
        <v>0.1033125</v>
      </c>
      <c r="BG836" s="304">
        <f t="shared" si="590"/>
        <v>0.1033125</v>
      </c>
      <c r="BH836" s="28"/>
      <c r="BI836" s="304" t="str">
        <f t="shared" si="591"/>
        <v/>
      </c>
      <c r="BJ836" s="304" t="str">
        <f t="shared" si="591"/>
        <v/>
      </c>
      <c r="BK836" s="28"/>
      <c r="BL836" s="304" t="str">
        <f t="shared" si="592"/>
        <v/>
      </c>
      <c r="BM836" s="304" t="str">
        <f t="shared" si="592"/>
        <v/>
      </c>
      <c r="BN836" s="28"/>
      <c r="BO836" s="304" t="str">
        <f t="shared" si="593"/>
        <v/>
      </c>
      <c r="BP836" s="304" t="str">
        <f t="shared" si="593"/>
        <v/>
      </c>
      <c r="BQ836" s="28"/>
      <c r="BR836" s="304" t="str">
        <f t="shared" si="594"/>
        <v/>
      </c>
      <c r="BS836" s="304" t="str">
        <f t="shared" si="594"/>
        <v/>
      </c>
      <c r="BT836" s="28"/>
      <c r="BU836" s="304" t="str">
        <f t="shared" si="595"/>
        <v/>
      </c>
      <c r="BV836" s="304" t="str">
        <f t="shared" si="595"/>
        <v/>
      </c>
      <c r="BW836" s="28"/>
      <c r="BX836" s="91"/>
    </row>
    <row r="837" spans="1:76" s="55" customFormat="1" x14ac:dyDescent="0.25">
      <c r="A837" s="195">
        <v>141</v>
      </c>
      <c r="B837" s="216" t="str">
        <f t="shared" si="599"/>
        <v>Middle East and Africa: FAO. 2017. Reducing Enteric Methane for improving food security and livelihoods</v>
      </c>
      <c r="C837" s="219" t="s">
        <v>488</v>
      </c>
      <c r="D837" s="379" t="s">
        <v>279</v>
      </c>
      <c r="E837" s="219" t="s">
        <v>99</v>
      </c>
      <c r="F837" s="330" t="s">
        <v>280</v>
      </c>
      <c r="G837" s="220" t="s">
        <v>26</v>
      </c>
      <c r="H837" s="221">
        <v>2017</v>
      </c>
      <c r="I837" s="240"/>
      <c r="J837" s="341">
        <v>28.8</v>
      </c>
      <c r="K837" s="380" t="s">
        <v>489</v>
      </c>
      <c r="L837" s="334">
        <f>(J837*0.001)/0.032*0.91</f>
        <v>0.81900000000000006</v>
      </c>
      <c r="M837" s="335" t="str">
        <f>'[1]Advanced Controls'!$I$158</f>
        <v>t CH4-CO2eq per kg of protein</v>
      </c>
      <c r="N837" s="238"/>
      <c r="O837" s="227" t="s">
        <v>507</v>
      </c>
      <c r="P837" s="122"/>
      <c r="Q837" s="228"/>
      <c r="R837" s="231">
        <f t="shared" si="603"/>
        <v>0.81900000000000006</v>
      </c>
      <c r="S837" s="230">
        <f t="shared" si="600"/>
        <v>0.81900000000000006</v>
      </c>
      <c r="T837" s="231">
        <f t="shared" si="601"/>
        <v>0</v>
      </c>
      <c r="U837" s="232" t="str">
        <f t="shared" si="602"/>
        <v>t CH4-CO2eq per kg of protein</v>
      </c>
      <c r="V837" s="28"/>
      <c r="W837" s="28"/>
      <c r="Y837" s="91"/>
      <c r="AO837" s="91"/>
      <c r="AP837" s="28"/>
      <c r="AQ837" s="28"/>
      <c r="AR837" s="237"/>
      <c r="AS837" s="28"/>
      <c r="AT837" s="304" t="str">
        <f t="shared" si="596"/>
        <v/>
      </c>
      <c r="AU837" s="304" t="str">
        <f t="shared" si="596"/>
        <v/>
      </c>
      <c r="AV837" s="28"/>
      <c r="AW837" s="304" t="str">
        <f t="shared" si="587"/>
        <v/>
      </c>
      <c r="AX837" s="304" t="str">
        <f t="shared" si="587"/>
        <v/>
      </c>
      <c r="AY837" s="28"/>
      <c r="AZ837" s="304" t="str">
        <f t="shared" si="588"/>
        <v/>
      </c>
      <c r="BA837" s="304" t="str">
        <f t="shared" si="588"/>
        <v/>
      </c>
      <c r="BB837" s="28"/>
      <c r="BC837" s="304" t="str">
        <f t="shared" si="589"/>
        <v/>
      </c>
      <c r="BD837" s="304" t="str">
        <f t="shared" si="589"/>
        <v/>
      </c>
      <c r="BE837" s="28"/>
      <c r="BF837" s="304">
        <f t="shared" si="590"/>
        <v>0.81900000000000006</v>
      </c>
      <c r="BG837" s="304">
        <f t="shared" si="590"/>
        <v>0.81900000000000006</v>
      </c>
      <c r="BH837" s="28"/>
      <c r="BI837" s="304" t="str">
        <f t="shared" si="591"/>
        <v/>
      </c>
      <c r="BJ837" s="304" t="str">
        <f t="shared" si="591"/>
        <v/>
      </c>
      <c r="BK837" s="28"/>
      <c r="BL837" s="304" t="str">
        <f t="shared" si="592"/>
        <v/>
      </c>
      <c r="BM837" s="304" t="str">
        <f t="shared" si="592"/>
        <v/>
      </c>
      <c r="BN837" s="28"/>
      <c r="BO837" s="304" t="str">
        <f t="shared" si="593"/>
        <v/>
      </c>
      <c r="BP837" s="304" t="str">
        <f t="shared" si="593"/>
        <v/>
      </c>
      <c r="BQ837" s="28"/>
      <c r="BR837" s="304" t="str">
        <f t="shared" si="594"/>
        <v/>
      </c>
      <c r="BS837" s="304" t="str">
        <f t="shared" si="594"/>
        <v/>
      </c>
      <c r="BT837" s="28"/>
      <c r="BU837" s="304" t="str">
        <f t="shared" si="595"/>
        <v/>
      </c>
      <c r="BV837" s="304" t="str">
        <f t="shared" si="595"/>
        <v/>
      </c>
      <c r="BW837" s="28"/>
      <c r="BX837" s="91"/>
    </row>
    <row r="838" spans="1:76" s="55" customFormat="1" x14ac:dyDescent="0.25">
      <c r="A838" s="195">
        <v>142</v>
      </c>
      <c r="B838" s="216" t="str">
        <f t="shared" si="599"/>
        <v>Middle East and Africa: FAO. 2017. Reducing Enteric Methane for improving food security and livelihoods</v>
      </c>
      <c r="C838" s="219" t="s">
        <v>488</v>
      </c>
      <c r="D838" s="379" t="s">
        <v>279</v>
      </c>
      <c r="E838" s="219" t="s">
        <v>99</v>
      </c>
      <c r="F838" s="330" t="s">
        <v>280</v>
      </c>
      <c r="G838" s="220" t="s">
        <v>26</v>
      </c>
      <c r="H838" s="221">
        <v>2017</v>
      </c>
      <c r="I838" s="240"/>
      <c r="J838" s="341">
        <v>2.2000000000000002</v>
      </c>
      <c r="K838" s="380" t="s">
        <v>489</v>
      </c>
      <c r="L838" s="334">
        <f>(J838*0.001)/0.032*0.91</f>
        <v>6.2562500000000007E-2</v>
      </c>
      <c r="M838" s="335" t="str">
        <f>'[1]Advanced Controls'!$I$158</f>
        <v>t CH4-CO2eq per kg of protein</v>
      </c>
      <c r="N838" s="238"/>
      <c r="O838" s="227" t="s">
        <v>508</v>
      </c>
      <c r="P838" s="122"/>
      <c r="Q838" s="228"/>
      <c r="R838" s="231">
        <f t="shared" si="603"/>
        <v>6.2562500000000007E-2</v>
      </c>
      <c r="S838" s="230">
        <f t="shared" si="600"/>
        <v>6.2562500000000007E-2</v>
      </c>
      <c r="T838" s="231">
        <f t="shared" si="601"/>
        <v>0</v>
      </c>
      <c r="U838" s="232" t="str">
        <f t="shared" si="602"/>
        <v>t CH4-CO2eq per kg of protein</v>
      </c>
      <c r="V838" s="28"/>
      <c r="W838" s="28"/>
      <c r="Y838" s="91"/>
      <c r="AO838" s="91"/>
      <c r="AP838" s="28"/>
      <c r="AQ838" s="28"/>
      <c r="AR838" s="237"/>
      <c r="AS838" s="28"/>
      <c r="AT838" s="304" t="str">
        <f t="shared" si="596"/>
        <v/>
      </c>
      <c r="AU838" s="304" t="str">
        <f t="shared" si="596"/>
        <v/>
      </c>
      <c r="AV838" s="28"/>
      <c r="AW838" s="304" t="str">
        <f t="shared" si="587"/>
        <v/>
      </c>
      <c r="AX838" s="304" t="str">
        <f t="shared" si="587"/>
        <v/>
      </c>
      <c r="AY838" s="28"/>
      <c r="AZ838" s="304" t="str">
        <f t="shared" si="588"/>
        <v/>
      </c>
      <c r="BA838" s="304" t="str">
        <f t="shared" si="588"/>
        <v/>
      </c>
      <c r="BB838" s="28"/>
      <c r="BC838" s="304" t="str">
        <f t="shared" si="589"/>
        <v/>
      </c>
      <c r="BD838" s="304" t="str">
        <f t="shared" si="589"/>
        <v/>
      </c>
      <c r="BE838" s="28"/>
      <c r="BF838" s="304">
        <f t="shared" si="590"/>
        <v>6.2562500000000007E-2</v>
      </c>
      <c r="BG838" s="304">
        <f t="shared" si="590"/>
        <v>6.2562500000000007E-2</v>
      </c>
      <c r="BH838" s="28"/>
      <c r="BI838" s="304" t="str">
        <f t="shared" si="591"/>
        <v/>
      </c>
      <c r="BJ838" s="304" t="str">
        <f t="shared" si="591"/>
        <v/>
      </c>
      <c r="BK838" s="28"/>
      <c r="BL838" s="304" t="str">
        <f t="shared" si="592"/>
        <v/>
      </c>
      <c r="BM838" s="304" t="str">
        <f t="shared" si="592"/>
        <v/>
      </c>
      <c r="BN838" s="28"/>
      <c r="BO838" s="304" t="str">
        <f t="shared" si="593"/>
        <v/>
      </c>
      <c r="BP838" s="304" t="str">
        <f t="shared" si="593"/>
        <v/>
      </c>
      <c r="BQ838" s="28"/>
      <c r="BR838" s="304" t="str">
        <f t="shared" si="594"/>
        <v/>
      </c>
      <c r="BS838" s="304" t="str">
        <f t="shared" si="594"/>
        <v/>
      </c>
      <c r="BT838" s="28"/>
      <c r="BU838" s="304" t="str">
        <f t="shared" si="595"/>
        <v/>
      </c>
      <c r="BV838" s="304" t="str">
        <f t="shared" si="595"/>
        <v/>
      </c>
      <c r="BW838" s="28"/>
      <c r="BX838" s="91"/>
    </row>
    <row r="839" spans="1:76" s="55" customFormat="1" x14ac:dyDescent="0.25">
      <c r="A839" s="195">
        <v>143</v>
      </c>
      <c r="B839" s="216" t="str">
        <f t="shared" si="599"/>
        <v>Middle East and Africa: FAO. 2017. Reducing Enteric Methane for improving food security and livelihoods</v>
      </c>
      <c r="C839" s="219" t="s">
        <v>488</v>
      </c>
      <c r="D839" s="379" t="s">
        <v>279</v>
      </c>
      <c r="E839" s="219" t="s">
        <v>99</v>
      </c>
      <c r="F839" s="330" t="s">
        <v>280</v>
      </c>
      <c r="G839" s="220" t="s">
        <v>26</v>
      </c>
      <c r="H839" s="221">
        <v>2017</v>
      </c>
      <c r="I839" s="240"/>
      <c r="J839" s="341">
        <v>28.8</v>
      </c>
      <c r="K839" s="380" t="s">
        <v>489</v>
      </c>
      <c r="L839" s="334">
        <f>(J839*0.001)/0.032*0.91</f>
        <v>0.81900000000000006</v>
      </c>
      <c r="M839" s="335" t="str">
        <f>'[1]Advanced Controls'!$I$158</f>
        <v>t CH4-CO2eq per kg of protein</v>
      </c>
      <c r="N839" s="238"/>
      <c r="O839" s="227" t="s">
        <v>509</v>
      </c>
      <c r="P839" s="122"/>
      <c r="Q839" s="228"/>
      <c r="R839" s="231">
        <f t="shared" si="603"/>
        <v>0.81900000000000006</v>
      </c>
      <c r="S839" s="230">
        <f t="shared" si="600"/>
        <v>0.81900000000000006</v>
      </c>
      <c r="T839" s="231">
        <f t="shared" si="601"/>
        <v>0</v>
      </c>
      <c r="U839" s="232" t="str">
        <f t="shared" si="602"/>
        <v>t CH4-CO2eq per kg of protein</v>
      </c>
      <c r="V839" s="28"/>
      <c r="W839" s="28"/>
      <c r="Y839" s="91"/>
      <c r="AO839" s="91"/>
      <c r="AP839" s="28"/>
      <c r="AQ839" s="28"/>
      <c r="AR839" s="237"/>
      <c r="AS839" s="28"/>
      <c r="AT839" s="304" t="str">
        <f t="shared" si="596"/>
        <v/>
      </c>
      <c r="AU839" s="304" t="str">
        <f t="shared" si="596"/>
        <v/>
      </c>
      <c r="AV839" s="28"/>
      <c r="AW839" s="304" t="str">
        <f t="shared" si="587"/>
        <v/>
      </c>
      <c r="AX839" s="304" t="str">
        <f t="shared" si="587"/>
        <v/>
      </c>
      <c r="AY839" s="28"/>
      <c r="AZ839" s="304" t="str">
        <f t="shared" si="588"/>
        <v/>
      </c>
      <c r="BA839" s="304" t="str">
        <f t="shared" si="588"/>
        <v/>
      </c>
      <c r="BB839" s="28"/>
      <c r="BC839" s="304" t="str">
        <f t="shared" si="589"/>
        <v/>
      </c>
      <c r="BD839" s="304" t="str">
        <f t="shared" si="589"/>
        <v/>
      </c>
      <c r="BE839" s="28"/>
      <c r="BF839" s="304">
        <f t="shared" si="590"/>
        <v>0.81900000000000006</v>
      </c>
      <c r="BG839" s="304">
        <f t="shared" si="590"/>
        <v>0.81900000000000006</v>
      </c>
      <c r="BH839" s="28"/>
      <c r="BI839" s="304" t="str">
        <f t="shared" si="591"/>
        <v/>
      </c>
      <c r="BJ839" s="304" t="str">
        <f t="shared" si="591"/>
        <v/>
      </c>
      <c r="BK839" s="28"/>
      <c r="BL839" s="304" t="str">
        <f t="shared" si="592"/>
        <v/>
      </c>
      <c r="BM839" s="304" t="str">
        <f t="shared" si="592"/>
        <v/>
      </c>
      <c r="BN839" s="28"/>
      <c r="BO839" s="304" t="str">
        <f t="shared" si="593"/>
        <v/>
      </c>
      <c r="BP839" s="304" t="str">
        <f t="shared" si="593"/>
        <v/>
      </c>
      <c r="BQ839" s="28"/>
      <c r="BR839" s="304" t="str">
        <f t="shared" si="594"/>
        <v/>
      </c>
      <c r="BS839" s="304" t="str">
        <f t="shared" si="594"/>
        <v/>
      </c>
      <c r="BT839" s="28"/>
      <c r="BU839" s="304" t="str">
        <f t="shared" si="595"/>
        <v/>
      </c>
      <c r="BV839" s="304" t="str">
        <f t="shared" si="595"/>
        <v/>
      </c>
      <c r="BW839" s="28"/>
      <c r="BX839" s="91"/>
    </row>
    <row r="840" spans="1:76" s="55" customFormat="1" x14ac:dyDescent="0.25">
      <c r="A840" s="195">
        <v>144</v>
      </c>
      <c r="B840" s="216" t="str">
        <f t="shared" si="599"/>
        <v>Middle East and Africa: FAO. 2017. Reducing Enteric Methane for improving food security and livelihoods</v>
      </c>
      <c r="C840" s="219" t="s">
        <v>488</v>
      </c>
      <c r="D840" s="379" t="s">
        <v>279</v>
      </c>
      <c r="E840" s="219" t="s">
        <v>99</v>
      </c>
      <c r="F840" s="330" t="s">
        <v>280</v>
      </c>
      <c r="G840" s="220" t="s">
        <v>26</v>
      </c>
      <c r="H840" s="221">
        <v>2017</v>
      </c>
      <c r="I840" s="240"/>
      <c r="J840" s="341">
        <v>2.2000000000000002</v>
      </c>
      <c r="K840" s="380" t="s">
        <v>489</v>
      </c>
      <c r="L840" s="334">
        <f t="shared" ref="L840:L849" si="604">(J840*0.001)/0.032*0.79</f>
        <v>5.4312500000000007E-2</v>
      </c>
      <c r="M840" s="335" t="str">
        <f>'[1]Advanced Controls'!$I$158</f>
        <v>t CH4-CO2eq per kg of protein</v>
      </c>
      <c r="N840" s="238"/>
      <c r="O840" s="227" t="s">
        <v>510</v>
      </c>
      <c r="P840" s="122"/>
      <c r="Q840" s="228"/>
      <c r="R840" s="231">
        <f t="shared" si="603"/>
        <v>5.4312500000000007E-2</v>
      </c>
      <c r="S840" s="230">
        <f t="shared" si="600"/>
        <v>5.4312500000000007E-2</v>
      </c>
      <c r="T840" s="231">
        <f t="shared" si="601"/>
        <v>0</v>
      </c>
      <c r="U840" s="232" t="str">
        <f t="shared" si="602"/>
        <v>t CH4-CO2eq per kg of protein</v>
      </c>
      <c r="V840" s="28"/>
      <c r="W840" s="28"/>
      <c r="Y840" s="91"/>
      <c r="AO840" s="91"/>
      <c r="AP840" s="28"/>
      <c r="AQ840" s="28"/>
      <c r="AR840" s="237"/>
      <c r="AS840" s="28"/>
      <c r="AT840" s="304" t="str">
        <f t="shared" si="596"/>
        <v/>
      </c>
      <c r="AU840" s="304" t="str">
        <f t="shared" si="596"/>
        <v/>
      </c>
      <c r="AV840" s="28"/>
      <c r="AW840" s="304" t="str">
        <f t="shared" si="587"/>
        <v/>
      </c>
      <c r="AX840" s="304" t="str">
        <f t="shared" si="587"/>
        <v/>
      </c>
      <c r="AY840" s="28"/>
      <c r="AZ840" s="304" t="str">
        <f t="shared" si="588"/>
        <v/>
      </c>
      <c r="BA840" s="304" t="str">
        <f t="shared" si="588"/>
        <v/>
      </c>
      <c r="BB840" s="28"/>
      <c r="BC840" s="304" t="str">
        <f t="shared" si="589"/>
        <v/>
      </c>
      <c r="BD840" s="304" t="str">
        <f t="shared" si="589"/>
        <v/>
      </c>
      <c r="BE840" s="28"/>
      <c r="BF840" s="304">
        <f t="shared" si="590"/>
        <v>5.4312500000000007E-2</v>
      </c>
      <c r="BG840" s="304">
        <f t="shared" si="590"/>
        <v>5.4312500000000007E-2</v>
      </c>
      <c r="BH840" s="28"/>
      <c r="BI840" s="304" t="str">
        <f t="shared" si="591"/>
        <v/>
      </c>
      <c r="BJ840" s="304" t="str">
        <f t="shared" si="591"/>
        <v/>
      </c>
      <c r="BK840" s="28"/>
      <c r="BL840" s="304" t="str">
        <f t="shared" si="592"/>
        <v/>
      </c>
      <c r="BM840" s="304" t="str">
        <f t="shared" si="592"/>
        <v/>
      </c>
      <c r="BN840" s="28"/>
      <c r="BO840" s="304" t="str">
        <f t="shared" si="593"/>
        <v/>
      </c>
      <c r="BP840" s="304" t="str">
        <f t="shared" si="593"/>
        <v/>
      </c>
      <c r="BQ840" s="28"/>
      <c r="BR840" s="304" t="str">
        <f t="shared" si="594"/>
        <v/>
      </c>
      <c r="BS840" s="304" t="str">
        <f t="shared" si="594"/>
        <v/>
      </c>
      <c r="BT840" s="28"/>
      <c r="BU840" s="304" t="str">
        <f t="shared" si="595"/>
        <v/>
      </c>
      <c r="BV840" s="304" t="str">
        <f t="shared" si="595"/>
        <v/>
      </c>
      <c r="BW840" s="28"/>
      <c r="BX840" s="91"/>
    </row>
    <row r="841" spans="1:76" s="55" customFormat="1" x14ac:dyDescent="0.25">
      <c r="A841" s="195">
        <v>145</v>
      </c>
      <c r="B841" s="216" t="str">
        <f t="shared" si="599"/>
        <v>Middle East and Africa: FAO. 2017. Reducing Enteric Methane for improving food security and livelihoods</v>
      </c>
      <c r="C841" s="219" t="s">
        <v>488</v>
      </c>
      <c r="D841" s="379" t="s">
        <v>287</v>
      </c>
      <c r="E841" s="219" t="s">
        <v>99</v>
      </c>
      <c r="F841" s="330" t="s">
        <v>288</v>
      </c>
      <c r="G841" s="220" t="s">
        <v>26</v>
      </c>
      <c r="H841" s="221">
        <v>2017</v>
      </c>
      <c r="I841" s="240"/>
      <c r="J841" s="341">
        <v>4.7</v>
      </c>
      <c r="K841" s="380" t="s">
        <v>489</v>
      </c>
      <c r="L841" s="334">
        <f t="shared" si="604"/>
        <v>0.11603125000000002</v>
      </c>
      <c r="M841" s="335" t="str">
        <f>'[1]Advanced Controls'!$I$158</f>
        <v>t CH4-CO2eq per kg of protein</v>
      </c>
      <c r="N841" s="238"/>
      <c r="O841" s="227" t="s">
        <v>511</v>
      </c>
      <c r="P841" s="122"/>
      <c r="Q841" s="228"/>
      <c r="R841" s="231">
        <f t="shared" si="603"/>
        <v>0.11603125000000002</v>
      </c>
      <c r="S841" s="230">
        <f t="shared" si="600"/>
        <v>0.11603125000000002</v>
      </c>
      <c r="T841" s="231">
        <f t="shared" si="601"/>
        <v>0</v>
      </c>
      <c r="U841" s="232" t="str">
        <f t="shared" si="602"/>
        <v>t CH4-CO2eq per kg of protein</v>
      </c>
      <c r="V841" s="28"/>
      <c r="W841" s="28"/>
      <c r="Y841" s="91"/>
      <c r="AO841" s="91"/>
      <c r="AP841" s="28"/>
      <c r="AQ841" s="28"/>
      <c r="AR841" s="237"/>
      <c r="AS841" s="28"/>
      <c r="AT841" s="304" t="str">
        <f t="shared" si="596"/>
        <v/>
      </c>
      <c r="AU841" s="304" t="str">
        <f t="shared" si="596"/>
        <v/>
      </c>
      <c r="AV841" s="28"/>
      <c r="AW841" s="304" t="str">
        <f t="shared" ref="AW841:AX904" si="605">IF($E841=$AW$83,R841,"")</f>
        <v/>
      </c>
      <c r="AX841" s="304" t="str">
        <f t="shared" si="605"/>
        <v/>
      </c>
      <c r="AY841" s="28"/>
      <c r="AZ841" s="304" t="str">
        <f t="shared" ref="AZ841:BA904" si="606">IF($E841=$AZ$83,R841,"")</f>
        <v/>
      </c>
      <c r="BA841" s="304" t="str">
        <f t="shared" si="606"/>
        <v/>
      </c>
      <c r="BB841" s="28"/>
      <c r="BC841" s="304" t="str">
        <f t="shared" ref="BC841:BD904" si="607">IF($E841=$BC$83,R841,"")</f>
        <v/>
      </c>
      <c r="BD841" s="304" t="str">
        <f t="shared" si="607"/>
        <v/>
      </c>
      <c r="BE841" s="28"/>
      <c r="BF841" s="304">
        <f t="shared" ref="BF841:BG904" si="608">IF($E841=$BF$83,R841,"")</f>
        <v>0.11603125000000002</v>
      </c>
      <c r="BG841" s="304">
        <f t="shared" si="608"/>
        <v>0.11603125000000002</v>
      </c>
      <c r="BH841" s="28"/>
      <c r="BI841" s="304" t="str">
        <f t="shared" ref="BI841:BJ904" si="609">IF($E841=$BI$83,R841,"")</f>
        <v/>
      </c>
      <c r="BJ841" s="304" t="str">
        <f t="shared" si="609"/>
        <v/>
      </c>
      <c r="BK841" s="28"/>
      <c r="BL841" s="304" t="str">
        <f t="shared" ref="BL841:BM904" si="610">IF($E841=$BL$83,R841,"")</f>
        <v/>
      </c>
      <c r="BM841" s="304" t="str">
        <f t="shared" si="610"/>
        <v/>
      </c>
      <c r="BN841" s="28"/>
      <c r="BO841" s="304" t="str">
        <f t="shared" ref="BO841:BP904" si="611">IF($E841=$BO$83,R841,"")</f>
        <v/>
      </c>
      <c r="BP841" s="304" t="str">
        <f t="shared" si="611"/>
        <v/>
      </c>
      <c r="BQ841" s="28"/>
      <c r="BR841" s="304" t="str">
        <f t="shared" ref="BR841:BS904" si="612">IF($E841=$BR$83,R841,"")</f>
        <v/>
      </c>
      <c r="BS841" s="304" t="str">
        <f t="shared" si="612"/>
        <v/>
      </c>
      <c r="BT841" s="28"/>
      <c r="BU841" s="304" t="str">
        <f t="shared" ref="BU841:BV904" si="613">IF($E841=$BU$83,R841,"")</f>
        <v/>
      </c>
      <c r="BV841" s="304" t="str">
        <f t="shared" si="613"/>
        <v/>
      </c>
      <c r="BW841" s="28"/>
      <c r="BX841" s="91"/>
    </row>
    <row r="842" spans="1:76" s="55" customFormat="1" x14ac:dyDescent="0.25">
      <c r="A842" s="195">
        <v>146</v>
      </c>
      <c r="B842" s="216" t="str">
        <f t="shared" si="599"/>
        <v>Middle East and Africa: FAO. 2017. Reducing Enteric Methane for improving food security and livelihoods</v>
      </c>
      <c r="C842" s="219" t="s">
        <v>488</v>
      </c>
      <c r="D842" s="379" t="s">
        <v>287</v>
      </c>
      <c r="E842" s="219" t="s">
        <v>99</v>
      </c>
      <c r="F842" s="330" t="s">
        <v>288</v>
      </c>
      <c r="G842" s="220" t="s">
        <v>26</v>
      </c>
      <c r="H842" s="221">
        <v>2017</v>
      </c>
      <c r="I842" s="240"/>
      <c r="J842" s="341">
        <v>1.6</v>
      </c>
      <c r="K842" s="380" t="s">
        <v>489</v>
      </c>
      <c r="L842" s="334">
        <f t="shared" si="604"/>
        <v>3.9500000000000007E-2</v>
      </c>
      <c r="M842" s="335" t="str">
        <f>'[1]Advanced Controls'!$I$158</f>
        <v>t CH4-CO2eq per kg of protein</v>
      </c>
      <c r="N842" s="238"/>
      <c r="O842" s="227" t="s">
        <v>512</v>
      </c>
      <c r="P842" s="122"/>
      <c r="Q842" s="228"/>
      <c r="R842" s="231">
        <f t="shared" si="603"/>
        <v>3.9500000000000007E-2</v>
      </c>
      <c r="S842" s="230">
        <f t="shared" si="600"/>
        <v>3.9500000000000007E-2</v>
      </c>
      <c r="T842" s="231">
        <f t="shared" si="601"/>
        <v>0</v>
      </c>
      <c r="U842" s="232" t="str">
        <f t="shared" si="602"/>
        <v>t CH4-CO2eq per kg of protein</v>
      </c>
      <c r="V842" s="28"/>
      <c r="W842" s="28"/>
      <c r="Y842" s="91"/>
      <c r="AO842" s="91"/>
      <c r="AP842" s="28"/>
      <c r="AQ842" s="28"/>
      <c r="AR842" s="237"/>
      <c r="AS842" s="28"/>
      <c r="AT842" s="304" t="str">
        <f t="shared" ref="AT842:AU905" si="614">IF($E842=$AT$47,R842,"")</f>
        <v/>
      </c>
      <c r="AU842" s="304" t="str">
        <f t="shared" si="614"/>
        <v/>
      </c>
      <c r="AV842" s="28"/>
      <c r="AW842" s="304" t="str">
        <f t="shared" si="605"/>
        <v/>
      </c>
      <c r="AX842" s="304" t="str">
        <f t="shared" si="605"/>
        <v/>
      </c>
      <c r="AY842" s="28"/>
      <c r="AZ842" s="304" t="str">
        <f t="shared" si="606"/>
        <v/>
      </c>
      <c r="BA842" s="304" t="str">
        <f t="shared" si="606"/>
        <v/>
      </c>
      <c r="BB842" s="28"/>
      <c r="BC842" s="304" t="str">
        <f t="shared" si="607"/>
        <v/>
      </c>
      <c r="BD842" s="304" t="str">
        <f t="shared" si="607"/>
        <v/>
      </c>
      <c r="BE842" s="28"/>
      <c r="BF842" s="304">
        <f t="shared" si="608"/>
        <v>3.9500000000000007E-2</v>
      </c>
      <c r="BG842" s="304">
        <f t="shared" si="608"/>
        <v>3.9500000000000007E-2</v>
      </c>
      <c r="BH842" s="28"/>
      <c r="BI842" s="304" t="str">
        <f t="shared" si="609"/>
        <v/>
      </c>
      <c r="BJ842" s="304" t="str">
        <f t="shared" si="609"/>
        <v/>
      </c>
      <c r="BK842" s="28"/>
      <c r="BL842" s="304" t="str">
        <f t="shared" si="610"/>
        <v/>
      </c>
      <c r="BM842" s="304" t="str">
        <f t="shared" si="610"/>
        <v/>
      </c>
      <c r="BN842" s="28"/>
      <c r="BO842" s="304" t="str">
        <f t="shared" si="611"/>
        <v/>
      </c>
      <c r="BP842" s="304" t="str">
        <f t="shared" si="611"/>
        <v/>
      </c>
      <c r="BQ842" s="28"/>
      <c r="BR842" s="304" t="str">
        <f t="shared" si="612"/>
        <v/>
      </c>
      <c r="BS842" s="304" t="str">
        <f t="shared" si="612"/>
        <v/>
      </c>
      <c r="BT842" s="28"/>
      <c r="BU842" s="304" t="str">
        <f t="shared" si="613"/>
        <v/>
      </c>
      <c r="BV842" s="304" t="str">
        <f t="shared" si="613"/>
        <v/>
      </c>
      <c r="BW842" s="28"/>
      <c r="BX842" s="91"/>
    </row>
    <row r="843" spans="1:76" s="55" customFormat="1" x14ac:dyDescent="0.25">
      <c r="A843" s="195">
        <v>147</v>
      </c>
      <c r="B843" s="216" t="str">
        <f t="shared" si="599"/>
        <v>Middle East and Africa: FAO. 2017. Reducing Enteric Methane for improving food security and livelihoods</v>
      </c>
      <c r="C843" s="219" t="s">
        <v>488</v>
      </c>
      <c r="D843" s="379" t="s">
        <v>287</v>
      </c>
      <c r="E843" s="219" t="s">
        <v>99</v>
      </c>
      <c r="F843" s="330" t="s">
        <v>288</v>
      </c>
      <c r="G843" s="220" t="s">
        <v>26</v>
      </c>
      <c r="H843" s="221">
        <v>2017</v>
      </c>
      <c r="I843" s="240"/>
      <c r="J843" s="341">
        <v>1.7</v>
      </c>
      <c r="K843" s="380" t="s">
        <v>489</v>
      </c>
      <c r="L843" s="334">
        <f t="shared" si="604"/>
        <v>4.1968749999999999E-2</v>
      </c>
      <c r="M843" s="335" t="str">
        <f>'[1]Advanced Controls'!$I$158</f>
        <v>t CH4-CO2eq per kg of protein</v>
      </c>
      <c r="N843" s="238"/>
      <c r="O843" s="227" t="s">
        <v>513</v>
      </c>
      <c r="P843" s="122"/>
      <c r="Q843" s="228"/>
      <c r="R843" s="231">
        <f t="shared" si="603"/>
        <v>4.1968749999999999E-2</v>
      </c>
      <c r="S843" s="230">
        <f t="shared" si="600"/>
        <v>4.1968749999999999E-2</v>
      </c>
      <c r="T843" s="231" t="str">
        <f t="shared" si="601"/>
        <v/>
      </c>
      <c r="U843" s="232" t="str">
        <f t="shared" si="602"/>
        <v>t CH4-CO2eq per kg of protein</v>
      </c>
      <c r="V843" s="28"/>
      <c r="W843" s="28"/>
      <c r="Y843" s="91"/>
      <c r="AO843" s="91"/>
      <c r="AP843" s="28"/>
      <c r="AQ843" s="28"/>
      <c r="AR843" s="237"/>
      <c r="AS843" s="28"/>
      <c r="AT843" s="304" t="str">
        <f t="shared" si="614"/>
        <v/>
      </c>
      <c r="AU843" s="304" t="str">
        <f t="shared" si="614"/>
        <v/>
      </c>
      <c r="AV843" s="28"/>
      <c r="AW843" s="304" t="str">
        <f t="shared" si="605"/>
        <v/>
      </c>
      <c r="AX843" s="304" t="str">
        <f t="shared" si="605"/>
        <v/>
      </c>
      <c r="AY843" s="28"/>
      <c r="AZ843" s="304" t="str">
        <f t="shared" si="606"/>
        <v/>
      </c>
      <c r="BA843" s="304" t="str">
        <f t="shared" si="606"/>
        <v/>
      </c>
      <c r="BB843" s="28"/>
      <c r="BC843" s="304" t="str">
        <f t="shared" si="607"/>
        <v/>
      </c>
      <c r="BD843" s="304" t="str">
        <f t="shared" si="607"/>
        <v/>
      </c>
      <c r="BE843" s="28"/>
      <c r="BF843" s="304">
        <f t="shared" si="608"/>
        <v>4.1968749999999999E-2</v>
      </c>
      <c r="BG843" s="304">
        <f t="shared" si="608"/>
        <v>4.1968749999999999E-2</v>
      </c>
      <c r="BH843" s="28"/>
      <c r="BI843" s="304" t="str">
        <f t="shared" si="609"/>
        <v/>
      </c>
      <c r="BJ843" s="304" t="str">
        <f t="shared" si="609"/>
        <v/>
      </c>
      <c r="BK843" s="28"/>
      <c r="BL843" s="304" t="str">
        <f t="shared" si="610"/>
        <v/>
      </c>
      <c r="BM843" s="304" t="str">
        <f t="shared" si="610"/>
        <v/>
      </c>
      <c r="BN843" s="28"/>
      <c r="BO843" s="304" t="str">
        <f t="shared" si="611"/>
        <v/>
      </c>
      <c r="BP843" s="304" t="str">
        <f t="shared" si="611"/>
        <v/>
      </c>
      <c r="BQ843" s="28"/>
      <c r="BR843" s="304" t="str">
        <f t="shared" si="612"/>
        <v/>
      </c>
      <c r="BS843" s="304" t="str">
        <f t="shared" si="612"/>
        <v/>
      </c>
      <c r="BT843" s="28"/>
      <c r="BU843" s="304" t="str">
        <f t="shared" si="613"/>
        <v/>
      </c>
      <c r="BV843" s="304" t="str">
        <f t="shared" si="613"/>
        <v/>
      </c>
      <c r="BW843" s="28"/>
      <c r="BX843" s="91"/>
    </row>
    <row r="844" spans="1:76" s="55" customFormat="1" x14ac:dyDescent="0.25">
      <c r="A844" s="195">
        <v>148</v>
      </c>
      <c r="B844" s="216" t="str">
        <f t="shared" si="599"/>
        <v>Middle East and Africa: FAO. 2017. Reducing Enteric Methane for improving food security and livelihoods</v>
      </c>
      <c r="C844" s="219" t="s">
        <v>488</v>
      </c>
      <c r="D844" s="379" t="s">
        <v>287</v>
      </c>
      <c r="E844" s="219" t="s">
        <v>99</v>
      </c>
      <c r="F844" s="330" t="s">
        <v>288</v>
      </c>
      <c r="G844" s="220" t="s">
        <v>26</v>
      </c>
      <c r="H844" s="221">
        <v>2017</v>
      </c>
      <c r="I844" s="240"/>
      <c r="J844" s="341">
        <v>1.7</v>
      </c>
      <c r="K844" s="380" t="s">
        <v>489</v>
      </c>
      <c r="L844" s="334">
        <f t="shared" si="604"/>
        <v>4.1968749999999999E-2</v>
      </c>
      <c r="M844" s="335" t="str">
        <f>'[1]Advanced Controls'!$I$158</f>
        <v>t CH4-CO2eq per kg of protein</v>
      </c>
      <c r="N844" s="238"/>
      <c r="O844" s="227" t="s">
        <v>513</v>
      </c>
      <c r="P844" s="122"/>
      <c r="Q844" s="228"/>
      <c r="R844" s="231">
        <f t="shared" si="603"/>
        <v>4.1968749999999999E-2</v>
      </c>
      <c r="S844" s="230">
        <f t="shared" si="600"/>
        <v>4.1968749999999999E-2</v>
      </c>
      <c r="T844" s="231">
        <f t="shared" si="601"/>
        <v>0</v>
      </c>
      <c r="U844" s="232" t="str">
        <f t="shared" si="602"/>
        <v>t CH4-CO2eq per kg of protein</v>
      </c>
      <c r="V844" s="28"/>
      <c r="W844" s="28"/>
      <c r="Y844" s="91"/>
      <c r="AO844" s="91"/>
      <c r="AP844" s="28"/>
      <c r="AQ844" s="28"/>
      <c r="AR844" s="237"/>
      <c r="AS844" s="28"/>
      <c r="AT844" s="304" t="str">
        <f t="shared" si="614"/>
        <v/>
      </c>
      <c r="AU844" s="304" t="str">
        <f t="shared" si="614"/>
        <v/>
      </c>
      <c r="AV844" s="28"/>
      <c r="AW844" s="304" t="str">
        <f t="shared" si="605"/>
        <v/>
      </c>
      <c r="AX844" s="304" t="str">
        <f t="shared" si="605"/>
        <v/>
      </c>
      <c r="AY844" s="28"/>
      <c r="AZ844" s="304" t="str">
        <f t="shared" si="606"/>
        <v/>
      </c>
      <c r="BA844" s="304" t="str">
        <f t="shared" si="606"/>
        <v/>
      </c>
      <c r="BB844" s="28"/>
      <c r="BC844" s="304" t="str">
        <f t="shared" si="607"/>
        <v/>
      </c>
      <c r="BD844" s="304" t="str">
        <f t="shared" si="607"/>
        <v/>
      </c>
      <c r="BE844" s="28"/>
      <c r="BF844" s="304">
        <f t="shared" si="608"/>
        <v>4.1968749999999999E-2</v>
      </c>
      <c r="BG844" s="304">
        <f t="shared" si="608"/>
        <v>4.1968749999999999E-2</v>
      </c>
      <c r="BH844" s="28"/>
      <c r="BI844" s="304" t="str">
        <f t="shared" si="609"/>
        <v/>
      </c>
      <c r="BJ844" s="304" t="str">
        <f t="shared" si="609"/>
        <v/>
      </c>
      <c r="BK844" s="28"/>
      <c r="BL844" s="304" t="str">
        <f t="shared" si="610"/>
        <v/>
      </c>
      <c r="BM844" s="304" t="str">
        <f t="shared" si="610"/>
        <v/>
      </c>
      <c r="BN844" s="28"/>
      <c r="BO844" s="304" t="str">
        <f t="shared" si="611"/>
        <v/>
      </c>
      <c r="BP844" s="304" t="str">
        <f t="shared" si="611"/>
        <v/>
      </c>
      <c r="BQ844" s="28"/>
      <c r="BR844" s="304" t="str">
        <f t="shared" si="612"/>
        <v/>
      </c>
      <c r="BS844" s="304" t="str">
        <f t="shared" si="612"/>
        <v/>
      </c>
      <c r="BT844" s="28"/>
      <c r="BU844" s="304" t="str">
        <f t="shared" si="613"/>
        <v/>
      </c>
      <c r="BV844" s="304" t="str">
        <f t="shared" si="613"/>
        <v/>
      </c>
      <c r="BW844" s="28"/>
      <c r="BX844" s="91"/>
    </row>
    <row r="845" spans="1:76" s="55" customFormat="1" x14ac:dyDescent="0.25">
      <c r="A845" s="195">
        <v>149</v>
      </c>
      <c r="B845" s="216" t="str">
        <f t="shared" si="599"/>
        <v>Middle East and Africa: FAO. 2017. Reducing Enteric Methane for improving food security and livelihoods</v>
      </c>
      <c r="C845" s="219" t="s">
        <v>488</v>
      </c>
      <c r="D845" s="379" t="s">
        <v>287</v>
      </c>
      <c r="E845" s="219" t="s">
        <v>99</v>
      </c>
      <c r="F845" s="330" t="s">
        <v>288</v>
      </c>
      <c r="G845" s="220" t="s">
        <v>26</v>
      </c>
      <c r="H845" s="221">
        <v>2017</v>
      </c>
      <c r="I845" s="240"/>
      <c r="J845" s="341">
        <v>6.2</v>
      </c>
      <c r="K845" s="380" t="s">
        <v>489</v>
      </c>
      <c r="L845" s="334">
        <f t="shared" si="604"/>
        <v>0.15306250000000002</v>
      </c>
      <c r="M845" s="335" t="str">
        <f>'[1]Advanced Controls'!$I$158</f>
        <v>t CH4-CO2eq per kg of protein</v>
      </c>
      <c r="N845" s="238"/>
      <c r="O845" s="227" t="s">
        <v>514</v>
      </c>
      <c r="P845" s="122"/>
      <c r="Q845" s="228"/>
      <c r="R845" s="231">
        <f t="shared" si="603"/>
        <v>0.15306250000000002</v>
      </c>
      <c r="S845" s="230">
        <f t="shared" si="600"/>
        <v>0.15306250000000002</v>
      </c>
      <c r="T845" s="231">
        <f t="shared" si="601"/>
        <v>0</v>
      </c>
      <c r="U845" s="232" t="str">
        <f t="shared" si="602"/>
        <v>t CH4-CO2eq per kg of protein</v>
      </c>
      <c r="V845" s="28"/>
      <c r="W845" s="28"/>
      <c r="Y845" s="91"/>
      <c r="AO845" s="91"/>
      <c r="AP845" s="28"/>
      <c r="AQ845" s="28"/>
      <c r="AR845" s="237"/>
      <c r="AS845" s="28"/>
      <c r="AT845" s="304" t="str">
        <f t="shared" si="614"/>
        <v/>
      </c>
      <c r="AU845" s="304" t="str">
        <f t="shared" si="614"/>
        <v/>
      </c>
      <c r="AV845" s="28"/>
      <c r="AW845" s="304" t="str">
        <f t="shared" si="605"/>
        <v/>
      </c>
      <c r="AX845" s="304" t="str">
        <f t="shared" si="605"/>
        <v/>
      </c>
      <c r="AY845" s="28"/>
      <c r="AZ845" s="304" t="str">
        <f t="shared" si="606"/>
        <v/>
      </c>
      <c r="BA845" s="304" t="str">
        <f t="shared" si="606"/>
        <v/>
      </c>
      <c r="BB845" s="28"/>
      <c r="BC845" s="304" t="str">
        <f t="shared" si="607"/>
        <v/>
      </c>
      <c r="BD845" s="304" t="str">
        <f t="shared" si="607"/>
        <v/>
      </c>
      <c r="BE845" s="28"/>
      <c r="BF845" s="304">
        <f t="shared" si="608"/>
        <v>0.15306250000000002</v>
      </c>
      <c r="BG845" s="304">
        <f t="shared" si="608"/>
        <v>0.15306250000000002</v>
      </c>
      <c r="BH845" s="28"/>
      <c r="BI845" s="304" t="str">
        <f t="shared" si="609"/>
        <v/>
      </c>
      <c r="BJ845" s="304" t="str">
        <f t="shared" si="609"/>
        <v/>
      </c>
      <c r="BK845" s="28"/>
      <c r="BL845" s="304" t="str">
        <f t="shared" si="610"/>
        <v/>
      </c>
      <c r="BM845" s="304" t="str">
        <f t="shared" si="610"/>
        <v/>
      </c>
      <c r="BN845" s="28"/>
      <c r="BO845" s="304" t="str">
        <f t="shared" si="611"/>
        <v/>
      </c>
      <c r="BP845" s="304" t="str">
        <f t="shared" si="611"/>
        <v/>
      </c>
      <c r="BQ845" s="28"/>
      <c r="BR845" s="304" t="str">
        <f t="shared" si="612"/>
        <v/>
      </c>
      <c r="BS845" s="304" t="str">
        <f t="shared" si="612"/>
        <v/>
      </c>
      <c r="BT845" s="28"/>
      <c r="BU845" s="304" t="str">
        <f t="shared" si="613"/>
        <v/>
      </c>
      <c r="BV845" s="304" t="str">
        <f t="shared" si="613"/>
        <v/>
      </c>
      <c r="BW845" s="28"/>
      <c r="BX845" s="91"/>
    </row>
    <row r="846" spans="1:76" s="55" customFormat="1" x14ac:dyDescent="0.25">
      <c r="A846" s="195">
        <v>150</v>
      </c>
      <c r="B846" s="216" t="str">
        <f t="shared" si="599"/>
        <v>Middle East and Africa: FAO. 2017. Reducing Enteric Methane for improving food security and livelihoods</v>
      </c>
      <c r="C846" s="219" t="s">
        <v>488</v>
      </c>
      <c r="D846" s="379" t="s">
        <v>287</v>
      </c>
      <c r="E846" s="219" t="s">
        <v>99</v>
      </c>
      <c r="F846" s="330" t="s">
        <v>288</v>
      </c>
      <c r="G846" s="220" t="s">
        <v>26</v>
      </c>
      <c r="H846" s="221">
        <v>2017</v>
      </c>
      <c r="I846" s="240"/>
      <c r="J846" s="341">
        <v>6.2</v>
      </c>
      <c r="K846" s="380" t="s">
        <v>489</v>
      </c>
      <c r="L846" s="334">
        <f t="shared" si="604"/>
        <v>0.15306250000000002</v>
      </c>
      <c r="M846" s="335" t="str">
        <f>'[1]Advanced Controls'!$I$158</f>
        <v>t CH4-CO2eq per kg of protein</v>
      </c>
      <c r="N846" s="238"/>
      <c r="O846" s="227" t="s">
        <v>514</v>
      </c>
      <c r="P846" s="122"/>
      <c r="Q846" s="228"/>
      <c r="R846" s="231">
        <f t="shared" si="603"/>
        <v>0.15306250000000002</v>
      </c>
      <c r="S846" s="230">
        <f t="shared" si="600"/>
        <v>0.15306250000000002</v>
      </c>
      <c r="T846" s="231" t="str">
        <f t="shared" si="601"/>
        <v/>
      </c>
      <c r="U846" s="232" t="str">
        <f t="shared" si="602"/>
        <v>t CH4-CO2eq per kg of protein</v>
      </c>
      <c r="V846" s="28"/>
      <c r="W846" s="28"/>
      <c r="Y846" s="91"/>
      <c r="AO846" s="91"/>
      <c r="AP846" s="28"/>
      <c r="AQ846" s="28"/>
      <c r="AR846" s="237"/>
      <c r="AS846" s="28"/>
      <c r="AT846" s="304" t="str">
        <f t="shared" si="614"/>
        <v/>
      </c>
      <c r="AU846" s="304" t="str">
        <f t="shared" si="614"/>
        <v/>
      </c>
      <c r="AV846" s="28"/>
      <c r="AW846" s="304" t="str">
        <f t="shared" si="605"/>
        <v/>
      </c>
      <c r="AX846" s="304" t="str">
        <f t="shared" si="605"/>
        <v/>
      </c>
      <c r="AY846" s="28"/>
      <c r="AZ846" s="304" t="str">
        <f t="shared" si="606"/>
        <v/>
      </c>
      <c r="BA846" s="304" t="str">
        <f t="shared" si="606"/>
        <v/>
      </c>
      <c r="BB846" s="28"/>
      <c r="BC846" s="304" t="str">
        <f t="shared" si="607"/>
        <v/>
      </c>
      <c r="BD846" s="304" t="str">
        <f t="shared" si="607"/>
        <v/>
      </c>
      <c r="BE846" s="28"/>
      <c r="BF846" s="304">
        <f t="shared" si="608"/>
        <v>0.15306250000000002</v>
      </c>
      <c r="BG846" s="304">
        <f t="shared" si="608"/>
        <v>0.15306250000000002</v>
      </c>
      <c r="BH846" s="28"/>
      <c r="BI846" s="304" t="str">
        <f t="shared" si="609"/>
        <v/>
      </c>
      <c r="BJ846" s="304" t="str">
        <f t="shared" si="609"/>
        <v/>
      </c>
      <c r="BK846" s="28"/>
      <c r="BL846" s="304" t="str">
        <f t="shared" si="610"/>
        <v/>
      </c>
      <c r="BM846" s="304" t="str">
        <f t="shared" si="610"/>
        <v/>
      </c>
      <c r="BN846" s="28"/>
      <c r="BO846" s="304" t="str">
        <f t="shared" si="611"/>
        <v/>
      </c>
      <c r="BP846" s="304" t="str">
        <f t="shared" si="611"/>
        <v/>
      </c>
      <c r="BQ846" s="28"/>
      <c r="BR846" s="304" t="str">
        <f t="shared" si="612"/>
        <v/>
      </c>
      <c r="BS846" s="304" t="str">
        <f t="shared" si="612"/>
        <v/>
      </c>
      <c r="BT846" s="28"/>
      <c r="BU846" s="304" t="str">
        <f t="shared" si="613"/>
        <v/>
      </c>
      <c r="BV846" s="304" t="str">
        <f t="shared" si="613"/>
        <v/>
      </c>
      <c r="BW846" s="28"/>
      <c r="BX846" s="91"/>
    </row>
    <row r="847" spans="1:76" s="55" customFormat="1" x14ac:dyDescent="0.25">
      <c r="A847" s="195">
        <v>151</v>
      </c>
      <c r="B847" s="216" t="str">
        <f t="shared" si="599"/>
        <v>Middle East and Africa: FAO. 2017. Reducing Enteric Methane for improving food security and livelihoods</v>
      </c>
      <c r="C847" s="219" t="s">
        <v>488</v>
      </c>
      <c r="D847" s="379" t="s">
        <v>287</v>
      </c>
      <c r="E847" s="219" t="s">
        <v>99</v>
      </c>
      <c r="F847" s="330" t="s">
        <v>288</v>
      </c>
      <c r="G847" s="220" t="s">
        <v>26</v>
      </c>
      <c r="H847" s="221">
        <v>2017</v>
      </c>
      <c r="I847" s="240"/>
      <c r="J847" s="341">
        <v>6.2</v>
      </c>
      <c r="K847" s="380" t="s">
        <v>489</v>
      </c>
      <c r="L847" s="334">
        <f t="shared" si="604"/>
        <v>0.15306250000000002</v>
      </c>
      <c r="M847" s="335" t="str">
        <f>'[1]Advanced Controls'!$I$158</f>
        <v>t CH4-CO2eq per kg of protein</v>
      </c>
      <c r="N847" s="238"/>
      <c r="O847" s="227" t="s">
        <v>514</v>
      </c>
      <c r="P847" s="122"/>
      <c r="Q847" s="228"/>
      <c r="R847" s="231">
        <f t="shared" si="603"/>
        <v>0.15306250000000002</v>
      </c>
      <c r="S847" s="230">
        <f t="shared" si="600"/>
        <v>0.15306250000000002</v>
      </c>
      <c r="T847" s="231" t="str">
        <f t="shared" si="601"/>
        <v/>
      </c>
      <c r="U847" s="232" t="str">
        <f t="shared" si="602"/>
        <v>t CH4-CO2eq per kg of protein</v>
      </c>
      <c r="V847" s="28"/>
      <c r="W847" s="28"/>
      <c r="Y847" s="91"/>
      <c r="AO847" s="91"/>
      <c r="AP847" s="28"/>
      <c r="AQ847" s="28"/>
      <c r="AR847" s="237"/>
      <c r="AS847" s="28"/>
      <c r="AT847" s="304" t="str">
        <f t="shared" si="614"/>
        <v/>
      </c>
      <c r="AU847" s="304" t="str">
        <f t="shared" si="614"/>
        <v/>
      </c>
      <c r="AV847" s="28"/>
      <c r="AW847" s="304" t="str">
        <f t="shared" si="605"/>
        <v/>
      </c>
      <c r="AX847" s="304" t="str">
        <f t="shared" si="605"/>
        <v/>
      </c>
      <c r="AY847" s="28"/>
      <c r="AZ847" s="304" t="str">
        <f t="shared" si="606"/>
        <v/>
      </c>
      <c r="BA847" s="304" t="str">
        <f t="shared" si="606"/>
        <v/>
      </c>
      <c r="BB847" s="28"/>
      <c r="BC847" s="304" t="str">
        <f t="shared" si="607"/>
        <v/>
      </c>
      <c r="BD847" s="304" t="str">
        <f t="shared" si="607"/>
        <v/>
      </c>
      <c r="BE847" s="28"/>
      <c r="BF847" s="304">
        <f t="shared" si="608"/>
        <v>0.15306250000000002</v>
      </c>
      <c r="BG847" s="304">
        <f t="shared" si="608"/>
        <v>0.15306250000000002</v>
      </c>
      <c r="BH847" s="28"/>
      <c r="BI847" s="304" t="str">
        <f t="shared" si="609"/>
        <v/>
      </c>
      <c r="BJ847" s="304" t="str">
        <f t="shared" si="609"/>
        <v/>
      </c>
      <c r="BK847" s="28"/>
      <c r="BL847" s="304" t="str">
        <f t="shared" si="610"/>
        <v/>
      </c>
      <c r="BM847" s="304" t="str">
        <f t="shared" si="610"/>
        <v/>
      </c>
      <c r="BN847" s="28"/>
      <c r="BO847" s="304" t="str">
        <f t="shared" si="611"/>
        <v/>
      </c>
      <c r="BP847" s="304" t="str">
        <f t="shared" si="611"/>
        <v/>
      </c>
      <c r="BQ847" s="28"/>
      <c r="BR847" s="304" t="str">
        <f t="shared" si="612"/>
        <v/>
      </c>
      <c r="BS847" s="304" t="str">
        <f t="shared" si="612"/>
        <v/>
      </c>
      <c r="BT847" s="28"/>
      <c r="BU847" s="304" t="str">
        <f t="shared" si="613"/>
        <v/>
      </c>
      <c r="BV847" s="304" t="str">
        <f t="shared" si="613"/>
        <v/>
      </c>
      <c r="BW847" s="28"/>
      <c r="BX847" s="91"/>
    </row>
    <row r="848" spans="1:76" s="55" customFormat="1" x14ac:dyDescent="0.25">
      <c r="A848" s="195">
        <v>152</v>
      </c>
      <c r="B848" s="216" t="str">
        <f t="shared" si="599"/>
        <v>Middle East and Africa: FAO. 2017. Reducing Enteric Methane for improving food security and livelihoods</v>
      </c>
      <c r="C848" s="219" t="s">
        <v>488</v>
      </c>
      <c r="D848" s="379" t="s">
        <v>287</v>
      </c>
      <c r="E848" s="219" t="s">
        <v>99</v>
      </c>
      <c r="F848" s="330" t="s">
        <v>288</v>
      </c>
      <c r="G848" s="220" t="s">
        <v>26</v>
      </c>
      <c r="H848" s="221">
        <v>2017</v>
      </c>
      <c r="I848" s="240"/>
      <c r="J848" s="341">
        <v>13</v>
      </c>
      <c r="K848" s="380" t="s">
        <v>489</v>
      </c>
      <c r="L848" s="334">
        <f t="shared" si="604"/>
        <v>0.32093749999999999</v>
      </c>
      <c r="M848" s="335" t="str">
        <f>'[1]Advanced Controls'!$I$158</f>
        <v>t CH4-CO2eq per kg of protein</v>
      </c>
      <c r="N848" s="238"/>
      <c r="O848" s="227" t="s">
        <v>515</v>
      </c>
      <c r="P848" s="122"/>
      <c r="Q848" s="228"/>
      <c r="R848" s="231">
        <f t="shared" si="603"/>
        <v>0.32093749999999999</v>
      </c>
      <c r="S848" s="230">
        <f t="shared" si="600"/>
        <v>0.32093749999999999</v>
      </c>
      <c r="T848" s="231">
        <f t="shared" si="601"/>
        <v>0</v>
      </c>
      <c r="U848" s="232" t="str">
        <f t="shared" si="602"/>
        <v>t CH4-CO2eq per kg of protein</v>
      </c>
      <c r="V848" s="28"/>
      <c r="W848" s="28"/>
      <c r="Y848" s="91"/>
      <c r="AO848" s="91"/>
      <c r="AP848" s="28"/>
      <c r="AQ848" s="28"/>
      <c r="AR848" s="237"/>
      <c r="AS848" s="28"/>
      <c r="AT848" s="304" t="str">
        <f t="shared" si="614"/>
        <v/>
      </c>
      <c r="AU848" s="304" t="str">
        <f t="shared" si="614"/>
        <v/>
      </c>
      <c r="AV848" s="28"/>
      <c r="AW848" s="304" t="str">
        <f t="shared" si="605"/>
        <v/>
      </c>
      <c r="AX848" s="304" t="str">
        <f t="shared" si="605"/>
        <v/>
      </c>
      <c r="AY848" s="28"/>
      <c r="AZ848" s="304" t="str">
        <f t="shared" si="606"/>
        <v/>
      </c>
      <c r="BA848" s="304" t="str">
        <f t="shared" si="606"/>
        <v/>
      </c>
      <c r="BB848" s="28"/>
      <c r="BC848" s="304" t="str">
        <f t="shared" si="607"/>
        <v/>
      </c>
      <c r="BD848" s="304" t="str">
        <f t="shared" si="607"/>
        <v/>
      </c>
      <c r="BE848" s="28"/>
      <c r="BF848" s="304">
        <f t="shared" si="608"/>
        <v>0.32093749999999999</v>
      </c>
      <c r="BG848" s="304">
        <f t="shared" si="608"/>
        <v>0.32093749999999999</v>
      </c>
      <c r="BH848" s="28"/>
      <c r="BI848" s="304" t="str">
        <f t="shared" si="609"/>
        <v/>
      </c>
      <c r="BJ848" s="304" t="str">
        <f t="shared" si="609"/>
        <v/>
      </c>
      <c r="BK848" s="28"/>
      <c r="BL848" s="304" t="str">
        <f t="shared" si="610"/>
        <v/>
      </c>
      <c r="BM848" s="304" t="str">
        <f t="shared" si="610"/>
        <v/>
      </c>
      <c r="BN848" s="28"/>
      <c r="BO848" s="304" t="str">
        <f t="shared" si="611"/>
        <v/>
      </c>
      <c r="BP848" s="304" t="str">
        <f t="shared" si="611"/>
        <v/>
      </c>
      <c r="BQ848" s="28"/>
      <c r="BR848" s="304" t="str">
        <f t="shared" si="612"/>
        <v/>
      </c>
      <c r="BS848" s="304" t="str">
        <f t="shared" si="612"/>
        <v/>
      </c>
      <c r="BT848" s="28"/>
      <c r="BU848" s="304" t="str">
        <f t="shared" si="613"/>
        <v/>
      </c>
      <c r="BV848" s="304" t="str">
        <f t="shared" si="613"/>
        <v/>
      </c>
      <c r="BW848" s="28"/>
      <c r="BX848" s="91"/>
    </row>
    <row r="849" spans="1:76" s="55" customFormat="1" x14ac:dyDescent="0.25">
      <c r="A849" s="195">
        <v>153</v>
      </c>
      <c r="B849" s="216" t="str">
        <f t="shared" si="599"/>
        <v>Middle East and Africa: FAO. 2017. Reducing Enteric Methane for improving food security and livelihoods</v>
      </c>
      <c r="C849" s="219" t="s">
        <v>488</v>
      </c>
      <c r="D849" s="379" t="s">
        <v>287</v>
      </c>
      <c r="E849" s="219" t="s">
        <v>99</v>
      </c>
      <c r="F849" s="330" t="s">
        <v>288</v>
      </c>
      <c r="G849" s="220" t="s">
        <v>26</v>
      </c>
      <c r="H849" s="221">
        <v>2017</v>
      </c>
      <c r="I849" s="240"/>
      <c r="J849" s="341">
        <v>13</v>
      </c>
      <c r="K849" s="380" t="s">
        <v>489</v>
      </c>
      <c r="L849" s="334">
        <f t="shared" si="604"/>
        <v>0.32093749999999999</v>
      </c>
      <c r="M849" s="335" t="str">
        <f>'[1]Advanced Controls'!$I$158</f>
        <v>t CH4-CO2eq per kg of protein</v>
      </c>
      <c r="N849" s="238"/>
      <c r="O849" s="227" t="s">
        <v>515</v>
      </c>
      <c r="P849" s="122"/>
      <c r="Q849" s="228"/>
      <c r="R849" s="231">
        <f t="shared" si="603"/>
        <v>0.32093749999999999</v>
      </c>
      <c r="S849" s="230">
        <f t="shared" si="600"/>
        <v>0.32093749999999999</v>
      </c>
      <c r="T849" s="231">
        <f t="shared" si="601"/>
        <v>0</v>
      </c>
      <c r="U849" s="232" t="str">
        <f t="shared" si="602"/>
        <v>t CH4-CO2eq per kg of protein</v>
      </c>
      <c r="V849" s="28"/>
      <c r="W849" s="28"/>
      <c r="Y849" s="91"/>
      <c r="AO849" s="91"/>
      <c r="AP849" s="28"/>
      <c r="AQ849" s="28"/>
      <c r="AR849" s="237"/>
      <c r="AS849" s="28"/>
      <c r="AT849" s="304" t="str">
        <f t="shared" si="614"/>
        <v/>
      </c>
      <c r="AU849" s="304" t="str">
        <f t="shared" si="614"/>
        <v/>
      </c>
      <c r="AV849" s="28"/>
      <c r="AW849" s="304" t="str">
        <f t="shared" si="605"/>
        <v/>
      </c>
      <c r="AX849" s="304" t="str">
        <f t="shared" si="605"/>
        <v/>
      </c>
      <c r="AY849" s="28"/>
      <c r="AZ849" s="304" t="str">
        <f t="shared" si="606"/>
        <v/>
      </c>
      <c r="BA849" s="304" t="str">
        <f t="shared" si="606"/>
        <v/>
      </c>
      <c r="BB849" s="28"/>
      <c r="BC849" s="304" t="str">
        <f t="shared" si="607"/>
        <v/>
      </c>
      <c r="BD849" s="304" t="str">
        <f t="shared" si="607"/>
        <v/>
      </c>
      <c r="BE849" s="28"/>
      <c r="BF849" s="304">
        <f t="shared" si="608"/>
        <v>0.32093749999999999</v>
      </c>
      <c r="BG849" s="304">
        <f t="shared" si="608"/>
        <v>0.32093749999999999</v>
      </c>
      <c r="BH849" s="28"/>
      <c r="BI849" s="304" t="str">
        <f t="shared" si="609"/>
        <v/>
      </c>
      <c r="BJ849" s="304" t="str">
        <f t="shared" si="609"/>
        <v/>
      </c>
      <c r="BK849" s="28"/>
      <c r="BL849" s="304" t="str">
        <f t="shared" si="610"/>
        <v/>
      </c>
      <c r="BM849" s="304" t="str">
        <f t="shared" si="610"/>
        <v/>
      </c>
      <c r="BN849" s="28"/>
      <c r="BO849" s="304" t="str">
        <f t="shared" si="611"/>
        <v/>
      </c>
      <c r="BP849" s="304" t="str">
        <f t="shared" si="611"/>
        <v/>
      </c>
      <c r="BQ849" s="28"/>
      <c r="BR849" s="304" t="str">
        <f t="shared" si="612"/>
        <v/>
      </c>
      <c r="BS849" s="304" t="str">
        <f t="shared" si="612"/>
        <v/>
      </c>
      <c r="BT849" s="28"/>
      <c r="BU849" s="304" t="str">
        <f t="shared" si="613"/>
        <v/>
      </c>
      <c r="BV849" s="304" t="str">
        <f t="shared" si="613"/>
        <v/>
      </c>
      <c r="BW849" s="28"/>
      <c r="BX849" s="91"/>
    </row>
    <row r="850" spans="1:76" s="55" customFormat="1" x14ac:dyDescent="0.25">
      <c r="A850" s="195">
        <v>154</v>
      </c>
      <c r="B850" s="216" t="str">
        <f t="shared" si="599"/>
        <v>Middle East and Africa: FAO. 2017. Reducing Enteric Methane for improving food security and livelihoods</v>
      </c>
      <c r="C850" s="219" t="s">
        <v>488</v>
      </c>
      <c r="D850" s="379" t="s">
        <v>516</v>
      </c>
      <c r="E850" s="219" t="s">
        <v>99</v>
      </c>
      <c r="F850" s="330" t="s">
        <v>517</v>
      </c>
      <c r="G850" s="220" t="s">
        <v>26</v>
      </c>
      <c r="H850" s="221">
        <v>2017</v>
      </c>
      <c r="I850" s="240"/>
      <c r="J850" s="341">
        <v>18.2</v>
      </c>
      <c r="K850" s="380" t="s">
        <v>489</v>
      </c>
      <c r="L850" s="334">
        <f t="shared" ref="L850:L873" si="615">(J850*0.001)/0.032*0.93</f>
        <v>0.52893750000000006</v>
      </c>
      <c r="M850" s="335" t="str">
        <f>'[1]Advanced Controls'!$I$158</f>
        <v>t CH4-CO2eq per kg of protein</v>
      </c>
      <c r="N850" s="238"/>
      <c r="O850" s="227" t="s">
        <v>518</v>
      </c>
      <c r="P850" s="122"/>
      <c r="Q850" s="228"/>
      <c r="R850" s="231">
        <f t="shared" si="603"/>
        <v>0.52893750000000006</v>
      </c>
      <c r="S850" s="230">
        <f t="shared" si="600"/>
        <v>0.52893750000000006</v>
      </c>
      <c r="T850" s="231" t="str">
        <f t="shared" si="601"/>
        <v/>
      </c>
      <c r="U850" s="232" t="str">
        <f t="shared" si="602"/>
        <v>t CH4-CO2eq per kg of protein</v>
      </c>
      <c r="V850" s="28"/>
      <c r="W850" s="28"/>
      <c r="Y850" s="91"/>
      <c r="AO850" s="91"/>
      <c r="AP850" s="28"/>
      <c r="AQ850" s="28"/>
      <c r="AR850" s="237"/>
      <c r="AS850" s="28"/>
      <c r="AT850" s="304" t="str">
        <f t="shared" si="614"/>
        <v/>
      </c>
      <c r="AU850" s="304" t="str">
        <f t="shared" si="614"/>
        <v/>
      </c>
      <c r="AV850" s="28"/>
      <c r="AW850" s="304" t="str">
        <f t="shared" si="605"/>
        <v/>
      </c>
      <c r="AX850" s="304" t="str">
        <f t="shared" si="605"/>
        <v/>
      </c>
      <c r="AY850" s="28"/>
      <c r="AZ850" s="304" t="str">
        <f t="shared" si="606"/>
        <v/>
      </c>
      <c r="BA850" s="304" t="str">
        <f t="shared" si="606"/>
        <v/>
      </c>
      <c r="BB850" s="28"/>
      <c r="BC850" s="304" t="str">
        <f t="shared" si="607"/>
        <v/>
      </c>
      <c r="BD850" s="304" t="str">
        <f t="shared" si="607"/>
        <v/>
      </c>
      <c r="BE850" s="28"/>
      <c r="BF850" s="304">
        <f t="shared" si="608"/>
        <v>0.52893750000000006</v>
      </c>
      <c r="BG850" s="304">
        <f t="shared" si="608"/>
        <v>0.52893750000000006</v>
      </c>
      <c r="BH850" s="28"/>
      <c r="BI850" s="304" t="str">
        <f t="shared" si="609"/>
        <v/>
      </c>
      <c r="BJ850" s="304" t="str">
        <f t="shared" si="609"/>
        <v/>
      </c>
      <c r="BK850" s="28"/>
      <c r="BL850" s="304" t="str">
        <f t="shared" si="610"/>
        <v/>
      </c>
      <c r="BM850" s="304" t="str">
        <f t="shared" si="610"/>
        <v/>
      </c>
      <c r="BN850" s="28"/>
      <c r="BO850" s="304" t="str">
        <f t="shared" si="611"/>
        <v/>
      </c>
      <c r="BP850" s="304" t="str">
        <f t="shared" si="611"/>
        <v/>
      </c>
      <c r="BQ850" s="28"/>
      <c r="BR850" s="304" t="str">
        <f t="shared" si="612"/>
        <v/>
      </c>
      <c r="BS850" s="304" t="str">
        <f t="shared" si="612"/>
        <v/>
      </c>
      <c r="BT850" s="28"/>
      <c r="BU850" s="304" t="str">
        <f t="shared" si="613"/>
        <v/>
      </c>
      <c r="BV850" s="304" t="str">
        <f t="shared" si="613"/>
        <v/>
      </c>
      <c r="BW850" s="28"/>
      <c r="BX850" s="91"/>
    </row>
    <row r="851" spans="1:76" s="55" customFormat="1" x14ac:dyDescent="0.25">
      <c r="A851" s="195">
        <v>155</v>
      </c>
      <c r="B851" s="216" t="str">
        <f t="shared" si="599"/>
        <v>Middle East and Africa: FAO. 2017. Reducing Enteric Methane for improving food security and livelihoods</v>
      </c>
      <c r="C851" s="219" t="s">
        <v>488</v>
      </c>
      <c r="D851" s="379" t="s">
        <v>516</v>
      </c>
      <c r="E851" s="219" t="s">
        <v>99</v>
      </c>
      <c r="F851" s="330" t="s">
        <v>517</v>
      </c>
      <c r="G851" s="220" t="s">
        <v>26</v>
      </c>
      <c r="H851" s="221">
        <v>2017</v>
      </c>
      <c r="I851" s="240"/>
      <c r="J851" s="341">
        <v>55</v>
      </c>
      <c r="K851" s="380" t="s">
        <v>489</v>
      </c>
      <c r="L851" s="334">
        <f t="shared" si="615"/>
        <v>1.5984375000000002</v>
      </c>
      <c r="M851" s="335" t="str">
        <f>'[1]Advanced Controls'!$I$158</f>
        <v>t CH4-CO2eq per kg of protein</v>
      </c>
      <c r="N851" s="238"/>
      <c r="O851" s="227" t="s">
        <v>519</v>
      </c>
      <c r="P851" s="122"/>
      <c r="Q851" s="228"/>
      <c r="R851" s="231">
        <f t="shared" si="603"/>
        <v>1.5984375000000002</v>
      </c>
      <c r="S851" s="230">
        <f t="shared" si="600"/>
        <v>1.5984375000000002</v>
      </c>
      <c r="T851" s="231">
        <f t="shared" si="601"/>
        <v>0</v>
      </c>
      <c r="U851" s="232" t="str">
        <f t="shared" si="602"/>
        <v>t CH4-CO2eq per kg of protein</v>
      </c>
      <c r="V851" s="28"/>
      <c r="W851" s="28"/>
      <c r="Y851" s="91"/>
      <c r="AO851" s="91"/>
      <c r="AP851" s="28"/>
      <c r="AQ851" s="28"/>
      <c r="AR851" s="237"/>
      <c r="AS851" s="28"/>
      <c r="AT851" s="304" t="str">
        <f t="shared" si="614"/>
        <v/>
      </c>
      <c r="AU851" s="304" t="str">
        <f t="shared" si="614"/>
        <v/>
      </c>
      <c r="AV851" s="28"/>
      <c r="AW851" s="304" t="str">
        <f t="shared" si="605"/>
        <v/>
      </c>
      <c r="AX851" s="304" t="str">
        <f t="shared" si="605"/>
        <v/>
      </c>
      <c r="AY851" s="28"/>
      <c r="AZ851" s="304" t="str">
        <f t="shared" si="606"/>
        <v/>
      </c>
      <c r="BA851" s="304" t="str">
        <f t="shared" si="606"/>
        <v/>
      </c>
      <c r="BB851" s="28"/>
      <c r="BC851" s="304" t="str">
        <f t="shared" si="607"/>
        <v/>
      </c>
      <c r="BD851" s="304" t="str">
        <f t="shared" si="607"/>
        <v/>
      </c>
      <c r="BE851" s="28"/>
      <c r="BF851" s="304">
        <f t="shared" si="608"/>
        <v>1.5984375000000002</v>
      </c>
      <c r="BG851" s="304">
        <f t="shared" si="608"/>
        <v>1.5984375000000002</v>
      </c>
      <c r="BH851" s="28"/>
      <c r="BI851" s="304" t="str">
        <f t="shared" si="609"/>
        <v/>
      </c>
      <c r="BJ851" s="304" t="str">
        <f t="shared" si="609"/>
        <v/>
      </c>
      <c r="BK851" s="28"/>
      <c r="BL851" s="304" t="str">
        <f t="shared" si="610"/>
        <v/>
      </c>
      <c r="BM851" s="304" t="str">
        <f t="shared" si="610"/>
        <v/>
      </c>
      <c r="BN851" s="28"/>
      <c r="BO851" s="304" t="str">
        <f t="shared" si="611"/>
        <v/>
      </c>
      <c r="BP851" s="304" t="str">
        <f t="shared" si="611"/>
        <v/>
      </c>
      <c r="BQ851" s="28"/>
      <c r="BR851" s="304" t="str">
        <f t="shared" si="612"/>
        <v/>
      </c>
      <c r="BS851" s="304" t="str">
        <f t="shared" si="612"/>
        <v/>
      </c>
      <c r="BT851" s="28"/>
      <c r="BU851" s="304" t="str">
        <f t="shared" si="613"/>
        <v/>
      </c>
      <c r="BV851" s="304" t="str">
        <f t="shared" si="613"/>
        <v/>
      </c>
      <c r="BW851" s="28"/>
      <c r="BX851" s="91"/>
    </row>
    <row r="852" spans="1:76" s="55" customFormat="1" x14ac:dyDescent="0.25">
      <c r="A852" s="195">
        <v>156</v>
      </c>
      <c r="B852" s="216" t="str">
        <f t="shared" si="599"/>
        <v>Middle East and Africa: FAO. 2017. Reducing Enteric Methane for improving food security and livelihoods</v>
      </c>
      <c r="C852" s="219" t="s">
        <v>488</v>
      </c>
      <c r="D852" s="379" t="s">
        <v>516</v>
      </c>
      <c r="E852" s="219" t="s">
        <v>99</v>
      </c>
      <c r="F852" s="330" t="s">
        <v>517</v>
      </c>
      <c r="G852" s="220" t="s">
        <v>26</v>
      </c>
      <c r="H852" s="221">
        <v>2017</v>
      </c>
      <c r="I852" s="240"/>
      <c r="J852" s="341">
        <v>18.2</v>
      </c>
      <c r="K852" s="380" t="s">
        <v>489</v>
      </c>
      <c r="L852" s="334">
        <f t="shared" si="615"/>
        <v>0.52893750000000006</v>
      </c>
      <c r="M852" s="335" t="str">
        <f>'[1]Advanced Controls'!$I$158</f>
        <v>t CH4-CO2eq per kg of protein</v>
      </c>
      <c r="N852" s="238"/>
      <c r="O852" s="227" t="s">
        <v>518</v>
      </c>
      <c r="P852" s="122"/>
      <c r="Q852" s="228"/>
      <c r="R852" s="231">
        <f t="shared" si="603"/>
        <v>0.52893750000000006</v>
      </c>
      <c r="S852" s="230">
        <f t="shared" si="600"/>
        <v>0.52893750000000006</v>
      </c>
      <c r="T852" s="231">
        <f t="shared" si="601"/>
        <v>0</v>
      </c>
      <c r="U852" s="232" t="str">
        <f t="shared" si="602"/>
        <v>t CH4-CO2eq per kg of protein</v>
      </c>
      <c r="V852" s="28"/>
      <c r="W852" s="28"/>
      <c r="Y852" s="91"/>
      <c r="AO852" s="91"/>
      <c r="AP852" s="28"/>
      <c r="AQ852" s="28"/>
      <c r="AR852" s="237"/>
      <c r="AS852" s="28"/>
      <c r="AT852" s="304" t="str">
        <f t="shared" si="614"/>
        <v/>
      </c>
      <c r="AU852" s="304" t="str">
        <f t="shared" si="614"/>
        <v/>
      </c>
      <c r="AV852" s="28"/>
      <c r="AW852" s="304" t="str">
        <f t="shared" si="605"/>
        <v/>
      </c>
      <c r="AX852" s="304" t="str">
        <f t="shared" si="605"/>
        <v/>
      </c>
      <c r="AY852" s="28"/>
      <c r="AZ852" s="304" t="str">
        <f t="shared" si="606"/>
        <v/>
      </c>
      <c r="BA852" s="304" t="str">
        <f t="shared" si="606"/>
        <v/>
      </c>
      <c r="BB852" s="28"/>
      <c r="BC852" s="304" t="str">
        <f t="shared" si="607"/>
        <v/>
      </c>
      <c r="BD852" s="304" t="str">
        <f t="shared" si="607"/>
        <v/>
      </c>
      <c r="BE852" s="28"/>
      <c r="BF852" s="304">
        <f t="shared" si="608"/>
        <v>0.52893750000000006</v>
      </c>
      <c r="BG852" s="304">
        <f t="shared" si="608"/>
        <v>0.52893750000000006</v>
      </c>
      <c r="BH852" s="28"/>
      <c r="BI852" s="304" t="str">
        <f t="shared" si="609"/>
        <v/>
      </c>
      <c r="BJ852" s="304" t="str">
        <f t="shared" si="609"/>
        <v/>
      </c>
      <c r="BK852" s="28"/>
      <c r="BL852" s="304" t="str">
        <f t="shared" si="610"/>
        <v/>
      </c>
      <c r="BM852" s="304" t="str">
        <f t="shared" si="610"/>
        <v/>
      </c>
      <c r="BN852" s="28"/>
      <c r="BO852" s="304" t="str">
        <f t="shared" si="611"/>
        <v/>
      </c>
      <c r="BP852" s="304" t="str">
        <f t="shared" si="611"/>
        <v/>
      </c>
      <c r="BQ852" s="28"/>
      <c r="BR852" s="304" t="str">
        <f t="shared" si="612"/>
        <v/>
      </c>
      <c r="BS852" s="304" t="str">
        <f t="shared" si="612"/>
        <v/>
      </c>
      <c r="BT852" s="28"/>
      <c r="BU852" s="304" t="str">
        <f t="shared" si="613"/>
        <v/>
      </c>
      <c r="BV852" s="304" t="str">
        <f t="shared" si="613"/>
        <v/>
      </c>
      <c r="BW852" s="28"/>
      <c r="BX852" s="91"/>
    </row>
    <row r="853" spans="1:76" s="55" customFormat="1" x14ac:dyDescent="0.25">
      <c r="A853" s="195">
        <v>157</v>
      </c>
      <c r="B853" s="216" t="str">
        <f t="shared" si="599"/>
        <v>Middle East and Africa: FAO. 2017. Reducing Enteric Methane for improving food security and livelihoods</v>
      </c>
      <c r="C853" s="219" t="s">
        <v>488</v>
      </c>
      <c r="D853" s="379" t="s">
        <v>516</v>
      </c>
      <c r="E853" s="219" t="s">
        <v>99</v>
      </c>
      <c r="F853" s="330" t="s">
        <v>517</v>
      </c>
      <c r="G853" s="220" t="s">
        <v>26</v>
      </c>
      <c r="H853" s="221">
        <v>2017</v>
      </c>
      <c r="I853" s="240"/>
      <c r="J853" s="341">
        <v>55</v>
      </c>
      <c r="K853" s="380" t="s">
        <v>489</v>
      </c>
      <c r="L853" s="334">
        <f t="shared" si="615"/>
        <v>1.5984375000000002</v>
      </c>
      <c r="M853" s="335" t="str">
        <f>'[1]Advanced Controls'!$I$158</f>
        <v>t CH4-CO2eq per kg of protein</v>
      </c>
      <c r="N853" s="238"/>
      <c r="O853" s="227" t="s">
        <v>519</v>
      </c>
      <c r="P853" s="122"/>
      <c r="Q853" s="228"/>
      <c r="R853" s="231">
        <f t="shared" si="603"/>
        <v>1.5984375000000002</v>
      </c>
      <c r="S853" s="230">
        <f t="shared" si="600"/>
        <v>1.5984375000000002</v>
      </c>
      <c r="T853" s="231">
        <f t="shared" si="601"/>
        <v>0</v>
      </c>
      <c r="U853" s="232" t="str">
        <f t="shared" si="602"/>
        <v>t CH4-CO2eq per kg of protein</v>
      </c>
      <c r="V853" s="28"/>
      <c r="W853" s="28"/>
      <c r="Y853" s="91"/>
      <c r="AO853" s="91"/>
      <c r="AP853" s="28"/>
      <c r="AQ853" s="28"/>
      <c r="AR853" s="237"/>
      <c r="AS853" s="28"/>
      <c r="AT853" s="304" t="str">
        <f t="shared" si="614"/>
        <v/>
      </c>
      <c r="AU853" s="304" t="str">
        <f t="shared" si="614"/>
        <v/>
      </c>
      <c r="AV853" s="28"/>
      <c r="AW853" s="304" t="str">
        <f t="shared" si="605"/>
        <v/>
      </c>
      <c r="AX853" s="304" t="str">
        <f t="shared" si="605"/>
        <v/>
      </c>
      <c r="AY853" s="28"/>
      <c r="AZ853" s="304" t="str">
        <f t="shared" si="606"/>
        <v/>
      </c>
      <c r="BA853" s="304" t="str">
        <f t="shared" si="606"/>
        <v/>
      </c>
      <c r="BB853" s="28"/>
      <c r="BC853" s="304" t="str">
        <f t="shared" si="607"/>
        <v/>
      </c>
      <c r="BD853" s="304" t="str">
        <f t="shared" si="607"/>
        <v/>
      </c>
      <c r="BE853" s="28"/>
      <c r="BF853" s="304">
        <f t="shared" si="608"/>
        <v>1.5984375000000002</v>
      </c>
      <c r="BG853" s="304">
        <f t="shared" si="608"/>
        <v>1.5984375000000002</v>
      </c>
      <c r="BH853" s="28"/>
      <c r="BI853" s="304" t="str">
        <f t="shared" si="609"/>
        <v/>
      </c>
      <c r="BJ853" s="304" t="str">
        <f t="shared" si="609"/>
        <v/>
      </c>
      <c r="BK853" s="28"/>
      <c r="BL853" s="304" t="str">
        <f t="shared" si="610"/>
        <v/>
      </c>
      <c r="BM853" s="304" t="str">
        <f t="shared" si="610"/>
        <v/>
      </c>
      <c r="BN853" s="28"/>
      <c r="BO853" s="304" t="str">
        <f t="shared" si="611"/>
        <v/>
      </c>
      <c r="BP853" s="304" t="str">
        <f t="shared" si="611"/>
        <v/>
      </c>
      <c r="BQ853" s="28"/>
      <c r="BR853" s="304" t="str">
        <f t="shared" si="612"/>
        <v/>
      </c>
      <c r="BS853" s="304" t="str">
        <f t="shared" si="612"/>
        <v/>
      </c>
      <c r="BT853" s="28"/>
      <c r="BU853" s="304" t="str">
        <f t="shared" si="613"/>
        <v/>
      </c>
      <c r="BV853" s="304" t="str">
        <f t="shared" si="613"/>
        <v/>
      </c>
      <c r="BW853" s="28"/>
      <c r="BX853" s="91"/>
    </row>
    <row r="854" spans="1:76" s="55" customFormat="1" x14ac:dyDescent="0.25">
      <c r="A854" s="195">
        <v>158</v>
      </c>
      <c r="B854" s="216" t="str">
        <f t="shared" si="599"/>
        <v>Middle East and Africa: FAO. 2017. Reducing Enteric Methane for improving food security and livelihoods</v>
      </c>
      <c r="C854" s="219" t="s">
        <v>488</v>
      </c>
      <c r="D854" s="379" t="s">
        <v>520</v>
      </c>
      <c r="E854" s="219" t="s">
        <v>99</v>
      </c>
      <c r="F854" s="330" t="s">
        <v>521</v>
      </c>
      <c r="G854" s="220" t="s">
        <v>26</v>
      </c>
      <c r="H854" s="221">
        <v>2017</v>
      </c>
      <c r="I854" s="240"/>
      <c r="J854" s="341">
        <v>61.8</v>
      </c>
      <c r="K854" s="380" t="s">
        <v>489</v>
      </c>
      <c r="L854" s="334">
        <f t="shared" si="615"/>
        <v>1.7960625000000001</v>
      </c>
      <c r="M854" s="335" t="str">
        <f>'[1]Advanced Controls'!$I$158</f>
        <v>t CH4-CO2eq per kg of protein</v>
      </c>
      <c r="N854" s="238"/>
      <c r="O854" s="227" t="s">
        <v>518</v>
      </c>
      <c r="P854" s="122"/>
      <c r="Q854" s="228"/>
      <c r="R854" s="231">
        <f t="shared" si="603"/>
        <v>1.7960625000000001</v>
      </c>
      <c r="S854" s="230">
        <f t="shared" si="600"/>
        <v>1.7960625000000001</v>
      </c>
      <c r="T854" s="231">
        <f t="shared" si="601"/>
        <v>0</v>
      </c>
      <c r="U854" s="232" t="str">
        <f t="shared" si="602"/>
        <v>t CH4-CO2eq per kg of protein</v>
      </c>
      <c r="V854" s="28"/>
      <c r="W854" s="28"/>
      <c r="Y854" s="91"/>
      <c r="AO854" s="91"/>
      <c r="AP854" s="28"/>
      <c r="AQ854" s="28"/>
      <c r="AR854" s="237"/>
      <c r="AS854" s="28"/>
      <c r="AT854" s="304" t="str">
        <f t="shared" si="614"/>
        <v/>
      </c>
      <c r="AU854" s="304" t="str">
        <f t="shared" si="614"/>
        <v/>
      </c>
      <c r="AV854" s="28"/>
      <c r="AW854" s="304" t="str">
        <f t="shared" si="605"/>
        <v/>
      </c>
      <c r="AX854" s="304" t="str">
        <f t="shared" si="605"/>
        <v/>
      </c>
      <c r="AY854" s="28"/>
      <c r="AZ854" s="304" t="str">
        <f t="shared" si="606"/>
        <v/>
      </c>
      <c r="BA854" s="304" t="str">
        <f t="shared" si="606"/>
        <v/>
      </c>
      <c r="BB854" s="28"/>
      <c r="BC854" s="304" t="str">
        <f t="shared" si="607"/>
        <v/>
      </c>
      <c r="BD854" s="304" t="str">
        <f t="shared" si="607"/>
        <v/>
      </c>
      <c r="BE854" s="28"/>
      <c r="BF854" s="304">
        <f t="shared" si="608"/>
        <v>1.7960625000000001</v>
      </c>
      <c r="BG854" s="304">
        <f t="shared" si="608"/>
        <v>1.7960625000000001</v>
      </c>
      <c r="BH854" s="28"/>
      <c r="BI854" s="304" t="str">
        <f t="shared" si="609"/>
        <v/>
      </c>
      <c r="BJ854" s="304" t="str">
        <f t="shared" si="609"/>
        <v/>
      </c>
      <c r="BK854" s="28"/>
      <c r="BL854" s="304" t="str">
        <f t="shared" si="610"/>
        <v/>
      </c>
      <c r="BM854" s="304" t="str">
        <f t="shared" si="610"/>
        <v/>
      </c>
      <c r="BN854" s="28"/>
      <c r="BO854" s="304" t="str">
        <f t="shared" si="611"/>
        <v/>
      </c>
      <c r="BP854" s="304" t="str">
        <f t="shared" si="611"/>
        <v/>
      </c>
      <c r="BQ854" s="28"/>
      <c r="BR854" s="304" t="str">
        <f t="shared" si="612"/>
        <v/>
      </c>
      <c r="BS854" s="304" t="str">
        <f t="shared" si="612"/>
        <v/>
      </c>
      <c r="BT854" s="28"/>
      <c r="BU854" s="304" t="str">
        <f t="shared" si="613"/>
        <v/>
      </c>
      <c r="BV854" s="304" t="str">
        <f t="shared" si="613"/>
        <v/>
      </c>
      <c r="BW854" s="28"/>
      <c r="BX854" s="91"/>
    </row>
    <row r="855" spans="1:76" s="55" customFormat="1" x14ac:dyDescent="0.25">
      <c r="A855" s="195">
        <v>159</v>
      </c>
      <c r="B855" s="216" t="str">
        <f t="shared" si="599"/>
        <v>Middle East and Africa: FAO. 2017. Reducing Enteric Methane for improving food security and livelihoods</v>
      </c>
      <c r="C855" s="219" t="s">
        <v>488</v>
      </c>
      <c r="D855" s="379" t="s">
        <v>520</v>
      </c>
      <c r="E855" s="219" t="s">
        <v>99</v>
      </c>
      <c r="F855" s="330" t="s">
        <v>521</v>
      </c>
      <c r="G855" s="220" t="s">
        <v>26</v>
      </c>
      <c r="H855" s="221">
        <v>2017</v>
      </c>
      <c r="I855" s="240"/>
      <c r="J855" s="341">
        <v>124.7</v>
      </c>
      <c r="K855" s="380" t="s">
        <v>489</v>
      </c>
      <c r="L855" s="334">
        <f t="shared" si="615"/>
        <v>3.6240937500000001</v>
      </c>
      <c r="M855" s="335" t="str">
        <f>'[1]Advanced Controls'!$I$158</f>
        <v>t CH4-CO2eq per kg of protein</v>
      </c>
      <c r="N855" s="238"/>
      <c r="O855" s="227" t="s">
        <v>519</v>
      </c>
      <c r="P855" s="122"/>
      <c r="Q855" s="228"/>
      <c r="R855" s="231">
        <f t="shared" si="603"/>
        <v>3.6240937500000001</v>
      </c>
      <c r="S855" s="230" t="str">
        <f t="shared" si="600"/>
        <v/>
      </c>
      <c r="T855" s="231">
        <f t="shared" si="601"/>
        <v>0</v>
      </c>
      <c r="U855" s="232" t="str">
        <f t="shared" si="602"/>
        <v>t CH4-CO2eq per kg of protein</v>
      </c>
      <c r="V855" s="28"/>
      <c r="W855" s="28"/>
      <c r="Y855" s="91"/>
      <c r="AO855" s="91"/>
      <c r="AP855" s="28"/>
      <c r="AQ855" s="28"/>
      <c r="AR855" s="237"/>
      <c r="AS855" s="28"/>
      <c r="AT855" s="304" t="str">
        <f t="shared" si="614"/>
        <v/>
      </c>
      <c r="AU855" s="304" t="str">
        <f t="shared" si="614"/>
        <v/>
      </c>
      <c r="AV855" s="28"/>
      <c r="AW855" s="304" t="str">
        <f t="shared" si="605"/>
        <v/>
      </c>
      <c r="AX855" s="304" t="str">
        <f t="shared" si="605"/>
        <v/>
      </c>
      <c r="AY855" s="28"/>
      <c r="AZ855" s="304" t="str">
        <f t="shared" si="606"/>
        <v/>
      </c>
      <c r="BA855" s="304" t="str">
        <f t="shared" si="606"/>
        <v/>
      </c>
      <c r="BB855" s="28"/>
      <c r="BC855" s="304" t="str">
        <f t="shared" si="607"/>
        <v/>
      </c>
      <c r="BD855" s="304" t="str">
        <f t="shared" si="607"/>
        <v/>
      </c>
      <c r="BE855" s="28"/>
      <c r="BF855" s="304">
        <f t="shared" si="608"/>
        <v>3.6240937500000001</v>
      </c>
      <c r="BG855" s="304" t="str">
        <f t="shared" si="608"/>
        <v/>
      </c>
      <c r="BH855" s="28"/>
      <c r="BI855" s="304" t="str">
        <f t="shared" si="609"/>
        <v/>
      </c>
      <c r="BJ855" s="304" t="str">
        <f t="shared" si="609"/>
        <v/>
      </c>
      <c r="BK855" s="28"/>
      <c r="BL855" s="304" t="str">
        <f t="shared" si="610"/>
        <v/>
      </c>
      <c r="BM855" s="304" t="str">
        <f t="shared" si="610"/>
        <v/>
      </c>
      <c r="BN855" s="28"/>
      <c r="BO855" s="304" t="str">
        <f t="shared" si="611"/>
        <v/>
      </c>
      <c r="BP855" s="304" t="str">
        <f t="shared" si="611"/>
        <v/>
      </c>
      <c r="BQ855" s="28"/>
      <c r="BR855" s="304" t="str">
        <f t="shared" si="612"/>
        <v/>
      </c>
      <c r="BS855" s="304" t="str">
        <f t="shared" si="612"/>
        <v/>
      </c>
      <c r="BT855" s="28"/>
      <c r="BU855" s="304" t="str">
        <f t="shared" si="613"/>
        <v/>
      </c>
      <c r="BV855" s="304" t="str">
        <f t="shared" si="613"/>
        <v/>
      </c>
      <c r="BW855" s="28"/>
      <c r="BX855" s="91"/>
    </row>
    <row r="856" spans="1:76" s="55" customFormat="1" x14ac:dyDescent="0.25">
      <c r="A856" s="195">
        <v>160</v>
      </c>
      <c r="B856" s="216" t="str">
        <f t="shared" si="599"/>
        <v>Middle East and Africa: FAO. 2017. Reducing Enteric Methane for improving food security and livelihoods</v>
      </c>
      <c r="C856" s="219" t="s">
        <v>488</v>
      </c>
      <c r="D856" s="379" t="s">
        <v>520</v>
      </c>
      <c r="E856" s="219" t="s">
        <v>99</v>
      </c>
      <c r="F856" s="330" t="s">
        <v>521</v>
      </c>
      <c r="G856" s="220" t="s">
        <v>26</v>
      </c>
      <c r="H856" s="221">
        <v>2017</v>
      </c>
      <c r="I856" s="240"/>
      <c r="J856" s="341">
        <v>61.8</v>
      </c>
      <c r="K856" s="380" t="s">
        <v>489</v>
      </c>
      <c r="L856" s="334">
        <f t="shared" si="615"/>
        <v>1.7960625000000001</v>
      </c>
      <c r="M856" s="335" t="str">
        <f>'[1]Advanced Controls'!$I$158</f>
        <v>t CH4-CO2eq per kg of protein</v>
      </c>
      <c r="N856" s="238"/>
      <c r="O856" s="227" t="s">
        <v>518</v>
      </c>
      <c r="P856" s="122"/>
      <c r="Q856" s="228"/>
      <c r="R856" s="231">
        <f t="shared" si="603"/>
        <v>1.7960625000000001</v>
      </c>
      <c r="S856" s="230">
        <f t="shared" si="600"/>
        <v>1.7960625000000001</v>
      </c>
      <c r="T856" s="231">
        <f t="shared" si="601"/>
        <v>0</v>
      </c>
      <c r="U856" s="232" t="str">
        <f t="shared" si="602"/>
        <v>t CH4-CO2eq per kg of protein</v>
      </c>
      <c r="V856" s="28"/>
      <c r="W856" s="28"/>
      <c r="Y856" s="91"/>
      <c r="AO856" s="91"/>
      <c r="AP856" s="28"/>
      <c r="AQ856" s="28"/>
      <c r="AR856" s="237"/>
      <c r="AS856" s="28"/>
      <c r="AT856" s="304" t="str">
        <f t="shared" si="614"/>
        <v/>
      </c>
      <c r="AU856" s="304" t="str">
        <f t="shared" si="614"/>
        <v/>
      </c>
      <c r="AV856" s="28"/>
      <c r="AW856" s="304" t="str">
        <f t="shared" si="605"/>
        <v/>
      </c>
      <c r="AX856" s="304" t="str">
        <f t="shared" si="605"/>
        <v/>
      </c>
      <c r="AY856" s="28"/>
      <c r="AZ856" s="304" t="str">
        <f t="shared" si="606"/>
        <v/>
      </c>
      <c r="BA856" s="304" t="str">
        <f t="shared" si="606"/>
        <v/>
      </c>
      <c r="BB856" s="28"/>
      <c r="BC856" s="304" t="str">
        <f t="shared" si="607"/>
        <v/>
      </c>
      <c r="BD856" s="304" t="str">
        <f t="shared" si="607"/>
        <v/>
      </c>
      <c r="BE856" s="28"/>
      <c r="BF856" s="304">
        <f t="shared" si="608"/>
        <v>1.7960625000000001</v>
      </c>
      <c r="BG856" s="304">
        <f t="shared" si="608"/>
        <v>1.7960625000000001</v>
      </c>
      <c r="BH856" s="28"/>
      <c r="BI856" s="304" t="str">
        <f t="shared" si="609"/>
        <v/>
      </c>
      <c r="BJ856" s="304" t="str">
        <f t="shared" si="609"/>
        <v/>
      </c>
      <c r="BK856" s="28"/>
      <c r="BL856" s="304" t="str">
        <f t="shared" si="610"/>
        <v/>
      </c>
      <c r="BM856" s="304" t="str">
        <f t="shared" si="610"/>
        <v/>
      </c>
      <c r="BN856" s="28"/>
      <c r="BO856" s="304" t="str">
        <f t="shared" si="611"/>
        <v/>
      </c>
      <c r="BP856" s="304" t="str">
        <f t="shared" si="611"/>
        <v/>
      </c>
      <c r="BQ856" s="28"/>
      <c r="BR856" s="304" t="str">
        <f t="shared" si="612"/>
        <v/>
      </c>
      <c r="BS856" s="304" t="str">
        <f t="shared" si="612"/>
        <v/>
      </c>
      <c r="BT856" s="28"/>
      <c r="BU856" s="304" t="str">
        <f t="shared" si="613"/>
        <v/>
      </c>
      <c r="BV856" s="304" t="str">
        <f t="shared" si="613"/>
        <v/>
      </c>
      <c r="BW856" s="28"/>
      <c r="BX856" s="91"/>
    </row>
    <row r="857" spans="1:76" s="55" customFormat="1" x14ac:dyDescent="0.25">
      <c r="A857" s="195">
        <v>161</v>
      </c>
      <c r="B857" s="216" t="str">
        <f t="shared" si="599"/>
        <v>Middle East and Africa: FAO. 2017. Reducing Enteric Methane for improving food security and livelihoods</v>
      </c>
      <c r="C857" s="219" t="s">
        <v>488</v>
      </c>
      <c r="D857" s="379" t="s">
        <v>520</v>
      </c>
      <c r="E857" s="219" t="s">
        <v>99</v>
      </c>
      <c r="F857" s="330" t="s">
        <v>521</v>
      </c>
      <c r="G857" s="220" t="s">
        <v>26</v>
      </c>
      <c r="H857" s="221">
        <v>2017</v>
      </c>
      <c r="I857" s="240"/>
      <c r="J857" s="341">
        <v>124.7</v>
      </c>
      <c r="K857" s="380" t="s">
        <v>489</v>
      </c>
      <c r="L857" s="334">
        <f t="shared" si="615"/>
        <v>3.6240937500000001</v>
      </c>
      <c r="M857" s="335" t="str">
        <f>'[1]Advanced Controls'!$I$158</f>
        <v>t CH4-CO2eq per kg of protein</v>
      </c>
      <c r="N857" s="238"/>
      <c r="O857" s="227" t="s">
        <v>519</v>
      </c>
      <c r="P857" s="122"/>
      <c r="Q857" s="228"/>
      <c r="R857" s="231">
        <f t="shared" si="603"/>
        <v>3.6240937500000001</v>
      </c>
      <c r="S857" s="230" t="str">
        <f t="shared" si="600"/>
        <v/>
      </c>
      <c r="T857" s="231">
        <f t="shared" si="601"/>
        <v>0</v>
      </c>
      <c r="U857" s="232" t="str">
        <f t="shared" si="602"/>
        <v>t CH4-CO2eq per kg of protein</v>
      </c>
      <c r="V857" s="28"/>
      <c r="W857" s="28"/>
      <c r="Y857" s="91"/>
      <c r="AO857" s="91"/>
      <c r="AP857" s="28"/>
      <c r="AQ857" s="28"/>
      <c r="AR857" s="237"/>
      <c r="AS857" s="28"/>
      <c r="AT857" s="304" t="str">
        <f t="shared" si="614"/>
        <v/>
      </c>
      <c r="AU857" s="304" t="str">
        <f t="shared" si="614"/>
        <v/>
      </c>
      <c r="AV857" s="28"/>
      <c r="AW857" s="304" t="str">
        <f t="shared" si="605"/>
        <v/>
      </c>
      <c r="AX857" s="304" t="str">
        <f t="shared" si="605"/>
        <v/>
      </c>
      <c r="AY857" s="28"/>
      <c r="AZ857" s="304" t="str">
        <f t="shared" si="606"/>
        <v/>
      </c>
      <c r="BA857" s="304" t="str">
        <f t="shared" si="606"/>
        <v/>
      </c>
      <c r="BB857" s="28"/>
      <c r="BC857" s="304" t="str">
        <f t="shared" si="607"/>
        <v/>
      </c>
      <c r="BD857" s="304" t="str">
        <f t="shared" si="607"/>
        <v/>
      </c>
      <c r="BE857" s="28"/>
      <c r="BF857" s="304">
        <f t="shared" si="608"/>
        <v>3.6240937500000001</v>
      </c>
      <c r="BG857" s="304" t="str">
        <f t="shared" si="608"/>
        <v/>
      </c>
      <c r="BH857" s="28"/>
      <c r="BI857" s="304" t="str">
        <f t="shared" si="609"/>
        <v/>
      </c>
      <c r="BJ857" s="304" t="str">
        <f t="shared" si="609"/>
        <v/>
      </c>
      <c r="BK857" s="28"/>
      <c r="BL857" s="304" t="str">
        <f t="shared" si="610"/>
        <v/>
      </c>
      <c r="BM857" s="304" t="str">
        <f t="shared" si="610"/>
        <v/>
      </c>
      <c r="BN857" s="28"/>
      <c r="BO857" s="304" t="str">
        <f t="shared" si="611"/>
        <v/>
      </c>
      <c r="BP857" s="304" t="str">
        <f t="shared" si="611"/>
        <v/>
      </c>
      <c r="BQ857" s="28"/>
      <c r="BR857" s="304" t="str">
        <f t="shared" si="612"/>
        <v/>
      </c>
      <c r="BS857" s="304" t="str">
        <f t="shared" si="612"/>
        <v/>
      </c>
      <c r="BT857" s="28"/>
      <c r="BU857" s="304" t="str">
        <f t="shared" si="613"/>
        <v/>
      </c>
      <c r="BV857" s="304" t="str">
        <f t="shared" si="613"/>
        <v/>
      </c>
      <c r="BW857" s="28"/>
      <c r="BX857" s="91"/>
    </row>
    <row r="858" spans="1:76" s="55" customFormat="1" x14ac:dyDescent="0.25">
      <c r="A858" s="195">
        <v>162</v>
      </c>
      <c r="B858" s="216" t="str">
        <f t="shared" si="599"/>
        <v>Middle East and Africa: FAO. 2017. Reducing Enteric Methane for improving food security and livelihoods</v>
      </c>
      <c r="C858" s="219" t="s">
        <v>488</v>
      </c>
      <c r="D858" s="379" t="s">
        <v>520</v>
      </c>
      <c r="E858" s="219" t="s">
        <v>99</v>
      </c>
      <c r="F858" s="330" t="s">
        <v>521</v>
      </c>
      <c r="G858" s="220" t="s">
        <v>26</v>
      </c>
      <c r="H858" s="221">
        <v>2017</v>
      </c>
      <c r="I858" s="240"/>
      <c r="J858" s="341">
        <v>61.8</v>
      </c>
      <c r="K858" s="380" t="s">
        <v>489</v>
      </c>
      <c r="L858" s="334">
        <f t="shared" si="615"/>
        <v>1.7960625000000001</v>
      </c>
      <c r="M858" s="335" t="str">
        <f>'[1]Advanced Controls'!$I$158</f>
        <v>t CH4-CO2eq per kg of protein</v>
      </c>
      <c r="N858" s="238"/>
      <c r="O858" s="227" t="s">
        <v>518</v>
      </c>
      <c r="P858" s="122"/>
      <c r="Q858" s="228"/>
      <c r="R858" s="231">
        <f t="shared" si="603"/>
        <v>1.7960625000000001</v>
      </c>
      <c r="S858" s="230">
        <f t="shared" si="600"/>
        <v>1.7960625000000001</v>
      </c>
      <c r="T858" s="231">
        <f t="shared" si="601"/>
        <v>0</v>
      </c>
      <c r="U858" s="232" t="str">
        <f t="shared" si="602"/>
        <v>t CH4-CO2eq per kg of protein</v>
      </c>
      <c r="V858" s="28"/>
      <c r="W858" s="28"/>
      <c r="Y858" s="91"/>
      <c r="AO858" s="91"/>
      <c r="AP858" s="28"/>
      <c r="AQ858" s="28"/>
      <c r="AR858" s="237"/>
      <c r="AS858" s="28"/>
      <c r="AT858" s="304" t="str">
        <f t="shared" si="614"/>
        <v/>
      </c>
      <c r="AU858" s="304" t="str">
        <f t="shared" si="614"/>
        <v/>
      </c>
      <c r="AV858" s="28"/>
      <c r="AW858" s="304" t="str">
        <f t="shared" si="605"/>
        <v/>
      </c>
      <c r="AX858" s="304" t="str">
        <f t="shared" si="605"/>
        <v/>
      </c>
      <c r="AY858" s="28"/>
      <c r="AZ858" s="304" t="str">
        <f t="shared" si="606"/>
        <v/>
      </c>
      <c r="BA858" s="304" t="str">
        <f t="shared" si="606"/>
        <v/>
      </c>
      <c r="BB858" s="28"/>
      <c r="BC858" s="304" t="str">
        <f t="shared" si="607"/>
        <v/>
      </c>
      <c r="BD858" s="304" t="str">
        <f t="shared" si="607"/>
        <v/>
      </c>
      <c r="BE858" s="28"/>
      <c r="BF858" s="304">
        <f t="shared" si="608"/>
        <v>1.7960625000000001</v>
      </c>
      <c r="BG858" s="304">
        <f t="shared" si="608"/>
        <v>1.7960625000000001</v>
      </c>
      <c r="BH858" s="28"/>
      <c r="BI858" s="304" t="str">
        <f t="shared" si="609"/>
        <v/>
      </c>
      <c r="BJ858" s="304" t="str">
        <f t="shared" si="609"/>
        <v/>
      </c>
      <c r="BK858" s="28"/>
      <c r="BL858" s="304" t="str">
        <f t="shared" si="610"/>
        <v/>
      </c>
      <c r="BM858" s="304" t="str">
        <f t="shared" si="610"/>
        <v/>
      </c>
      <c r="BN858" s="28"/>
      <c r="BO858" s="304" t="str">
        <f t="shared" si="611"/>
        <v/>
      </c>
      <c r="BP858" s="304" t="str">
        <f t="shared" si="611"/>
        <v/>
      </c>
      <c r="BQ858" s="28"/>
      <c r="BR858" s="304" t="str">
        <f t="shared" si="612"/>
        <v/>
      </c>
      <c r="BS858" s="304" t="str">
        <f t="shared" si="612"/>
        <v/>
      </c>
      <c r="BT858" s="28"/>
      <c r="BU858" s="304" t="str">
        <f t="shared" si="613"/>
        <v/>
      </c>
      <c r="BV858" s="304" t="str">
        <f t="shared" si="613"/>
        <v/>
      </c>
      <c r="BW858" s="28"/>
      <c r="BX858" s="91"/>
    </row>
    <row r="859" spans="1:76" s="55" customFormat="1" x14ac:dyDescent="0.25">
      <c r="A859" s="195">
        <v>163</v>
      </c>
      <c r="B859" s="216" t="str">
        <f t="shared" si="599"/>
        <v>Middle East and Africa: FAO. 2017. Reducing Enteric Methane for improving food security and livelihoods</v>
      </c>
      <c r="C859" s="219" t="s">
        <v>488</v>
      </c>
      <c r="D859" s="379" t="s">
        <v>522</v>
      </c>
      <c r="E859" s="219" t="s">
        <v>99</v>
      </c>
      <c r="F859" s="330" t="s">
        <v>523</v>
      </c>
      <c r="G859" s="220" t="s">
        <v>26</v>
      </c>
      <c r="H859" s="221">
        <v>2017</v>
      </c>
      <c r="I859" s="240"/>
      <c r="J859" s="341">
        <v>51</v>
      </c>
      <c r="K859" s="380" t="s">
        <v>489</v>
      </c>
      <c r="L859" s="334">
        <f t="shared" si="615"/>
        <v>1.4821875</v>
      </c>
      <c r="M859" s="335" t="str">
        <f>'[1]Advanced Controls'!$I$158</f>
        <v>t CH4-CO2eq per kg of protein</v>
      </c>
      <c r="N859" s="238"/>
      <c r="O859" s="227" t="s">
        <v>518</v>
      </c>
      <c r="P859" s="122"/>
      <c r="Q859" s="228"/>
      <c r="R859" s="231">
        <f t="shared" si="603"/>
        <v>1.4821875</v>
      </c>
      <c r="S859" s="230">
        <f t="shared" si="600"/>
        <v>1.4821875</v>
      </c>
      <c r="T859" s="231">
        <f t="shared" si="601"/>
        <v>0</v>
      </c>
      <c r="U859" s="232" t="str">
        <f t="shared" si="602"/>
        <v>t CH4-CO2eq per kg of protein</v>
      </c>
      <c r="V859" s="28"/>
      <c r="W859" s="28"/>
      <c r="Y859" s="91"/>
      <c r="AO859" s="91"/>
      <c r="AP859" s="28"/>
      <c r="AQ859" s="28"/>
      <c r="AR859" s="237"/>
      <c r="AS859" s="28"/>
      <c r="AT859" s="304" t="str">
        <f t="shared" si="614"/>
        <v/>
      </c>
      <c r="AU859" s="304" t="str">
        <f t="shared" si="614"/>
        <v/>
      </c>
      <c r="AV859" s="28"/>
      <c r="AW859" s="304" t="str">
        <f t="shared" si="605"/>
        <v/>
      </c>
      <c r="AX859" s="304" t="str">
        <f t="shared" si="605"/>
        <v/>
      </c>
      <c r="AY859" s="28"/>
      <c r="AZ859" s="304" t="str">
        <f t="shared" si="606"/>
        <v/>
      </c>
      <c r="BA859" s="304" t="str">
        <f t="shared" si="606"/>
        <v/>
      </c>
      <c r="BB859" s="28"/>
      <c r="BC859" s="304" t="str">
        <f t="shared" si="607"/>
        <v/>
      </c>
      <c r="BD859" s="304" t="str">
        <f t="shared" si="607"/>
        <v/>
      </c>
      <c r="BE859" s="28"/>
      <c r="BF859" s="304">
        <f t="shared" si="608"/>
        <v>1.4821875</v>
      </c>
      <c r="BG859" s="304">
        <f t="shared" si="608"/>
        <v>1.4821875</v>
      </c>
      <c r="BH859" s="28"/>
      <c r="BI859" s="304" t="str">
        <f t="shared" si="609"/>
        <v/>
      </c>
      <c r="BJ859" s="304" t="str">
        <f t="shared" si="609"/>
        <v/>
      </c>
      <c r="BK859" s="28"/>
      <c r="BL859" s="304" t="str">
        <f t="shared" si="610"/>
        <v/>
      </c>
      <c r="BM859" s="304" t="str">
        <f t="shared" si="610"/>
        <v/>
      </c>
      <c r="BN859" s="28"/>
      <c r="BO859" s="304" t="str">
        <f t="shared" si="611"/>
        <v/>
      </c>
      <c r="BP859" s="304" t="str">
        <f t="shared" si="611"/>
        <v/>
      </c>
      <c r="BQ859" s="28"/>
      <c r="BR859" s="304" t="str">
        <f t="shared" si="612"/>
        <v/>
      </c>
      <c r="BS859" s="304" t="str">
        <f t="shared" si="612"/>
        <v/>
      </c>
      <c r="BT859" s="28"/>
      <c r="BU859" s="304" t="str">
        <f t="shared" si="613"/>
        <v/>
      </c>
      <c r="BV859" s="304" t="str">
        <f t="shared" si="613"/>
        <v/>
      </c>
      <c r="BW859" s="28"/>
      <c r="BX859" s="91"/>
    </row>
    <row r="860" spans="1:76" s="55" customFormat="1" x14ac:dyDescent="0.25">
      <c r="A860" s="195">
        <v>164</v>
      </c>
      <c r="B860" s="216" t="str">
        <f t="shared" si="599"/>
        <v>Middle East and Africa: FAO. 2017. Reducing Enteric Methane for improving food security and livelihoods</v>
      </c>
      <c r="C860" s="219" t="s">
        <v>488</v>
      </c>
      <c r="D860" s="379" t="s">
        <v>522</v>
      </c>
      <c r="E860" s="219" t="s">
        <v>99</v>
      </c>
      <c r="F860" s="330" t="s">
        <v>523</v>
      </c>
      <c r="G860" s="220" t="s">
        <v>26</v>
      </c>
      <c r="H860" s="221">
        <v>2017</v>
      </c>
      <c r="I860" s="240"/>
      <c r="J860" s="341">
        <v>35.1</v>
      </c>
      <c r="K860" s="380" t="s">
        <v>489</v>
      </c>
      <c r="L860" s="334">
        <f t="shared" si="615"/>
        <v>1.02009375</v>
      </c>
      <c r="M860" s="335" t="str">
        <f>'[1]Advanced Controls'!$I$158</f>
        <v>t CH4-CO2eq per kg of protein</v>
      </c>
      <c r="N860" s="238"/>
      <c r="O860" s="227" t="s">
        <v>519</v>
      </c>
      <c r="P860" s="122"/>
      <c r="Q860" s="228"/>
      <c r="R860" s="231">
        <f t="shared" si="603"/>
        <v>1.02009375</v>
      </c>
      <c r="S860" s="230">
        <f t="shared" si="600"/>
        <v>1.02009375</v>
      </c>
      <c r="T860" s="231">
        <f t="shared" si="601"/>
        <v>0</v>
      </c>
      <c r="U860" s="232" t="str">
        <f t="shared" si="602"/>
        <v>t CH4-CO2eq per kg of protein</v>
      </c>
      <c r="V860" s="28"/>
      <c r="W860" s="28"/>
      <c r="Y860" s="91"/>
      <c r="AO860" s="91"/>
      <c r="AP860" s="28"/>
      <c r="AQ860" s="28"/>
      <c r="AR860" s="237"/>
      <c r="AS860" s="28"/>
      <c r="AT860" s="304" t="str">
        <f t="shared" si="614"/>
        <v/>
      </c>
      <c r="AU860" s="304" t="str">
        <f t="shared" si="614"/>
        <v/>
      </c>
      <c r="AV860" s="28"/>
      <c r="AW860" s="304" t="str">
        <f t="shared" si="605"/>
        <v/>
      </c>
      <c r="AX860" s="304" t="str">
        <f t="shared" si="605"/>
        <v/>
      </c>
      <c r="AY860" s="28"/>
      <c r="AZ860" s="304" t="str">
        <f t="shared" si="606"/>
        <v/>
      </c>
      <c r="BA860" s="304" t="str">
        <f t="shared" si="606"/>
        <v/>
      </c>
      <c r="BB860" s="28"/>
      <c r="BC860" s="304" t="str">
        <f t="shared" si="607"/>
        <v/>
      </c>
      <c r="BD860" s="304" t="str">
        <f t="shared" si="607"/>
        <v/>
      </c>
      <c r="BE860" s="28"/>
      <c r="BF860" s="304">
        <f t="shared" si="608"/>
        <v>1.02009375</v>
      </c>
      <c r="BG860" s="304">
        <f t="shared" si="608"/>
        <v>1.02009375</v>
      </c>
      <c r="BH860" s="28"/>
      <c r="BI860" s="304" t="str">
        <f t="shared" si="609"/>
        <v/>
      </c>
      <c r="BJ860" s="304" t="str">
        <f t="shared" si="609"/>
        <v/>
      </c>
      <c r="BK860" s="28"/>
      <c r="BL860" s="304" t="str">
        <f t="shared" si="610"/>
        <v/>
      </c>
      <c r="BM860" s="304" t="str">
        <f t="shared" si="610"/>
        <v/>
      </c>
      <c r="BN860" s="28"/>
      <c r="BO860" s="304" t="str">
        <f t="shared" si="611"/>
        <v/>
      </c>
      <c r="BP860" s="304" t="str">
        <f t="shared" si="611"/>
        <v/>
      </c>
      <c r="BQ860" s="28"/>
      <c r="BR860" s="304" t="str">
        <f t="shared" si="612"/>
        <v/>
      </c>
      <c r="BS860" s="304" t="str">
        <f t="shared" si="612"/>
        <v/>
      </c>
      <c r="BT860" s="28"/>
      <c r="BU860" s="304" t="str">
        <f t="shared" si="613"/>
        <v/>
      </c>
      <c r="BV860" s="304" t="str">
        <f t="shared" si="613"/>
        <v/>
      </c>
      <c r="BW860" s="28"/>
      <c r="BX860" s="91"/>
    </row>
    <row r="861" spans="1:76" s="55" customFormat="1" x14ac:dyDescent="0.25">
      <c r="A861" s="195">
        <v>165</v>
      </c>
      <c r="B861" s="216" t="str">
        <f t="shared" si="599"/>
        <v>Middle East and Africa: FAO. 2017. Reducing Enteric Methane for improving food security and livelihoods</v>
      </c>
      <c r="C861" s="219" t="s">
        <v>488</v>
      </c>
      <c r="D861" s="379" t="s">
        <v>522</v>
      </c>
      <c r="E861" s="219" t="s">
        <v>99</v>
      </c>
      <c r="F861" s="330" t="s">
        <v>523</v>
      </c>
      <c r="G861" s="220" t="s">
        <v>26</v>
      </c>
      <c r="H861" s="221">
        <v>2017</v>
      </c>
      <c r="I861" s="240"/>
      <c r="J861" s="341">
        <v>51</v>
      </c>
      <c r="K861" s="380" t="s">
        <v>489</v>
      </c>
      <c r="L861" s="334">
        <f t="shared" si="615"/>
        <v>1.4821875</v>
      </c>
      <c r="M861" s="335" t="str">
        <f>'[1]Advanced Controls'!$I$158</f>
        <v>t CH4-CO2eq per kg of protein</v>
      </c>
      <c r="N861" s="238"/>
      <c r="O861" s="227" t="s">
        <v>518</v>
      </c>
      <c r="P861" s="122"/>
      <c r="Q861" s="228"/>
      <c r="R861" s="231">
        <f t="shared" si="603"/>
        <v>1.4821875</v>
      </c>
      <c r="S861" s="230">
        <f t="shared" si="600"/>
        <v>1.4821875</v>
      </c>
      <c r="T861" s="231">
        <f t="shared" si="601"/>
        <v>0</v>
      </c>
      <c r="U861" s="232" t="str">
        <f t="shared" si="602"/>
        <v>t CH4-CO2eq per kg of protein</v>
      </c>
      <c r="V861" s="28"/>
      <c r="W861" s="28"/>
      <c r="Y861" s="91"/>
      <c r="AO861" s="91"/>
      <c r="AP861" s="28"/>
      <c r="AQ861" s="28"/>
      <c r="AR861" s="237"/>
      <c r="AS861" s="28"/>
      <c r="AT861" s="304" t="str">
        <f t="shared" si="614"/>
        <v/>
      </c>
      <c r="AU861" s="304" t="str">
        <f t="shared" si="614"/>
        <v/>
      </c>
      <c r="AV861" s="28"/>
      <c r="AW861" s="304" t="str">
        <f t="shared" si="605"/>
        <v/>
      </c>
      <c r="AX861" s="304" t="str">
        <f t="shared" si="605"/>
        <v/>
      </c>
      <c r="AY861" s="28"/>
      <c r="AZ861" s="304" t="str">
        <f t="shared" si="606"/>
        <v/>
      </c>
      <c r="BA861" s="304" t="str">
        <f t="shared" si="606"/>
        <v/>
      </c>
      <c r="BB861" s="28"/>
      <c r="BC861" s="304" t="str">
        <f t="shared" si="607"/>
        <v/>
      </c>
      <c r="BD861" s="304" t="str">
        <f t="shared" si="607"/>
        <v/>
      </c>
      <c r="BE861" s="28"/>
      <c r="BF861" s="304">
        <f t="shared" si="608"/>
        <v>1.4821875</v>
      </c>
      <c r="BG861" s="304">
        <f t="shared" si="608"/>
        <v>1.4821875</v>
      </c>
      <c r="BH861" s="28"/>
      <c r="BI861" s="304" t="str">
        <f t="shared" si="609"/>
        <v/>
      </c>
      <c r="BJ861" s="304" t="str">
        <f t="shared" si="609"/>
        <v/>
      </c>
      <c r="BK861" s="28"/>
      <c r="BL861" s="304" t="str">
        <f t="shared" si="610"/>
        <v/>
      </c>
      <c r="BM861" s="304" t="str">
        <f t="shared" si="610"/>
        <v/>
      </c>
      <c r="BN861" s="28"/>
      <c r="BO861" s="304" t="str">
        <f t="shared" si="611"/>
        <v/>
      </c>
      <c r="BP861" s="304" t="str">
        <f t="shared" si="611"/>
        <v/>
      </c>
      <c r="BQ861" s="28"/>
      <c r="BR861" s="304" t="str">
        <f t="shared" si="612"/>
        <v/>
      </c>
      <c r="BS861" s="304" t="str">
        <f t="shared" si="612"/>
        <v/>
      </c>
      <c r="BT861" s="28"/>
      <c r="BU861" s="304" t="str">
        <f t="shared" si="613"/>
        <v/>
      </c>
      <c r="BV861" s="304" t="str">
        <f t="shared" si="613"/>
        <v/>
      </c>
      <c r="BW861" s="28"/>
      <c r="BX861" s="91"/>
    </row>
    <row r="862" spans="1:76" s="55" customFormat="1" x14ac:dyDescent="0.25">
      <c r="A862" s="195">
        <v>166</v>
      </c>
      <c r="B862" s="216" t="str">
        <f t="shared" si="599"/>
        <v>Middle East and Africa: FAO. 2017. Reducing Enteric Methane for improving food security and livelihoods</v>
      </c>
      <c r="C862" s="219" t="s">
        <v>488</v>
      </c>
      <c r="D862" s="379" t="s">
        <v>522</v>
      </c>
      <c r="E862" s="219" t="s">
        <v>99</v>
      </c>
      <c r="F862" s="330" t="s">
        <v>523</v>
      </c>
      <c r="G862" s="220" t="s">
        <v>26</v>
      </c>
      <c r="H862" s="221">
        <v>2017</v>
      </c>
      <c r="I862" s="240"/>
      <c r="J862" s="341">
        <v>35.1</v>
      </c>
      <c r="K862" s="380" t="s">
        <v>489</v>
      </c>
      <c r="L862" s="334">
        <f t="shared" si="615"/>
        <v>1.02009375</v>
      </c>
      <c r="M862" s="335" t="str">
        <f>'[1]Advanced Controls'!$I$158</f>
        <v>t CH4-CO2eq per kg of protein</v>
      </c>
      <c r="N862" s="238"/>
      <c r="O862" s="227" t="s">
        <v>519</v>
      </c>
      <c r="P862" s="122"/>
      <c r="Q862" s="228"/>
      <c r="R862" s="231">
        <f t="shared" si="603"/>
        <v>1.02009375</v>
      </c>
      <c r="S862" s="230">
        <f t="shared" si="600"/>
        <v>1.02009375</v>
      </c>
      <c r="T862" s="231">
        <f t="shared" si="601"/>
        <v>0</v>
      </c>
      <c r="U862" s="232" t="str">
        <f t="shared" si="602"/>
        <v>t CH4-CO2eq per kg of protein</v>
      </c>
      <c r="V862" s="28"/>
      <c r="W862" s="28"/>
      <c r="Y862" s="91"/>
      <c r="AO862" s="91"/>
      <c r="AP862" s="28"/>
      <c r="AQ862" s="28"/>
      <c r="AR862" s="237"/>
      <c r="AS862" s="28"/>
      <c r="AT862" s="304" t="str">
        <f t="shared" si="614"/>
        <v/>
      </c>
      <c r="AU862" s="304" t="str">
        <f t="shared" si="614"/>
        <v/>
      </c>
      <c r="AV862" s="28"/>
      <c r="AW862" s="304" t="str">
        <f t="shared" si="605"/>
        <v/>
      </c>
      <c r="AX862" s="304" t="str">
        <f t="shared" si="605"/>
        <v/>
      </c>
      <c r="AY862" s="28"/>
      <c r="AZ862" s="304" t="str">
        <f t="shared" si="606"/>
        <v/>
      </c>
      <c r="BA862" s="304" t="str">
        <f t="shared" si="606"/>
        <v/>
      </c>
      <c r="BB862" s="28"/>
      <c r="BC862" s="304" t="str">
        <f t="shared" si="607"/>
        <v/>
      </c>
      <c r="BD862" s="304" t="str">
        <f t="shared" si="607"/>
        <v/>
      </c>
      <c r="BE862" s="28"/>
      <c r="BF862" s="304">
        <f t="shared" si="608"/>
        <v>1.02009375</v>
      </c>
      <c r="BG862" s="304">
        <f t="shared" si="608"/>
        <v>1.02009375</v>
      </c>
      <c r="BH862" s="28"/>
      <c r="BI862" s="304" t="str">
        <f t="shared" si="609"/>
        <v/>
      </c>
      <c r="BJ862" s="304" t="str">
        <f t="shared" si="609"/>
        <v/>
      </c>
      <c r="BK862" s="28"/>
      <c r="BL862" s="304" t="str">
        <f t="shared" si="610"/>
        <v/>
      </c>
      <c r="BM862" s="304" t="str">
        <f t="shared" si="610"/>
        <v/>
      </c>
      <c r="BN862" s="28"/>
      <c r="BO862" s="304" t="str">
        <f t="shared" si="611"/>
        <v/>
      </c>
      <c r="BP862" s="304" t="str">
        <f t="shared" si="611"/>
        <v/>
      </c>
      <c r="BQ862" s="28"/>
      <c r="BR862" s="304" t="str">
        <f t="shared" si="612"/>
        <v/>
      </c>
      <c r="BS862" s="304" t="str">
        <f t="shared" si="612"/>
        <v/>
      </c>
      <c r="BT862" s="28"/>
      <c r="BU862" s="304" t="str">
        <f t="shared" si="613"/>
        <v/>
      </c>
      <c r="BV862" s="304" t="str">
        <f t="shared" si="613"/>
        <v/>
      </c>
      <c r="BW862" s="28"/>
      <c r="BX862" s="91"/>
    </row>
    <row r="863" spans="1:76" s="55" customFormat="1" x14ac:dyDescent="0.25">
      <c r="A863" s="195">
        <v>167</v>
      </c>
      <c r="B863" s="216" t="str">
        <f t="shared" si="599"/>
        <v>Middle East and Africa: FAO. 2017. Reducing Enteric Methane for improving food security and livelihoods</v>
      </c>
      <c r="C863" s="219" t="s">
        <v>488</v>
      </c>
      <c r="D863" s="379" t="s">
        <v>522</v>
      </c>
      <c r="E863" s="219" t="s">
        <v>99</v>
      </c>
      <c r="F863" s="330" t="s">
        <v>523</v>
      </c>
      <c r="G863" s="220" t="s">
        <v>26</v>
      </c>
      <c r="H863" s="221">
        <v>2017</v>
      </c>
      <c r="I863" s="240"/>
      <c r="J863" s="341">
        <v>51</v>
      </c>
      <c r="K863" s="380" t="s">
        <v>489</v>
      </c>
      <c r="L863" s="334">
        <f t="shared" si="615"/>
        <v>1.4821875</v>
      </c>
      <c r="M863" s="335" t="str">
        <f>'[1]Advanced Controls'!$I$158</f>
        <v>t CH4-CO2eq per kg of protein</v>
      </c>
      <c r="N863" s="238"/>
      <c r="O863" s="227" t="s">
        <v>518</v>
      </c>
      <c r="P863" s="122"/>
      <c r="Q863" s="228"/>
      <c r="R863" s="231">
        <f t="shared" si="603"/>
        <v>1.4821875</v>
      </c>
      <c r="S863" s="230">
        <f t="shared" si="600"/>
        <v>1.4821875</v>
      </c>
      <c r="T863" s="231">
        <f t="shared" si="601"/>
        <v>0</v>
      </c>
      <c r="U863" s="232" t="str">
        <f t="shared" si="602"/>
        <v>t CH4-CO2eq per kg of protein</v>
      </c>
      <c r="V863" s="28"/>
      <c r="W863" s="28"/>
      <c r="Y863" s="91"/>
      <c r="AO863" s="91"/>
      <c r="AP863" s="28"/>
      <c r="AQ863" s="28"/>
      <c r="AR863" s="237"/>
      <c r="AS863" s="28"/>
      <c r="AT863" s="304" t="str">
        <f t="shared" si="614"/>
        <v/>
      </c>
      <c r="AU863" s="304" t="str">
        <f t="shared" si="614"/>
        <v/>
      </c>
      <c r="AV863" s="28"/>
      <c r="AW863" s="304" t="str">
        <f t="shared" si="605"/>
        <v/>
      </c>
      <c r="AX863" s="304" t="str">
        <f t="shared" si="605"/>
        <v/>
      </c>
      <c r="AY863" s="28"/>
      <c r="AZ863" s="304" t="str">
        <f t="shared" si="606"/>
        <v/>
      </c>
      <c r="BA863" s="304" t="str">
        <f t="shared" si="606"/>
        <v/>
      </c>
      <c r="BB863" s="28"/>
      <c r="BC863" s="304" t="str">
        <f t="shared" si="607"/>
        <v/>
      </c>
      <c r="BD863" s="304" t="str">
        <f t="shared" si="607"/>
        <v/>
      </c>
      <c r="BE863" s="28"/>
      <c r="BF863" s="304">
        <f t="shared" si="608"/>
        <v>1.4821875</v>
      </c>
      <c r="BG863" s="304">
        <f t="shared" si="608"/>
        <v>1.4821875</v>
      </c>
      <c r="BH863" s="28"/>
      <c r="BI863" s="304" t="str">
        <f t="shared" si="609"/>
        <v/>
      </c>
      <c r="BJ863" s="304" t="str">
        <f t="shared" si="609"/>
        <v/>
      </c>
      <c r="BK863" s="28"/>
      <c r="BL863" s="304" t="str">
        <f t="shared" si="610"/>
        <v/>
      </c>
      <c r="BM863" s="304" t="str">
        <f t="shared" si="610"/>
        <v/>
      </c>
      <c r="BN863" s="28"/>
      <c r="BO863" s="304" t="str">
        <f t="shared" si="611"/>
        <v/>
      </c>
      <c r="BP863" s="304" t="str">
        <f t="shared" si="611"/>
        <v/>
      </c>
      <c r="BQ863" s="28"/>
      <c r="BR863" s="304" t="str">
        <f t="shared" si="612"/>
        <v/>
      </c>
      <c r="BS863" s="304" t="str">
        <f t="shared" si="612"/>
        <v/>
      </c>
      <c r="BT863" s="28"/>
      <c r="BU863" s="304" t="str">
        <f t="shared" si="613"/>
        <v/>
      </c>
      <c r="BV863" s="304" t="str">
        <f t="shared" si="613"/>
        <v/>
      </c>
      <c r="BW863" s="28"/>
      <c r="BX863" s="91"/>
    </row>
    <row r="864" spans="1:76" s="55" customFormat="1" x14ac:dyDescent="0.25">
      <c r="A864" s="195">
        <v>168</v>
      </c>
      <c r="B864" s="216" t="str">
        <f t="shared" si="599"/>
        <v>Middle East and Africa: FAO. 2017. Reducing Enteric Methane for improving food security and livelihoods</v>
      </c>
      <c r="C864" s="219" t="s">
        <v>488</v>
      </c>
      <c r="D864" s="379" t="s">
        <v>524</v>
      </c>
      <c r="E864" s="219" t="s">
        <v>99</v>
      </c>
      <c r="F864" s="330" t="s">
        <v>525</v>
      </c>
      <c r="G864" s="220" t="s">
        <v>26</v>
      </c>
      <c r="H864" s="221">
        <v>2017</v>
      </c>
      <c r="I864" s="240"/>
      <c r="J864" s="341">
        <v>11.9</v>
      </c>
      <c r="K864" s="380" t="s">
        <v>489</v>
      </c>
      <c r="L864" s="334">
        <f t="shared" si="615"/>
        <v>0.34584375000000001</v>
      </c>
      <c r="M864" s="335" t="str">
        <f>'[1]Advanced Controls'!$I$158</f>
        <v>t CH4-CO2eq per kg of protein</v>
      </c>
      <c r="N864" s="238"/>
      <c r="O864" s="227" t="s">
        <v>518</v>
      </c>
      <c r="P864" s="122"/>
      <c r="Q864" s="228"/>
      <c r="R864" s="231">
        <f t="shared" si="603"/>
        <v>0.34584375000000001</v>
      </c>
      <c r="S864" s="230">
        <f t="shared" si="600"/>
        <v>0.34584375000000001</v>
      </c>
      <c r="T864" s="231">
        <f t="shared" si="601"/>
        <v>0</v>
      </c>
      <c r="U864" s="232" t="str">
        <f t="shared" si="602"/>
        <v>t CH4-CO2eq per kg of protein</v>
      </c>
      <c r="V864" s="28"/>
      <c r="W864" s="28"/>
      <c r="Y864" s="91"/>
      <c r="AO864" s="91"/>
      <c r="AP864" s="28"/>
      <c r="AQ864" s="28"/>
      <c r="AR864" s="237"/>
      <c r="AS864" s="28"/>
      <c r="AT864" s="304" t="str">
        <f t="shared" si="614"/>
        <v/>
      </c>
      <c r="AU864" s="304" t="str">
        <f t="shared" si="614"/>
        <v/>
      </c>
      <c r="AV864" s="28"/>
      <c r="AW864" s="304" t="str">
        <f t="shared" si="605"/>
        <v/>
      </c>
      <c r="AX864" s="304" t="str">
        <f t="shared" si="605"/>
        <v/>
      </c>
      <c r="AY864" s="28"/>
      <c r="AZ864" s="304" t="str">
        <f t="shared" si="606"/>
        <v/>
      </c>
      <c r="BA864" s="304" t="str">
        <f t="shared" si="606"/>
        <v/>
      </c>
      <c r="BB864" s="28"/>
      <c r="BC864" s="304" t="str">
        <f t="shared" si="607"/>
        <v/>
      </c>
      <c r="BD864" s="304" t="str">
        <f t="shared" si="607"/>
        <v/>
      </c>
      <c r="BE864" s="28"/>
      <c r="BF864" s="304">
        <f t="shared" si="608"/>
        <v>0.34584375000000001</v>
      </c>
      <c r="BG864" s="304">
        <f t="shared" si="608"/>
        <v>0.34584375000000001</v>
      </c>
      <c r="BH864" s="28"/>
      <c r="BI864" s="304" t="str">
        <f t="shared" si="609"/>
        <v/>
      </c>
      <c r="BJ864" s="304" t="str">
        <f t="shared" si="609"/>
        <v/>
      </c>
      <c r="BK864" s="28"/>
      <c r="BL864" s="304" t="str">
        <f t="shared" si="610"/>
        <v/>
      </c>
      <c r="BM864" s="304" t="str">
        <f t="shared" si="610"/>
        <v/>
      </c>
      <c r="BN864" s="28"/>
      <c r="BO864" s="304" t="str">
        <f t="shared" si="611"/>
        <v/>
      </c>
      <c r="BP864" s="304" t="str">
        <f t="shared" si="611"/>
        <v/>
      </c>
      <c r="BQ864" s="28"/>
      <c r="BR864" s="304" t="str">
        <f t="shared" si="612"/>
        <v/>
      </c>
      <c r="BS864" s="304" t="str">
        <f t="shared" si="612"/>
        <v/>
      </c>
      <c r="BT864" s="28"/>
      <c r="BU864" s="304" t="str">
        <f t="shared" si="613"/>
        <v/>
      </c>
      <c r="BV864" s="304" t="str">
        <f t="shared" si="613"/>
        <v/>
      </c>
      <c r="BW864" s="28"/>
      <c r="BX864" s="91"/>
    </row>
    <row r="865" spans="1:76" s="55" customFormat="1" x14ac:dyDescent="0.25">
      <c r="A865" s="195">
        <v>169</v>
      </c>
      <c r="B865" s="216" t="str">
        <f t="shared" si="599"/>
        <v>Middle East and Africa: FAO. 2017. Reducing Enteric Methane for improving food security and livelihoods</v>
      </c>
      <c r="C865" s="219" t="s">
        <v>488</v>
      </c>
      <c r="D865" s="379" t="s">
        <v>524</v>
      </c>
      <c r="E865" s="219" t="s">
        <v>99</v>
      </c>
      <c r="F865" s="330" t="s">
        <v>525</v>
      </c>
      <c r="G865" s="220" t="s">
        <v>26</v>
      </c>
      <c r="H865" s="221">
        <v>2017</v>
      </c>
      <c r="I865" s="240"/>
      <c r="J865" s="341">
        <v>21.1</v>
      </c>
      <c r="K865" s="380" t="s">
        <v>489</v>
      </c>
      <c r="L865" s="334">
        <f t="shared" si="615"/>
        <v>0.61321875000000003</v>
      </c>
      <c r="M865" s="335" t="str">
        <f>'[1]Advanced Controls'!$I$158</f>
        <v>t CH4-CO2eq per kg of protein</v>
      </c>
      <c r="N865" s="238"/>
      <c r="O865" s="227" t="s">
        <v>519</v>
      </c>
      <c r="P865" s="122"/>
      <c r="Q865" s="228"/>
      <c r="R865" s="231">
        <f t="shared" si="603"/>
        <v>0.61321875000000003</v>
      </c>
      <c r="S865" s="230">
        <f t="shared" si="600"/>
        <v>0.61321875000000003</v>
      </c>
      <c r="T865" s="231">
        <f t="shared" si="601"/>
        <v>0</v>
      </c>
      <c r="U865" s="232" t="str">
        <f t="shared" si="602"/>
        <v>t CH4-CO2eq per kg of protein</v>
      </c>
      <c r="V865" s="28"/>
      <c r="W865" s="28"/>
      <c r="Y865" s="91"/>
      <c r="AO865" s="91"/>
      <c r="AP865" s="28"/>
      <c r="AQ865" s="28"/>
      <c r="AR865" s="237"/>
      <c r="AS865" s="28"/>
      <c r="AT865" s="304" t="str">
        <f t="shared" si="614"/>
        <v/>
      </c>
      <c r="AU865" s="304" t="str">
        <f t="shared" si="614"/>
        <v/>
      </c>
      <c r="AV865" s="28"/>
      <c r="AW865" s="304" t="str">
        <f t="shared" si="605"/>
        <v/>
      </c>
      <c r="AX865" s="304" t="str">
        <f t="shared" si="605"/>
        <v/>
      </c>
      <c r="AY865" s="28"/>
      <c r="AZ865" s="304" t="str">
        <f t="shared" si="606"/>
        <v/>
      </c>
      <c r="BA865" s="304" t="str">
        <f t="shared" si="606"/>
        <v/>
      </c>
      <c r="BB865" s="28"/>
      <c r="BC865" s="304" t="str">
        <f t="shared" si="607"/>
        <v/>
      </c>
      <c r="BD865" s="304" t="str">
        <f t="shared" si="607"/>
        <v/>
      </c>
      <c r="BE865" s="28"/>
      <c r="BF865" s="304">
        <f t="shared" si="608"/>
        <v>0.61321875000000003</v>
      </c>
      <c r="BG865" s="304">
        <f t="shared" si="608"/>
        <v>0.61321875000000003</v>
      </c>
      <c r="BH865" s="28"/>
      <c r="BI865" s="304" t="str">
        <f t="shared" si="609"/>
        <v/>
      </c>
      <c r="BJ865" s="304" t="str">
        <f t="shared" si="609"/>
        <v/>
      </c>
      <c r="BK865" s="28"/>
      <c r="BL865" s="304" t="str">
        <f t="shared" si="610"/>
        <v/>
      </c>
      <c r="BM865" s="304" t="str">
        <f t="shared" si="610"/>
        <v/>
      </c>
      <c r="BN865" s="28"/>
      <c r="BO865" s="304" t="str">
        <f t="shared" si="611"/>
        <v/>
      </c>
      <c r="BP865" s="304" t="str">
        <f t="shared" si="611"/>
        <v/>
      </c>
      <c r="BQ865" s="28"/>
      <c r="BR865" s="304" t="str">
        <f t="shared" si="612"/>
        <v/>
      </c>
      <c r="BS865" s="304" t="str">
        <f t="shared" si="612"/>
        <v/>
      </c>
      <c r="BT865" s="28"/>
      <c r="BU865" s="304" t="str">
        <f t="shared" si="613"/>
        <v/>
      </c>
      <c r="BV865" s="304" t="str">
        <f t="shared" si="613"/>
        <v/>
      </c>
      <c r="BW865" s="28"/>
      <c r="BX865" s="91"/>
    </row>
    <row r="866" spans="1:76" s="55" customFormat="1" x14ac:dyDescent="0.25">
      <c r="A866" s="195">
        <v>170</v>
      </c>
      <c r="B866" s="216" t="str">
        <f t="shared" si="599"/>
        <v>Middle East and Africa: FAO. 2017. Reducing Enteric Methane for improving food security and livelihoods</v>
      </c>
      <c r="C866" s="219" t="s">
        <v>488</v>
      </c>
      <c r="D866" s="379" t="s">
        <v>524</v>
      </c>
      <c r="E866" s="219" t="s">
        <v>99</v>
      </c>
      <c r="F866" s="330" t="s">
        <v>525</v>
      </c>
      <c r="G866" s="220" t="s">
        <v>26</v>
      </c>
      <c r="H866" s="221">
        <v>2017</v>
      </c>
      <c r="I866" s="240"/>
      <c r="J866" s="341">
        <v>11.9</v>
      </c>
      <c r="K866" s="380" t="s">
        <v>489</v>
      </c>
      <c r="L866" s="334">
        <f t="shared" si="615"/>
        <v>0.34584375000000001</v>
      </c>
      <c r="M866" s="335" t="str">
        <f>'[1]Advanced Controls'!$I$158</f>
        <v>t CH4-CO2eq per kg of protein</v>
      </c>
      <c r="N866" s="238"/>
      <c r="O866" s="227" t="s">
        <v>518</v>
      </c>
      <c r="P866" s="122"/>
      <c r="Q866" s="228"/>
      <c r="R866" s="231">
        <f t="shared" si="603"/>
        <v>0.34584375000000001</v>
      </c>
      <c r="S866" s="230">
        <f t="shared" si="600"/>
        <v>0.34584375000000001</v>
      </c>
      <c r="T866" s="231">
        <f t="shared" si="601"/>
        <v>0</v>
      </c>
      <c r="U866" s="232" t="str">
        <f t="shared" si="602"/>
        <v>t CH4-CO2eq per kg of protein</v>
      </c>
      <c r="V866" s="28"/>
      <c r="W866" s="28"/>
      <c r="Y866" s="91"/>
      <c r="AO866" s="91"/>
      <c r="AP866" s="28"/>
      <c r="AQ866" s="28"/>
      <c r="AR866" s="237"/>
      <c r="AS866" s="28"/>
      <c r="AT866" s="304" t="str">
        <f t="shared" si="614"/>
        <v/>
      </c>
      <c r="AU866" s="304" t="str">
        <f t="shared" si="614"/>
        <v/>
      </c>
      <c r="AV866" s="28"/>
      <c r="AW866" s="304" t="str">
        <f t="shared" si="605"/>
        <v/>
      </c>
      <c r="AX866" s="304" t="str">
        <f t="shared" si="605"/>
        <v/>
      </c>
      <c r="AY866" s="28"/>
      <c r="AZ866" s="304" t="str">
        <f t="shared" si="606"/>
        <v/>
      </c>
      <c r="BA866" s="304" t="str">
        <f t="shared" si="606"/>
        <v/>
      </c>
      <c r="BB866" s="28"/>
      <c r="BC866" s="304" t="str">
        <f t="shared" si="607"/>
        <v/>
      </c>
      <c r="BD866" s="304" t="str">
        <f t="shared" si="607"/>
        <v/>
      </c>
      <c r="BE866" s="28"/>
      <c r="BF866" s="304">
        <f t="shared" si="608"/>
        <v>0.34584375000000001</v>
      </c>
      <c r="BG866" s="304">
        <f t="shared" si="608"/>
        <v>0.34584375000000001</v>
      </c>
      <c r="BH866" s="28"/>
      <c r="BI866" s="304" t="str">
        <f t="shared" si="609"/>
        <v/>
      </c>
      <c r="BJ866" s="304" t="str">
        <f t="shared" si="609"/>
        <v/>
      </c>
      <c r="BK866" s="28"/>
      <c r="BL866" s="304" t="str">
        <f t="shared" si="610"/>
        <v/>
      </c>
      <c r="BM866" s="304" t="str">
        <f t="shared" si="610"/>
        <v/>
      </c>
      <c r="BN866" s="28"/>
      <c r="BO866" s="304" t="str">
        <f t="shared" si="611"/>
        <v/>
      </c>
      <c r="BP866" s="304" t="str">
        <f t="shared" si="611"/>
        <v/>
      </c>
      <c r="BQ866" s="28"/>
      <c r="BR866" s="304" t="str">
        <f t="shared" si="612"/>
        <v/>
      </c>
      <c r="BS866" s="304" t="str">
        <f t="shared" si="612"/>
        <v/>
      </c>
      <c r="BT866" s="28"/>
      <c r="BU866" s="304" t="str">
        <f t="shared" si="613"/>
        <v/>
      </c>
      <c r="BV866" s="304" t="str">
        <f t="shared" si="613"/>
        <v/>
      </c>
      <c r="BW866" s="28"/>
      <c r="BX866" s="91"/>
    </row>
    <row r="867" spans="1:76" s="55" customFormat="1" x14ac:dyDescent="0.25">
      <c r="A867" s="195">
        <v>171</v>
      </c>
      <c r="B867" s="216" t="str">
        <f t="shared" si="599"/>
        <v>Middle East and Africa: FAO. 2017. Reducing Enteric Methane for improving food security and livelihoods</v>
      </c>
      <c r="C867" s="219" t="s">
        <v>488</v>
      </c>
      <c r="D867" s="379" t="s">
        <v>524</v>
      </c>
      <c r="E867" s="219" t="s">
        <v>99</v>
      </c>
      <c r="F867" s="330" t="s">
        <v>525</v>
      </c>
      <c r="G867" s="220" t="s">
        <v>26</v>
      </c>
      <c r="H867" s="221">
        <v>2017</v>
      </c>
      <c r="I867" s="240"/>
      <c r="J867" s="341">
        <v>21.1</v>
      </c>
      <c r="K867" s="380" t="s">
        <v>489</v>
      </c>
      <c r="L867" s="334">
        <f t="shared" si="615"/>
        <v>0.61321875000000003</v>
      </c>
      <c r="M867" s="335" t="str">
        <f>'[1]Advanced Controls'!$I$158</f>
        <v>t CH4-CO2eq per kg of protein</v>
      </c>
      <c r="N867" s="238"/>
      <c r="O867" s="227" t="s">
        <v>519</v>
      </c>
      <c r="P867" s="122"/>
      <c r="Q867" s="228"/>
      <c r="R867" s="231">
        <f t="shared" si="603"/>
        <v>0.61321875000000003</v>
      </c>
      <c r="S867" s="230">
        <f t="shared" si="600"/>
        <v>0.61321875000000003</v>
      </c>
      <c r="T867" s="231">
        <f t="shared" si="601"/>
        <v>0</v>
      </c>
      <c r="U867" s="232" t="str">
        <f t="shared" si="602"/>
        <v>t CH4-CO2eq per kg of protein</v>
      </c>
      <c r="V867" s="28"/>
      <c r="W867" s="28"/>
      <c r="Y867" s="91"/>
      <c r="AO867" s="91"/>
      <c r="AP867" s="28"/>
      <c r="AQ867" s="28"/>
      <c r="AR867" s="237"/>
      <c r="AS867" s="28"/>
      <c r="AT867" s="304" t="str">
        <f t="shared" si="614"/>
        <v/>
      </c>
      <c r="AU867" s="304" t="str">
        <f t="shared" si="614"/>
        <v/>
      </c>
      <c r="AV867" s="28"/>
      <c r="AW867" s="304" t="str">
        <f t="shared" si="605"/>
        <v/>
      </c>
      <c r="AX867" s="304" t="str">
        <f t="shared" si="605"/>
        <v/>
      </c>
      <c r="AY867" s="28"/>
      <c r="AZ867" s="304" t="str">
        <f t="shared" si="606"/>
        <v/>
      </c>
      <c r="BA867" s="304" t="str">
        <f t="shared" si="606"/>
        <v/>
      </c>
      <c r="BB867" s="28"/>
      <c r="BC867" s="304" t="str">
        <f t="shared" si="607"/>
        <v/>
      </c>
      <c r="BD867" s="304" t="str">
        <f t="shared" si="607"/>
        <v/>
      </c>
      <c r="BE867" s="28"/>
      <c r="BF867" s="304">
        <f t="shared" si="608"/>
        <v>0.61321875000000003</v>
      </c>
      <c r="BG867" s="304">
        <f t="shared" si="608"/>
        <v>0.61321875000000003</v>
      </c>
      <c r="BH867" s="28"/>
      <c r="BI867" s="304" t="str">
        <f t="shared" si="609"/>
        <v/>
      </c>
      <c r="BJ867" s="304" t="str">
        <f t="shared" si="609"/>
        <v/>
      </c>
      <c r="BK867" s="28"/>
      <c r="BL867" s="304" t="str">
        <f t="shared" si="610"/>
        <v/>
      </c>
      <c r="BM867" s="304" t="str">
        <f t="shared" si="610"/>
        <v/>
      </c>
      <c r="BN867" s="28"/>
      <c r="BO867" s="304" t="str">
        <f t="shared" si="611"/>
        <v/>
      </c>
      <c r="BP867" s="304" t="str">
        <f t="shared" si="611"/>
        <v/>
      </c>
      <c r="BQ867" s="28"/>
      <c r="BR867" s="304" t="str">
        <f t="shared" si="612"/>
        <v/>
      </c>
      <c r="BS867" s="304" t="str">
        <f t="shared" si="612"/>
        <v/>
      </c>
      <c r="BT867" s="28"/>
      <c r="BU867" s="304" t="str">
        <f t="shared" si="613"/>
        <v/>
      </c>
      <c r="BV867" s="304" t="str">
        <f t="shared" si="613"/>
        <v/>
      </c>
      <c r="BW867" s="28"/>
      <c r="BX867" s="91"/>
    </row>
    <row r="868" spans="1:76" s="55" customFormat="1" x14ac:dyDescent="0.25">
      <c r="A868" s="195">
        <v>172</v>
      </c>
      <c r="B868" s="216" t="str">
        <f t="shared" si="599"/>
        <v>Middle East and Africa: FAO. 2017. Reducing Enteric Methane for improving food security and livelihoods</v>
      </c>
      <c r="C868" s="219" t="s">
        <v>488</v>
      </c>
      <c r="D868" s="379" t="s">
        <v>524</v>
      </c>
      <c r="E868" s="219" t="s">
        <v>99</v>
      </c>
      <c r="F868" s="330" t="s">
        <v>525</v>
      </c>
      <c r="G868" s="220" t="s">
        <v>26</v>
      </c>
      <c r="H868" s="221">
        <v>2017</v>
      </c>
      <c r="I868" s="240"/>
      <c r="J868" s="341">
        <v>11.9</v>
      </c>
      <c r="K868" s="380" t="s">
        <v>489</v>
      </c>
      <c r="L868" s="334">
        <f t="shared" si="615"/>
        <v>0.34584375000000001</v>
      </c>
      <c r="M868" s="335" t="str">
        <f>'[1]Advanced Controls'!$I$158</f>
        <v>t CH4-CO2eq per kg of protein</v>
      </c>
      <c r="N868" s="238"/>
      <c r="O868" s="227" t="s">
        <v>518</v>
      </c>
      <c r="P868" s="122"/>
      <c r="Q868" s="228"/>
      <c r="R868" s="231">
        <f t="shared" si="603"/>
        <v>0.34584375000000001</v>
      </c>
      <c r="S868" s="230">
        <f t="shared" si="600"/>
        <v>0.34584375000000001</v>
      </c>
      <c r="T868" s="231">
        <f t="shared" si="601"/>
        <v>0</v>
      </c>
      <c r="U868" s="232" t="str">
        <f t="shared" si="602"/>
        <v>t CH4-CO2eq per kg of protein</v>
      </c>
      <c r="V868" s="28"/>
      <c r="W868" s="28"/>
      <c r="Y868" s="91"/>
      <c r="AO868" s="91"/>
      <c r="AP868" s="28"/>
      <c r="AQ868" s="28"/>
      <c r="AR868" s="237"/>
      <c r="AS868" s="28"/>
      <c r="AT868" s="304" t="str">
        <f t="shared" si="614"/>
        <v/>
      </c>
      <c r="AU868" s="304" t="str">
        <f t="shared" si="614"/>
        <v/>
      </c>
      <c r="AV868" s="28"/>
      <c r="AW868" s="304" t="str">
        <f t="shared" si="605"/>
        <v/>
      </c>
      <c r="AX868" s="304" t="str">
        <f t="shared" si="605"/>
        <v/>
      </c>
      <c r="AY868" s="28"/>
      <c r="AZ868" s="304" t="str">
        <f t="shared" si="606"/>
        <v/>
      </c>
      <c r="BA868" s="304" t="str">
        <f t="shared" si="606"/>
        <v/>
      </c>
      <c r="BB868" s="28"/>
      <c r="BC868" s="304" t="str">
        <f t="shared" si="607"/>
        <v/>
      </c>
      <c r="BD868" s="304" t="str">
        <f t="shared" si="607"/>
        <v/>
      </c>
      <c r="BE868" s="28"/>
      <c r="BF868" s="304">
        <f t="shared" si="608"/>
        <v>0.34584375000000001</v>
      </c>
      <c r="BG868" s="304">
        <f t="shared" si="608"/>
        <v>0.34584375000000001</v>
      </c>
      <c r="BH868" s="28"/>
      <c r="BI868" s="304" t="str">
        <f t="shared" si="609"/>
        <v/>
      </c>
      <c r="BJ868" s="304" t="str">
        <f t="shared" si="609"/>
        <v/>
      </c>
      <c r="BK868" s="28"/>
      <c r="BL868" s="304" t="str">
        <f t="shared" si="610"/>
        <v/>
      </c>
      <c r="BM868" s="304" t="str">
        <f t="shared" si="610"/>
        <v/>
      </c>
      <c r="BN868" s="28"/>
      <c r="BO868" s="304" t="str">
        <f t="shared" si="611"/>
        <v/>
      </c>
      <c r="BP868" s="304" t="str">
        <f t="shared" si="611"/>
        <v/>
      </c>
      <c r="BQ868" s="28"/>
      <c r="BR868" s="304" t="str">
        <f t="shared" si="612"/>
        <v/>
      </c>
      <c r="BS868" s="304" t="str">
        <f t="shared" si="612"/>
        <v/>
      </c>
      <c r="BT868" s="28"/>
      <c r="BU868" s="304" t="str">
        <f t="shared" si="613"/>
        <v/>
      </c>
      <c r="BV868" s="304" t="str">
        <f t="shared" si="613"/>
        <v/>
      </c>
      <c r="BW868" s="28"/>
      <c r="BX868" s="91"/>
    </row>
    <row r="869" spans="1:76" s="55" customFormat="1" x14ac:dyDescent="0.25">
      <c r="A869" s="195">
        <v>173</v>
      </c>
      <c r="B869" s="216" t="str">
        <f t="shared" si="599"/>
        <v>Middle East and Africa: FAO. 2017. Reducing Enteric Methane for improving food security and livelihoods</v>
      </c>
      <c r="C869" s="219" t="s">
        <v>488</v>
      </c>
      <c r="D869" s="379" t="s">
        <v>526</v>
      </c>
      <c r="E869" s="219" t="s">
        <v>99</v>
      </c>
      <c r="F869" s="330" t="s">
        <v>527</v>
      </c>
      <c r="G869" s="220" t="s">
        <v>26</v>
      </c>
      <c r="H869" s="221">
        <v>2017</v>
      </c>
      <c r="I869" s="240"/>
      <c r="J869" s="341">
        <v>30.7</v>
      </c>
      <c r="K869" s="380" t="s">
        <v>489</v>
      </c>
      <c r="L869" s="334">
        <f t="shared" si="615"/>
        <v>0.89221875000000006</v>
      </c>
      <c r="M869" s="335" t="str">
        <f>'[1]Advanced Controls'!$I$158</f>
        <v>t CH4-CO2eq per kg of protein</v>
      </c>
      <c r="N869" s="238"/>
      <c r="O869" s="227" t="s">
        <v>518</v>
      </c>
      <c r="P869" s="122"/>
      <c r="Q869" s="228"/>
      <c r="R869" s="231">
        <f t="shared" si="603"/>
        <v>0.89221875000000006</v>
      </c>
      <c r="S869" s="230">
        <f t="shared" si="600"/>
        <v>0.89221875000000006</v>
      </c>
      <c r="T869" s="231">
        <f t="shared" si="601"/>
        <v>0</v>
      </c>
      <c r="U869" s="232" t="str">
        <f t="shared" si="602"/>
        <v>t CH4-CO2eq per kg of protein</v>
      </c>
      <c r="V869" s="28"/>
      <c r="W869" s="28"/>
      <c r="Y869" s="91"/>
      <c r="AO869" s="91"/>
      <c r="AP869" s="28"/>
      <c r="AQ869" s="28"/>
      <c r="AR869" s="237"/>
      <c r="AS869" s="28"/>
      <c r="AT869" s="304" t="str">
        <f t="shared" si="614"/>
        <v/>
      </c>
      <c r="AU869" s="304" t="str">
        <f t="shared" si="614"/>
        <v/>
      </c>
      <c r="AV869" s="28"/>
      <c r="AW869" s="304" t="str">
        <f t="shared" si="605"/>
        <v/>
      </c>
      <c r="AX869" s="304" t="str">
        <f t="shared" si="605"/>
        <v/>
      </c>
      <c r="AY869" s="28"/>
      <c r="AZ869" s="304" t="str">
        <f t="shared" si="606"/>
        <v/>
      </c>
      <c r="BA869" s="304" t="str">
        <f t="shared" si="606"/>
        <v/>
      </c>
      <c r="BB869" s="28"/>
      <c r="BC869" s="304" t="str">
        <f t="shared" si="607"/>
        <v/>
      </c>
      <c r="BD869" s="304" t="str">
        <f t="shared" si="607"/>
        <v/>
      </c>
      <c r="BE869" s="28"/>
      <c r="BF869" s="304">
        <f t="shared" si="608"/>
        <v>0.89221875000000006</v>
      </c>
      <c r="BG869" s="304">
        <f t="shared" si="608"/>
        <v>0.89221875000000006</v>
      </c>
      <c r="BH869" s="28"/>
      <c r="BI869" s="304" t="str">
        <f t="shared" si="609"/>
        <v/>
      </c>
      <c r="BJ869" s="304" t="str">
        <f t="shared" si="609"/>
        <v/>
      </c>
      <c r="BK869" s="28"/>
      <c r="BL869" s="304" t="str">
        <f t="shared" si="610"/>
        <v/>
      </c>
      <c r="BM869" s="304" t="str">
        <f t="shared" si="610"/>
        <v/>
      </c>
      <c r="BN869" s="28"/>
      <c r="BO869" s="304" t="str">
        <f t="shared" si="611"/>
        <v/>
      </c>
      <c r="BP869" s="304" t="str">
        <f t="shared" si="611"/>
        <v/>
      </c>
      <c r="BQ869" s="28"/>
      <c r="BR869" s="304" t="str">
        <f t="shared" si="612"/>
        <v/>
      </c>
      <c r="BS869" s="304" t="str">
        <f t="shared" si="612"/>
        <v/>
      </c>
      <c r="BT869" s="28"/>
      <c r="BU869" s="304" t="str">
        <f t="shared" si="613"/>
        <v/>
      </c>
      <c r="BV869" s="304" t="str">
        <f t="shared" si="613"/>
        <v/>
      </c>
      <c r="BW869" s="28"/>
      <c r="BX869" s="91"/>
    </row>
    <row r="870" spans="1:76" s="55" customFormat="1" x14ac:dyDescent="0.25">
      <c r="A870" s="195">
        <v>174</v>
      </c>
      <c r="B870" s="216" t="str">
        <f t="shared" si="599"/>
        <v>Middle East and Africa: FAO. 2017. Reducing Enteric Methane for improving food security and livelihoods</v>
      </c>
      <c r="C870" s="219" t="s">
        <v>488</v>
      </c>
      <c r="D870" s="379" t="s">
        <v>526</v>
      </c>
      <c r="E870" s="219" t="s">
        <v>99</v>
      </c>
      <c r="F870" s="330" t="s">
        <v>527</v>
      </c>
      <c r="G870" s="220" t="s">
        <v>26</v>
      </c>
      <c r="H870" s="221">
        <v>2017</v>
      </c>
      <c r="I870" s="240"/>
      <c r="J870" s="341">
        <v>44.1</v>
      </c>
      <c r="K870" s="380" t="s">
        <v>489</v>
      </c>
      <c r="L870" s="334">
        <f t="shared" si="615"/>
        <v>1.2816562500000002</v>
      </c>
      <c r="M870" s="335" t="str">
        <f>'[1]Advanced Controls'!$I$158</f>
        <v>t CH4-CO2eq per kg of protein</v>
      </c>
      <c r="N870" s="238"/>
      <c r="O870" s="227" t="s">
        <v>519</v>
      </c>
      <c r="P870" s="122"/>
      <c r="Q870" s="228"/>
      <c r="R870" s="231">
        <f t="shared" si="603"/>
        <v>1.2816562500000002</v>
      </c>
      <c r="S870" s="230">
        <f t="shared" si="600"/>
        <v>1.2816562500000002</v>
      </c>
      <c r="T870" s="231">
        <f t="shared" si="601"/>
        <v>0</v>
      </c>
      <c r="U870" s="232" t="str">
        <f t="shared" si="602"/>
        <v>t CH4-CO2eq per kg of protein</v>
      </c>
      <c r="V870" s="28"/>
      <c r="W870" s="28"/>
      <c r="Y870" s="91"/>
      <c r="AO870" s="91"/>
      <c r="AP870" s="28"/>
      <c r="AQ870" s="28"/>
      <c r="AR870" s="237"/>
      <c r="AS870" s="28"/>
      <c r="AT870" s="304" t="str">
        <f t="shared" si="614"/>
        <v/>
      </c>
      <c r="AU870" s="304" t="str">
        <f t="shared" si="614"/>
        <v/>
      </c>
      <c r="AV870" s="28"/>
      <c r="AW870" s="304" t="str">
        <f t="shared" si="605"/>
        <v/>
      </c>
      <c r="AX870" s="304" t="str">
        <f t="shared" si="605"/>
        <v/>
      </c>
      <c r="AY870" s="28"/>
      <c r="AZ870" s="304" t="str">
        <f t="shared" si="606"/>
        <v/>
      </c>
      <c r="BA870" s="304" t="str">
        <f t="shared" si="606"/>
        <v/>
      </c>
      <c r="BB870" s="28"/>
      <c r="BC870" s="304" t="str">
        <f t="shared" si="607"/>
        <v/>
      </c>
      <c r="BD870" s="304" t="str">
        <f t="shared" si="607"/>
        <v/>
      </c>
      <c r="BE870" s="28"/>
      <c r="BF870" s="304">
        <f t="shared" si="608"/>
        <v>1.2816562500000002</v>
      </c>
      <c r="BG870" s="304">
        <f t="shared" si="608"/>
        <v>1.2816562500000002</v>
      </c>
      <c r="BH870" s="28"/>
      <c r="BI870" s="304" t="str">
        <f t="shared" si="609"/>
        <v/>
      </c>
      <c r="BJ870" s="304" t="str">
        <f t="shared" si="609"/>
        <v/>
      </c>
      <c r="BK870" s="28"/>
      <c r="BL870" s="304" t="str">
        <f t="shared" si="610"/>
        <v/>
      </c>
      <c r="BM870" s="304" t="str">
        <f t="shared" si="610"/>
        <v/>
      </c>
      <c r="BN870" s="28"/>
      <c r="BO870" s="304" t="str">
        <f t="shared" si="611"/>
        <v/>
      </c>
      <c r="BP870" s="304" t="str">
        <f t="shared" si="611"/>
        <v/>
      </c>
      <c r="BQ870" s="28"/>
      <c r="BR870" s="304" t="str">
        <f t="shared" si="612"/>
        <v/>
      </c>
      <c r="BS870" s="304" t="str">
        <f t="shared" si="612"/>
        <v/>
      </c>
      <c r="BT870" s="28"/>
      <c r="BU870" s="304" t="str">
        <f t="shared" si="613"/>
        <v/>
      </c>
      <c r="BV870" s="304" t="str">
        <f t="shared" si="613"/>
        <v/>
      </c>
      <c r="BW870" s="28"/>
      <c r="BX870" s="91"/>
    </row>
    <row r="871" spans="1:76" s="55" customFormat="1" x14ac:dyDescent="0.25">
      <c r="A871" s="195">
        <v>175</v>
      </c>
      <c r="B871" s="216" t="str">
        <f t="shared" si="599"/>
        <v>Middle East and Africa: FAO. 2017. Reducing Enteric Methane for improving food security and livelihoods</v>
      </c>
      <c r="C871" s="219" t="s">
        <v>488</v>
      </c>
      <c r="D871" s="379" t="s">
        <v>526</v>
      </c>
      <c r="E871" s="219" t="s">
        <v>99</v>
      </c>
      <c r="F871" s="330" t="s">
        <v>527</v>
      </c>
      <c r="G871" s="220" t="s">
        <v>26</v>
      </c>
      <c r="H871" s="221">
        <v>2017</v>
      </c>
      <c r="I871" s="240"/>
      <c r="J871" s="341">
        <v>30.7</v>
      </c>
      <c r="K871" s="380" t="s">
        <v>489</v>
      </c>
      <c r="L871" s="334">
        <f t="shared" si="615"/>
        <v>0.89221875000000006</v>
      </c>
      <c r="M871" s="335" t="str">
        <f>'[1]Advanced Controls'!$I$158</f>
        <v>t CH4-CO2eq per kg of protein</v>
      </c>
      <c r="N871" s="238"/>
      <c r="O871" s="227" t="s">
        <v>518</v>
      </c>
      <c r="P871" s="122"/>
      <c r="Q871" s="228"/>
      <c r="R871" s="231">
        <f t="shared" si="603"/>
        <v>0.89221875000000006</v>
      </c>
      <c r="S871" s="230">
        <f t="shared" si="600"/>
        <v>0.89221875000000006</v>
      </c>
      <c r="T871" s="231">
        <f t="shared" si="601"/>
        <v>0</v>
      </c>
      <c r="U871" s="232" t="str">
        <f t="shared" si="602"/>
        <v>t CH4-CO2eq per kg of protein</v>
      </c>
      <c r="V871" s="28"/>
      <c r="W871" s="28"/>
      <c r="Y871" s="91"/>
      <c r="AO871" s="91"/>
      <c r="AP871" s="28"/>
      <c r="AQ871" s="28"/>
      <c r="AR871" s="237"/>
      <c r="AS871" s="28"/>
      <c r="AT871" s="304" t="str">
        <f t="shared" si="614"/>
        <v/>
      </c>
      <c r="AU871" s="304" t="str">
        <f t="shared" si="614"/>
        <v/>
      </c>
      <c r="AV871" s="28"/>
      <c r="AW871" s="304" t="str">
        <f t="shared" si="605"/>
        <v/>
      </c>
      <c r="AX871" s="304" t="str">
        <f t="shared" si="605"/>
        <v/>
      </c>
      <c r="AY871" s="28"/>
      <c r="AZ871" s="304" t="str">
        <f t="shared" si="606"/>
        <v/>
      </c>
      <c r="BA871" s="304" t="str">
        <f t="shared" si="606"/>
        <v/>
      </c>
      <c r="BB871" s="28"/>
      <c r="BC871" s="304" t="str">
        <f t="shared" si="607"/>
        <v/>
      </c>
      <c r="BD871" s="304" t="str">
        <f t="shared" si="607"/>
        <v/>
      </c>
      <c r="BE871" s="28"/>
      <c r="BF871" s="304">
        <f t="shared" si="608"/>
        <v>0.89221875000000006</v>
      </c>
      <c r="BG871" s="304">
        <f t="shared" si="608"/>
        <v>0.89221875000000006</v>
      </c>
      <c r="BH871" s="28"/>
      <c r="BI871" s="304" t="str">
        <f t="shared" si="609"/>
        <v/>
      </c>
      <c r="BJ871" s="304" t="str">
        <f t="shared" si="609"/>
        <v/>
      </c>
      <c r="BK871" s="28"/>
      <c r="BL871" s="304" t="str">
        <f t="shared" si="610"/>
        <v/>
      </c>
      <c r="BM871" s="304" t="str">
        <f t="shared" si="610"/>
        <v/>
      </c>
      <c r="BN871" s="28"/>
      <c r="BO871" s="304" t="str">
        <f t="shared" si="611"/>
        <v/>
      </c>
      <c r="BP871" s="304" t="str">
        <f t="shared" si="611"/>
        <v/>
      </c>
      <c r="BQ871" s="28"/>
      <c r="BR871" s="304" t="str">
        <f t="shared" si="612"/>
        <v/>
      </c>
      <c r="BS871" s="304" t="str">
        <f t="shared" si="612"/>
        <v/>
      </c>
      <c r="BT871" s="28"/>
      <c r="BU871" s="304" t="str">
        <f t="shared" si="613"/>
        <v/>
      </c>
      <c r="BV871" s="304" t="str">
        <f t="shared" si="613"/>
        <v/>
      </c>
      <c r="BW871" s="28"/>
      <c r="BX871" s="91"/>
    </row>
    <row r="872" spans="1:76" s="55" customFormat="1" x14ac:dyDescent="0.25">
      <c r="A872" s="195">
        <v>176</v>
      </c>
      <c r="B872" s="216" t="str">
        <f t="shared" si="599"/>
        <v>Middle East and Africa: FAO. 2017. Reducing Enteric Methane for improving food security and livelihoods</v>
      </c>
      <c r="C872" s="219" t="s">
        <v>488</v>
      </c>
      <c r="D872" s="379" t="s">
        <v>526</v>
      </c>
      <c r="E872" s="219" t="s">
        <v>99</v>
      </c>
      <c r="F872" s="330" t="s">
        <v>527</v>
      </c>
      <c r="G872" s="220" t="s">
        <v>26</v>
      </c>
      <c r="H872" s="221">
        <v>2017</v>
      </c>
      <c r="I872" s="240"/>
      <c r="J872" s="341">
        <v>44.1</v>
      </c>
      <c r="K872" s="380" t="s">
        <v>489</v>
      </c>
      <c r="L872" s="334">
        <f t="shared" si="615"/>
        <v>1.2816562500000002</v>
      </c>
      <c r="M872" s="335" t="str">
        <f>'[1]Advanced Controls'!$I$158</f>
        <v>t CH4-CO2eq per kg of protein</v>
      </c>
      <c r="N872" s="238"/>
      <c r="O872" s="227" t="s">
        <v>519</v>
      </c>
      <c r="P872" s="122"/>
      <c r="Q872" s="228"/>
      <c r="R872" s="231">
        <f t="shared" si="603"/>
        <v>1.2816562500000002</v>
      </c>
      <c r="S872" s="230">
        <f t="shared" si="600"/>
        <v>1.2816562500000002</v>
      </c>
      <c r="T872" s="231">
        <f t="shared" si="601"/>
        <v>0</v>
      </c>
      <c r="U872" s="232" t="str">
        <f t="shared" si="602"/>
        <v>t CH4-CO2eq per kg of protein</v>
      </c>
      <c r="V872" s="28"/>
      <c r="W872" s="28"/>
      <c r="Y872" s="91"/>
      <c r="AO872" s="91"/>
      <c r="AP872" s="28"/>
      <c r="AQ872" s="28"/>
      <c r="AR872" s="237"/>
      <c r="AS872" s="28"/>
      <c r="AT872" s="304" t="str">
        <f t="shared" si="614"/>
        <v/>
      </c>
      <c r="AU872" s="304" t="str">
        <f t="shared" si="614"/>
        <v/>
      </c>
      <c r="AV872" s="28"/>
      <c r="AW872" s="304" t="str">
        <f t="shared" si="605"/>
        <v/>
      </c>
      <c r="AX872" s="304" t="str">
        <f t="shared" si="605"/>
        <v/>
      </c>
      <c r="AY872" s="28"/>
      <c r="AZ872" s="304" t="str">
        <f t="shared" si="606"/>
        <v/>
      </c>
      <c r="BA872" s="304" t="str">
        <f t="shared" si="606"/>
        <v/>
      </c>
      <c r="BB872" s="28"/>
      <c r="BC872" s="304" t="str">
        <f t="shared" si="607"/>
        <v/>
      </c>
      <c r="BD872" s="304" t="str">
        <f t="shared" si="607"/>
        <v/>
      </c>
      <c r="BE872" s="28"/>
      <c r="BF872" s="304">
        <f t="shared" si="608"/>
        <v>1.2816562500000002</v>
      </c>
      <c r="BG872" s="304">
        <f t="shared" si="608"/>
        <v>1.2816562500000002</v>
      </c>
      <c r="BH872" s="28"/>
      <c r="BI872" s="304" t="str">
        <f t="shared" si="609"/>
        <v/>
      </c>
      <c r="BJ872" s="304" t="str">
        <f t="shared" si="609"/>
        <v/>
      </c>
      <c r="BK872" s="28"/>
      <c r="BL872" s="304" t="str">
        <f t="shared" si="610"/>
        <v/>
      </c>
      <c r="BM872" s="304" t="str">
        <f t="shared" si="610"/>
        <v/>
      </c>
      <c r="BN872" s="28"/>
      <c r="BO872" s="304" t="str">
        <f t="shared" si="611"/>
        <v/>
      </c>
      <c r="BP872" s="304" t="str">
        <f t="shared" si="611"/>
        <v/>
      </c>
      <c r="BQ872" s="28"/>
      <c r="BR872" s="304" t="str">
        <f t="shared" si="612"/>
        <v/>
      </c>
      <c r="BS872" s="304" t="str">
        <f t="shared" si="612"/>
        <v/>
      </c>
      <c r="BT872" s="28"/>
      <c r="BU872" s="304" t="str">
        <f t="shared" si="613"/>
        <v/>
      </c>
      <c r="BV872" s="304" t="str">
        <f t="shared" si="613"/>
        <v/>
      </c>
      <c r="BW872" s="28"/>
      <c r="BX872" s="91"/>
    </row>
    <row r="873" spans="1:76" s="55" customFormat="1" x14ac:dyDescent="0.25">
      <c r="A873" s="195">
        <v>177</v>
      </c>
      <c r="B873" s="216" t="str">
        <f t="shared" si="599"/>
        <v>Middle East and Africa: FAO. 2017. Reducing Enteric Methane for improving food security and livelihoods</v>
      </c>
      <c r="C873" s="219" t="s">
        <v>488</v>
      </c>
      <c r="D873" s="379" t="s">
        <v>526</v>
      </c>
      <c r="E873" s="219" t="s">
        <v>99</v>
      </c>
      <c r="F873" s="330" t="s">
        <v>527</v>
      </c>
      <c r="G873" s="220" t="s">
        <v>26</v>
      </c>
      <c r="H873" s="221">
        <v>2017</v>
      </c>
      <c r="I873" s="240"/>
      <c r="J873" s="341">
        <v>30.7</v>
      </c>
      <c r="K873" s="380" t="s">
        <v>489</v>
      </c>
      <c r="L873" s="334">
        <f t="shared" si="615"/>
        <v>0.89221875000000006</v>
      </c>
      <c r="M873" s="335" t="str">
        <f>'[1]Advanced Controls'!$I$158</f>
        <v>t CH4-CO2eq per kg of protein</v>
      </c>
      <c r="N873" s="238"/>
      <c r="O873" s="227" t="s">
        <v>518</v>
      </c>
      <c r="P873" s="122"/>
      <c r="Q873" s="228"/>
      <c r="R873" s="231">
        <f t="shared" si="603"/>
        <v>0.89221875000000006</v>
      </c>
      <c r="S873" s="230">
        <f t="shared" si="600"/>
        <v>0.89221875000000006</v>
      </c>
      <c r="T873" s="231">
        <f t="shared" si="601"/>
        <v>0</v>
      </c>
      <c r="U873" s="232" t="str">
        <f t="shared" si="602"/>
        <v>t CH4-CO2eq per kg of protein</v>
      </c>
      <c r="V873" s="28"/>
      <c r="W873" s="28"/>
      <c r="Y873" s="91"/>
      <c r="AO873" s="91"/>
      <c r="AP873" s="28"/>
      <c r="AQ873" s="28"/>
      <c r="AR873" s="237"/>
      <c r="AS873" s="28"/>
      <c r="AT873" s="304" t="str">
        <f t="shared" si="614"/>
        <v/>
      </c>
      <c r="AU873" s="304" t="str">
        <f t="shared" si="614"/>
        <v/>
      </c>
      <c r="AV873" s="28"/>
      <c r="AW873" s="304" t="str">
        <f t="shared" si="605"/>
        <v/>
      </c>
      <c r="AX873" s="304" t="str">
        <f t="shared" si="605"/>
        <v/>
      </c>
      <c r="AY873" s="28"/>
      <c r="AZ873" s="304" t="str">
        <f t="shared" si="606"/>
        <v/>
      </c>
      <c r="BA873" s="304" t="str">
        <f t="shared" si="606"/>
        <v/>
      </c>
      <c r="BB873" s="28"/>
      <c r="BC873" s="304" t="str">
        <f t="shared" si="607"/>
        <v/>
      </c>
      <c r="BD873" s="304" t="str">
        <f t="shared" si="607"/>
        <v/>
      </c>
      <c r="BE873" s="28"/>
      <c r="BF873" s="304">
        <f t="shared" si="608"/>
        <v>0.89221875000000006</v>
      </c>
      <c r="BG873" s="304">
        <f t="shared" si="608"/>
        <v>0.89221875000000006</v>
      </c>
      <c r="BH873" s="28"/>
      <c r="BI873" s="304" t="str">
        <f t="shared" si="609"/>
        <v/>
      </c>
      <c r="BJ873" s="304" t="str">
        <f t="shared" si="609"/>
        <v/>
      </c>
      <c r="BK873" s="28"/>
      <c r="BL873" s="304" t="str">
        <f t="shared" si="610"/>
        <v/>
      </c>
      <c r="BM873" s="304" t="str">
        <f t="shared" si="610"/>
        <v/>
      </c>
      <c r="BN873" s="28"/>
      <c r="BO873" s="304" t="str">
        <f t="shared" si="611"/>
        <v/>
      </c>
      <c r="BP873" s="304" t="str">
        <f t="shared" si="611"/>
        <v/>
      </c>
      <c r="BQ873" s="28"/>
      <c r="BR873" s="304" t="str">
        <f t="shared" si="612"/>
        <v/>
      </c>
      <c r="BS873" s="304" t="str">
        <f t="shared" si="612"/>
        <v/>
      </c>
      <c r="BT873" s="28"/>
      <c r="BU873" s="304" t="str">
        <f t="shared" si="613"/>
        <v/>
      </c>
      <c r="BV873" s="304" t="str">
        <f t="shared" si="613"/>
        <v/>
      </c>
      <c r="BW873" s="28"/>
      <c r="BX873" s="91"/>
    </row>
    <row r="874" spans="1:76" s="55" customFormat="1" x14ac:dyDescent="0.25">
      <c r="A874" s="195">
        <v>178</v>
      </c>
      <c r="B874" s="216" t="str">
        <f t="shared" si="599"/>
        <v>Latin America: FAO. 2017. Reducing Enteric Methane for improving food security and livelihoods</v>
      </c>
      <c r="C874" s="219" t="s">
        <v>488</v>
      </c>
      <c r="D874" s="379" t="s">
        <v>228</v>
      </c>
      <c r="E874" s="329" t="s">
        <v>100</v>
      </c>
      <c r="F874" s="341" t="s">
        <v>190</v>
      </c>
      <c r="G874" s="220" t="s">
        <v>26</v>
      </c>
      <c r="H874" s="221">
        <v>2017</v>
      </c>
      <c r="I874" s="240"/>
      <c r="J874" s="341">
        <v>30</v>
      </c>
      <c r="K874" s="380" t="s">
        <v>528</v>
      </c>
      <c r="L874" s="334">
        <f t="shared" ref="L874:L886" si="616">J874*0.001/0.083*0.62</f>
        <v>0.22409638554216862</v>
      </c>
      <c r="M874" s="335" t="str">
        <f>'[1]Advanced Controls'!$I$158</f>
        <v>t CH4-CO2eq per kg of protein</v>
      </c>
      <c r="N874" s="238"/>
      <c r="O874" s="227" t="s">
        <v>529</v>
      </c>
      <c r="P874" s="122"/>
      <c r="Q874" s="228"/>
      <c r="R874" s="231">
        <f t="shared" si="603"/>
        <v>0.22409638554216862</v>
      </c>
      <c r="S874" s="230">
        <f t="shared" si="600"/>
        <v>0.22409638554216862</v>
      </c>
      <c r="T874" s="231">
        <f t="shared" si="601"/>
        <v>0</v>
      </c>
      <c r="U874" s="232" t="str">
        <f t="shared" si="602"/>
        <v>t CH4-CO2eq per kg of protein</v>
      </c>
      <c r="V874" s="28"/>
      <c r="W874" s="28"/>
      <c r="Y874" s="91"/>
      <c r="AO874" s="91"/>
      <c r="AP874" s="28"/>
      <c r="AQ874" s="28"/>
      <c r="AR874" s="237"/>
      <c r="AS874" s="28"/>
      <c r="AT874" s="304" t="str">
        <f t="shared" si="614"/>
        <v/>
      </c>
      <c r="AU874" s="304" t="str">
        <f t="shared" si="614"/>
        <v/>
      </c>
      <c r="AV874" s="28"/>
      <c r="AW874" s="304" t="str">
        <f t="shared" si="605"/>
        <v/>
      </c>
      <c r="AX874" s="304" t="str">
        <f t="shared" si="605"/>
        <v/>
      </c>
      <c r="AY874" s="28"/>
      <c r="AZ874" s="304" t="str">
        <f t="shared" si="606"/>
        <v/>
      </c>
      <c r="BA874" s="304" t="str">
        <f t="shared" si="606"/>
        <v/>
      </c>
      <c r="BB874" s="28"/>
      <c r="BC874" s="304" t="str">
        <f t="shared" si="607"/>
        <v/>
      </c>
      <c r="BD874" s="304" t="str">
        <f t="shared" si="607"/>
        <v/>
      </c>
      <c r="BE874" s="28"/>
      <c r="BF874" s="304" t="str">
        <f t="shared" si="608"/>
        <v/>
      </c>
      <c r="BG874" s="304" t="str">
        <f t="shared" si="608"/>
        <v/>
      </c>
      <c r="BH874" s="28"/>
      <c r="BI874" s="304">
        <f t="shared" si="609"/>
        <v>0.22409638554216862</v>
      </c>
      <c r="BJ874" s="304">
        <f t="shared" si="609"/>
        <v>0.22409638554216862</v>
      </c>
      <c r="BK874" s="28"/>
      <c r="BL874" s="304" t="str">
        <f t="shared" si="610"/>
        <v/>
      </c>
      <c r="BM874" s="304" t="str">
        <f t="shared" si="610"/>
        <v/>
      </c>
      <c r="BN874" s="28"/>
      <c r="BO874" s="304" t="str">
        <f t="shared" si="611"/>
        <v/>
      </c>
      <c r="BP874" s="304" t="str">
        <f t="shared" si="611"/>
        <v/>
      </c>
      <c r="BQ874" s="28"/>
      <c r="BR874" s="304" t="str">
        <f t="shared" si="612"/>
        <v/>
      </c>
      <c r="BS874" s="304" t="str">
        <f t="shared" si="612"/>
        <v/>
      </c>
      <c r="BT874" s="28"/>
      <c r="BU874" s="304" t="str">
        <f t="shared" si="613"/>
        <v/>
      </c>
      <c r="BV874" s="304" t="str">
        <f t="shared" si="613"/>
        <v/>
      </c>
      <c r="BW874" s="28"/>
      <c r="BX874" s="91"/>
    </row>
    <row r="875" spans="1:76" s="55" customFormat="1" x14ac:dyDescent="0.25">
      <c r="A875" s="195">
        <v>179</v>
      </c>
      <c r="B875" s="216" t="str">
        <f t="shared" si="599"/>
        <v>Latin America: FAO. 2017. Reducing Enteric Methane for improving food security and livelihoods</v>
      </c>
      <c r="C875" s="219" t="s">
        <v>488</v>
      </c>
      <c r="D875" s="379" t="s">
        <v>228</v>
      </c>
      <c r="E875" s="329" t="s">
        <v>100</v>
      </c>
      <c r="F875" s="341" t="s">
        <v>190</v>
      </c>
      <c r="G875" s="220" t="s">
        <v>26</v>
      </c>
      <c r="H875" s="221">
        <v>2017</v>
      </c>
      <c r="I875" s="240"/>
      <c r="J875" s="341">
        <v>39</v>
      </c>
      <c r="K875" s="380" t="s">
        <v>528</v>
      </c>
      <c r="L875" s="334">
        <f t="shared" si="616"/>
        <v>0.29132530120481925</v>
      </c>
      <c r="M875" s="335" t="str">
        <f>'[1]Advanced Controls'!$I$158</f>
        <v>t CH4-CO2eq per kg of protein</v>
      </c>
      <c r="N875" s="238"/>
      <c r="O875" s="227" t="s">
        <v>530</v>
      </c>
      <c r="P875" s="122"/>
      <c r="Q875" s="228"/>
      <c r="R875" s="231">
        <f t="shared" si="603"/>
        <v>0.29132530120481925</v>
      </c>
      <c r="S875" s="230">
        <f t="shared" si="600"/>
        <v>0.29132530120481925</v>
      </c>
      <c r="T875" s="231">
        <f t="shared" si="601"/>
        <v>0</v>
      </c>
      <c r="U875" s="232" t="str">
        <f t="shared" si="602"/>
        <v>t CH4-CO2eq per kg of protein</v>
      </c>
      <c r="V875" s="28"/>
      <c r="W875" s="28"/>
      <c r="Y875" s="91"/>
      <c r="AO875" s="91"/>
      <c r="AP875" s="28"/>
      <c r="AQ875" s="28"/>
      <c r="AR875" s="237"/>
      <c r="AS875" s="28"/>
      <c r="AT875" s="304" t="str">
        <f t="shared" si="614"/>
        <v/>
      </c>
      <c r="AU875" s="304" t="str">
        <f t="shared" si="614"/>
        <v/>
      </c>
      <c r="AV875" s="28"/>
      <c r="AW875" s="304" t="str">
        <f t="shared" si="605"/>
        <v/>
      </c>
      <c r="AX875" s="304" t="str">
        <f t="shared" si="605"/>
        <v/>
      </c>
      <c r="AY875" s="28"/>
      <c r="AZ875" s="304" t="str">
        <f t="shared" si="606"/>
        <v/>
      </c>
      <c r="BA875" s="304" t="str">
        <f t="shared" si="606"/>
        <v/>
      </c>
      <c r="BB875" s="28"/>
      <c r="BC875" s="304" t="str">
        <f t="shared" si="607"/>
        <v/>
      </c>
      <c r="BD875" s="304" t="str">
        <f t="shared" si="607"/>
        <v/>
      </c>
      <c r="BE875" s="28"/>
      <c r="BF875" s="304" t="str">
        <f t="shared" si="608"/>
        <v/>
      </c>
      <c r="BG875" s="304" t="str">
        <f t="shared" si="608"/>
        <v/>
      </c>
      <c r="BH875" s="28"/>
      <c r="BI875" s="304">
        <f t="shared" si="609"/>
        <v>0.29132530120481925</v>
      </c>
      <c r="BJ875" s="304">
        <f t="shared" si="609"/>
        <v>0.29132530120481925</v>
      </c>
      <c r="BK875" s="28"/>
      <c r="BL875" s="304" t="str">
        <f t="shared" si="610"/>
        <v/>
      </c>
      <c r="BM875" s="304" t="str">
        <f t="shared" si="610"/>
        <v/>
      </c>
      <c r="BN875" s="28"/>
      <c r="BO875" s="304" t="str">
        <f t="shared" si="611"/>
        <v/>
      </c>
      <c r="BP875" s="304" t="str">
        <f t="shared" si="611"/>
        <v/>
      </c>
      <c r="BQ875" s="28"/>
      <c r="BR875" s="304" t="str">
        <f t="shared" si="612"/>
        <v/>
      </c>
      <c r="BS875" s="304" t="str">
        <f t="shared" si="612"/>
        <v/>
      </c>
      <c r="BT875" s="28"/>
      <c r="BU875" s="304" t="str">
        <f t="shared" si="613"/>
        <v/>
      </c>
      <c r="BV875" s="304" t="str">
        <f t="shared" si="613"/>
        <v/>
      </c>
      <c r="BW875" s="28"/>
      <c r="BX875" s="91"/>
    </row>
    <row r="876" spans="1:76" s="55" customFormat="1" x14ac:dyDescent="0.25">
      <c r="A876" s="195">
        <v>180</v>
      </c>
      <c r="B876" s="216" t="str">
        <f t="shared" si="599"/>
        <v>Latin America: FAO. 2017. Reducing Enteric Methane for improving food security and livelihoods</v>
      </c>
      <c r="C876" s="219" t="s">
        <v>488</v>
      </c>
      <c r="D876" s="379" t="s">
        <v>228</v>
      </c>
      <c r="E876" s="329" t="s">
        <v>100</v>
      </c>
      <c r="F876" s="341" t="s">
        <v>190</v>
      </c>
      <c r="G876" s="220" t="s">
        <v>26</v>
      </c>
      <c r="H876" s="221">
        <v>2017</v>
      </c>
      <c r="I876" s="240"/>
      <c r="J876" s="341">
        <v>52</v>
      </c>
      <c r="K876" s="380" t="s">
        <v>528</v>
      </c>
      <c r="L876" s="334">
        <f t="shared" si="616"/>
        <v>0.38843373493975902</v>
      </c>
      <c r="M876" s="335" t="str">
        <f>'[1]Advanced Controls'!$I$158</f>
        <v>t CH4-CO2eq per kg of protein</v>
      </c>
      <c r="N876" s="238"/>
      <c r="O876" s="227" t="s">
        <v>531</v>
      </c>
      <c r="P876" s="122"/>
      <c r="Q876" s="228"/>
      <c r="R876" s="231">
        <f t="shared" si="603"/>
        <v>0.38843373493975902</v>
      </c>
      <c r="S876" s="230">
        <f t="shared" si="600"/>
        <v>0.38843373493975902</v>
      </c>
      <c r="T876" s="231">
        <f t="shared" si="601"/>
        <v>0</v>
      </c>
      <c r="U876" s="232" t="str">
        <f t="shared" si="602"/>
        <v>t CH4-CO2eq per kg of protein</v>
      </c>
      <c r="V876" s="28"/>
      <c r="W876" s="28"/>
      <c r="Y876" s="91"/>
      <c r="AO876" s="91"/>
      <c r="AP876" s="28"/>
      <c r="AQ876" s="28"/>
      <c r="AR876" s="237"/>
      <c r="AS876" s="28"/>
      <c r="AT876" s="304" t="str">
        <f t="shared" si="614"/>
        <v/>
      </c>
      <c r="AU876" s="304" t="str">
        <f t="shared" si="614"/>
        <v/>
      </c>
      <c r="AV876" s="28"/>
      <c r="AW876" s="304" t="str">
        <f t="shared" si="605"/>
        <v/>
      </c>
      <c r="AX876" s="304" t="str">
        <f t="shared" si="605"/>
        <v/>
      </c>
      <c r="AY876" s="28"/>
      <c r="AZ876" s="304" t="str">
        <f t="shared" si="606"/>
        <v/>
      </c>
      <c r="BA876" s="304" t="str">
        <f t="shared" si="606"/>
        <v/>
      </c>
      <c r="BB876" s="28"/>
      <c r="BC876" s="304" t="str">
        <f t="shared" si="607"/>
        <v/>
      </c>
      <c r="BD876" s="304" t="str">
        <f t="shared" si="607"/>
        <v/>
      </c>
      <c r="BE876" s="28"/>
      <c r="BF876" s="304" t="str">
        <f t="shared" si="608"/>
        <v/>
      </c>
      <c r="BG876" s="304" t="str">
        <f t="shared" si="608"/>
        <v/>
      </c>
      <c r="BH876" s="28"/>
      <c r="BI876" s="304">
        <f t="shared" si="609"/>
        <v>0.38843373493975902</v>
      </c>
      <c r="BJ876" s="304">
        <f t="shared" si="609"/>
        <v>0.38843373493975902</v>
      </c>
      <c r="BK876" s="28"/>
      <c r="BL876" s="304" t="str">
        <f t="shared" si="610"/>
        <v/>
      </c>
      <c r="BM876" s="304" t="str">
        <f t="shared" si="610"/>
        <v/>
      </c>
      <c r="BN876" s="28"/>
      <c r="BO876" s="304" t="str">
        <f t="shared" si="611"/>
        <v/>
      </c>
      <c r="BP876" s="304" t="str">
        <f t="shared" si="611"/>
        <v/>
      </c>
      <c r="BQ876" s="28"/>
      <c r="BR876" s="304" t="str">
        <f t="shared" si="612"/>
        <v/>
      </c>
      <c r="BS876" s="304" t="str">
        <f t="shared" si="612"/>
        <v/>
      </c>
      <c r="BT876" s="28"/>
      <c r="BU876" s="304" t="str">
        <f t="shared" si="613"/>
        <v/>
      </c>
      <c r="BV876" s="304" t="str">
        <f t="shared" si="613"/>
        <v/>
      </c>
      <c r="BW876" s="28"/>
      <c r="BX876" s="91"/>
    </row>
    <row r="877" spans="1:76" s="55" customFormat="1" x14ac:dyDescent="0.25">
      <c r="A877" s="195">
        <v>181</v>
      </c>
      <c r="B877" s="216" t="str">
        <f t="shared" si="599"/>
        <v>Latin America: FAO. 2017. Reducing Enteric Methane for improving food security and livelihoods</v>
      </c>
      <c r="C877" s="219" t="s">
        <v>488</v>
      </c>
      <c r="D877" s="379" t="s">
        <v>228</v>
      </c>
      <c r="E877" s="329" t="s">
        <v>100</v>
      </c>
      <c r="F877" s="341" t="s">
        <v>190</v>
      </c>
      <c r="G877" s="220" t="s">
        <v>26</v>
      </c>
      <c r="H877" s="221">
        <v>2017</v>
      </c>
      <c r="I877" s="240"/>
      <c r="J877" s="341">
        <v>30</v>
      </c>
      <c r="K877" s="380" t="s">
        <v>528</v>
      </c>
      <c r="L877" s="334">
        <f t="shared" si="616"/>
        <v>0.22409638554216862</v>
      </c>
      <c r="M877" s="335" t="str">
        <f>'[1]Advanced Controls'!$I$158</f>
        <v>t CH4-CO2eq per kg of protein</v>
      </c>
      <c r="N877" s="238"/>
      <c r="O877" s="227" t="s">
        <v>529</v>
      </c>
      <c r="P877" s="122"/>
      <c r="Q877" s="228"/>
      <c r="R877" s="231">
        <f t="shared" si="603"/>
        <v>0.22409638554216862</v>
      </c>
      <c r="S877" s="230">
        <f t="shared" si="600"/>
        <v>0.22409638554216862</v>
      </c>
      <c r="T877" s="231">
        <f t="shared" si="601"/>
        <v>0</v>
      </c>
      <c r="U877" s="232" t="str">
        <f t="shared" si="602"/>
        <v>t CH4-CO2eq per kg of protein</v>
      </c>
      <c r="V877" s="28"/>
      <c r="W877" s="28"/>
      <c r="Y877" s="91"/>
      <c r="AO877" s="91"/>
      <c r="AP877" s="28"/>
      <c r="AQ877" s="28"/>
      <c r="AR877" s="237"/>
      <c r="AS877" s="28"/>
      <c r="AT877" s="304" t="str">
        <f t="shared" si="614"/>
        <v/>
      </c>
      <c r="AU877" s="304" t="str">
        <f t="shared" si="614"/>
        <v/>
      </c>
      <c r="AV877" s="28"/>
      <c r="AW877" s="304" t="str">
        <f t="shared" si="605"/>
        <v/>
      </c>
      <c r="AX877" s="304" t="str">
        <f t="shared" si="605"/>
        <v/>
      </c>
      <c r="AY877" s="28"/>
      <c r="AZ877" s="304" t="str">
        <f t="shared" si="606"/>
        <v/>
      </c>
      <c r="BA877" s="304" t="str">
        <f t="shared" si="606"/>
        <v/>
      </c>
      <c r="BB877" s="28"/>
      <c r="BC877" s="304" t="str">
        <f t="shared" si="607"/>
        <v/>
      </c>
      <c r="BD877" s="304" t="str">
        <f t="shared" si="607"/>
        <v/>
      </c>
      <c r="BE877" s="28"/>
      <c r="BF877" s="304" t="str">
        <f t="shared" si="608"/>
        <v/>
      </c>
      <c r="BG877" s="304" t="str">
        <f t="shared" si="608"/>
        <v/>
      </c>
      <c r="BH877" s="28"/>
      <c r="BI877" s="304">
        <f t="shared" si="609"/>
        <v>0.22409638554216862</v>
      </c>
      <c r="BJ877" s="304">
        <f t="shared" si="609"/>
        <v>0.22409638554216862</v>
      </c>
      <c r="BK877" s="28"/>
      <c r="BL877" s="304" t="str">
        <f t="shared" si="610"/>
        <v/>
      </c>
      <c r="BM877" s="304" t="str">
        <f t="shared" si="610"/>
        <v/>
      </c>
      <c r="BN877" s="28"/>
      <c r="BO877" s="304" t="str">
        <f t="shared" si="611"/>
        <v/>
      </c>
      <c r="BP877" s="304" t="str">
        <f t="shared" si="611"/>
        <v/>
      </c>
      <c r="BQ877" s="28"/>
      <c r="BR877" s="304" t="str">
        <f t="shared" si="612"/>
        <v/>
      </c>
      <c r="BS877" s="304" t="str">
        <f t="shared" si="612"/>
        <v/>
      </c>
      <c r="BT877" s="28"/>
      <c r="BU877" s="304" t="str">
        <f t="shared" si="613"/>
        <v/>
      </c>
      <c r="BV877" s="304" t="str">
        <f t="shared" si="613"/>
        <v/>
      </c>
      <c r="BW877" s="28"/>
      <c r="BX877" s="91"/>
    </row>
    <row r="878" spans="1:76" s="55" customFormat="1" x14ac:dyDescent="0.25">
      <c r="A878" s="195">
        <v>182</v>
      </c>
      <c r="B878" s="216" t="str">
        <f t="shared" si="599"/>
        <v>Latin America: FAO. 2017. Reducing Enteric Methane for improving food security and livelihoods</v>
      </c>
      <c r="C878" s="219" t="s">
        <v>488</v>
      </c>
      <c r="D878" s="379" t="s">
        <v>228</v>
      </c>
      <c r="E878" s="329" t="s">
        <v>100</v>
      </c>
      <c r="F878" s="341" t="s">
        <v>190</v>
      </c>
      <c r="G878" s="220" t="s">
        <v>26</v>
      </c>
      <c r="H878" s="221">
        <v>2017</v>
      </c>
      <c r="I878" s="240"/>
      <c r="J878" s="341">
        <v>39</v>
      </c>
      <c r="K878" s="380" t="s">
        <v>528</v>
      </c>
      <c r="L878" s="334">
        <f t="shared" si="616"/>
        <v>0.29132530120481925</v>
      </c>
      <c r="M878" s="335" t="str">
        <f>'[1]Advanced Controls'!$I$158</f>
        <v>t CH4-CO2eq per kg of protein</v>
      </c>
      <c r="N878" s="238"/>
      <c r="O878" s="227" t="s">
        <v>530</v>
      </c>
      <c r="P878" s="122"/>
      <c r="Q878" s="228"/>
      <c r="R878" s="231">
        <f t="shared" si="603"/>
        <v>0.29132530120481925</v>
      </c>
      <c r="S878" s="230">
        <f t="shared" si="600"/>
        <v>0.29132530120481925</v>
      </c>
      <c r="T878" s="231">
        <f t="shared" si="601"/>
        <v>0</v>
      </c>
      <c r="U878" s="232" t="str">
        <f t="shared" si="602"/>
        <v>t CH4-CO2eq per kg of protein</v>
      </c>
      <c r="V878" s="28"/>
      <c r="W878" s="28"/>
      <c r="Y878" s="91"/>
      <c r="AO878" s="91"/>
      <c r="AP878" s="28"/>
      <c r="AQ878" s="28"/>
      <c r="AR878" s="237"/>
      <c r="AS878" s="28"/>
      <c r="AT878" s="304" t="str">
        <f t="shared" si="614"/>
        <v/>
      </c>
      <c r="AU878" s="304" t="str">
        <f t="shared" si="614"/>
        <v/>
      </c>
      <c r="AV878" s="28"/>
      <c r="AW878" s="304" t="str">
        <f t="shared" si="605"/>
        <v/>
      </c>
      <c r="AX878" s="304" t="str">
        <f t="shared" si="605"/>
        <v/>
      </c>
      <c r="AY878" s="28"/>
      <c r="AZ878" s="304" t="str">
        <f t="shared" si="606"/>
        <v/>
      </c>
      <c r="BA878" s="304" t="str">
        <f t="shared" si="606"/>
        <v/>
      </c>
      <c r="BB878" s="28"/>
      <c r="BC878" s="304" t="str">
        <f t="shared" si="607"/>
        <v/>
      </c>
      <c r="BD878" s="304" t="str">
        <f t="shared" si="607"/>
        <v/>
      </c>
      <c r="BE878" s="28"/>
      <c r="BF878" s="304" t="str">
        <f t="shared" si="608"/>
        <v/>
      </c>
      <c r="BG878" s="304" t="str">
        <f t="shared" si="608"/>
        <v/>
      </c>
      <c r="BH878" s="28"/>
      <c r="BI878" s="304">
        <f t="shared" si="609"/>
        <v>0.29132530120481925</v>
      </c>
      <c r="BJ878" s="304">
        <f t="shared" si="609"/>
        <v>0.29132530120481925</v>
      </c>
      <c r="BK878" s="28"/>
      <c r="BL878" s="304" t="str">
        <f t="shared" si="610"/>
        <v/>
      </c>
      <c r="BM878" s="304" t="str">
        <f t="shared" si="610"/>
        <v/>
      </c>
      <c r="BN878" s="28"/>
      <c r="BO878" s="304" t="str">
        <f t="shared" si="611"/>
        <v/>
      </c>
      <c r="BP878" s="304" t="str">
        <f t="shared" si="611"/>
        <v/>
      </c>
      <c r="BQ878" s="28"/>
      <c r="BR878" s="304" t="str">
        <f t="shared" si="612"/>
        <v/>
      </c>
      <c r="BS878" s="304" t="str">
        <f t="shared" si="612"/>
        <v/>
      </c>
      <c r="BT878" s="28"/>
      <c r="BU878" s="304" t="str">
        <f t="shared" si="613"/>
        <v/>
      </c>
      <c r="BV878" s="304" t="str">
        <f t="shared" si="613"/>
        <v/>
      </c>
      <c r="BW878" s="28"/>
      <c r="BX878" s="91"/>
    </row>
    <row r="879" spans="1:76" s="55" customFormat="1" x14ac:dyDescent="0.25">
      <c r="A879" s="195">
        <v>183</v>
      </c>
      <c r="B879" s="216" t="str">
        <f t="shared" si="599"/>
        <v>Latin America: FAO. 2017. Reducing Enteric Methane for improving food security and livelihoods</v>
      </c>
      <c r="C879" s="219" t="s">
        <v>488</v>
      </c>
      <c r="D879" s="379" t="s">
        <v>228</v>
      </c>
      <c r="E879" s="329" t="s">
        <v>100</v>
      </c>
      <c r="F879" s="341" t="s">
        <v>190</v>
      </c>
      <c r="G879" s="220" t="s">
        <v>26</v>
      </c>
      <c r="H879" s="221">
        <v>2017</v>
      </c>
      <c r="I879" s="240"/>
      <c r="J879" s="341">
        <v>52</v>
      </c>
      <c r="K879" s="380" t="s">
        <v>528</v>
      </c>
      <c r="L879" s="334">
        <f t="shared" si="616"/>
        <v>0.38843373493975902</v>
      </c>
      <c r="M879" s="335" t="str">
        <f>'[1]Advanced Controls'!$I$158</f>
        <v>t CH4-CO2eq per kg of protein</v>
      </c>
      <c r="N879" s="238"/>
      <c r="O879" s="227" t="s">
        <v>531</v>
      </c>
      <c r="P879" s="122"/>
      <c r="Q879" s="228"/>
      <c r="R879" s="231">
        <f t="shared" si="603"/>
        <v>0.38843373493975902</v>
      </c>
      <c r="S879" s="230">
        <f t="shared" si="600"/>
        <v>0.38843373493975902</v>
      </c>
      <c r="T879" s="231">
        <f t="shared" si="601"/>
        <v>0</v>
      </c>
      <c r="U879" s="232" t="str">
        <f t="shared" si="602"/>
        <v>t CH4-CO2eq per kg of protein</v>
      </c>
      <c r="V879" s="28"/>
      <c r="W879" s="28"/>
      <c r="Y879" s="91"/>
      <c r="AO879" s="91"/>
      <c r="AP879" s="28"/>
      <c r="AQ879" s="28"/>
      <c r="AR879" s="237"/>
      <c r="AS879" s="28"/>
      <c r="AT879" s="304" t="str">
        <f t="shared" si="614"/>
        <v/>
      </c>
      <c r="AU879" s="304" t="str">
        <f t="shared" si="614"/>
        <v/>
      </c>
      <c r="AV879" s="28"/>
      <c r="AW879" s="304" t="str">
        <f t="shared" si="605"/>
        <v/>
      </c>
      <c r="AX879" s="304" t="str">
        <f t="shared" si="605"/>
        <v/>
      </c>
      <c r="AY879" s="28"/>
      <c r="AZ879" s="304" t="str">
        <f t="shared" si="606"/>
        <v/>
      </c>
      <c r="BA879" s="304" t="str">
        <f t="shared" si="606"/>
        <v/>
      </c>
      <c r="BB879" s="28"/>
      <c r="BC879" s="304" t="str">
        <f t="shared" si="607"/>
        <v/>
      </c>
      <c r="BD879" s="304" t="str">
        <f t="shared" si="607"/>
        <v/>
      </c>
      <c r="BE879" s="28"/>
      <c r="BF879" s="304" t="str">
        <f t="shared" si="608"/>
        <v/>
      </c>
      <c r="BG879" s="304" t="str">
        <f t="shared" si="608"/>
        <v/>
      </c>
      <c r="BH879" s="28"/>
      <c r="BI879" s="304">
        <f t="shared" si="609"/>
        <v>0.38843373493975902</v>
      </c>
      <c r="BJ879" s="304">
        <f t="shared" si="609"/>
        <v>0.38843373493975902</v>
      </c>
      <c r="BK879" s="28"/>
      <c r="BL879" s="304" t="str">
        <f t="shared" si="610"/>
        <v/>
      </c>
      <c r="BM879" s="304" t="str">
        <f t="shared" si="610"/>
        <v/>
      </c>
      <c r="BN879" s="28"/>
      <c r="BO879" s="304" t="str">
        <f t="shared" si="611"/>
        <v/>
      </c>
      <c r="BP879" s="304" t="str">
        <f t="shared" si="611"/>
        <v/>
      </c>
      <c r="BQ879" s="28"/>
      <c r="BR879" s="304" t="str">
        <f t="shared" si="612"/>
        <v/>
      </c>
      <c r="BS879" s="304" t="str">
        <f t="shared" si="612"/>
        <v/>
      </c>
      <c r="BT879" s="28"/>
      <c r="BU879" s="304" t="str">
        <f t="shared" si="613"/>
        <v/>
      </c>
      <c r="BV879" s="304" t="str">
        <f t="shared" si="613"/>
        <v/>
      </c>
      <c r="BW879" s="28"/>
      <c r="BX879" s="91"/>
    </row>
    <row r="880" spans="1:76" s="55" customFormat="1" x14ac:dyDescent="0.25">
      <c r="A880" s="195">
        <v>184</v>
      </c>
      <c r="B880" s="216" t="str">
        <f t="shared" si="599"/>
        <v>Latin America: FAO. 2017. Reducing Enteric Methane for improving food security and livelihoods</v>
      </c>
      <c r="C880" s="219" t="s">
        <v>488</v>
      </c>
      <c r="D880" s="379" t="s">
        <v>228</v>
      </c>
      <c r="E880" s="329" t="s">
        <v>100</v>
      </c>
      <c r="F880" s="341" t="s">
        <v>190</v>
      </c>
      <c r="G880" s="220" t="s">
        <v>26</v>
      </c>
      <c r="H880" s="221">
        <v>2017</v>
      </c>
      <c r="I880" s="240"/>
      <c r="J880" s="341">
        <v>30</v>
      </c>
      <c r="K880" s="380" t="s">
        <v>528</v>
      </c>
      <c r="L880" s="334">
        <f t="shared" si="616"/>
        <v>0.22409638554216862</v>
      </c>
      <c r="M880" s="335" t="str">
        <f>'[1]Advanced Controls'!$I$158</f>
        <v>t CH4-CO2eq per kg of protein</v>
      </c>
      <c r="N880" s="238"/>
      <c r="O880" s="227" t="s">
        <v>529</v>
      </c>
      <c r="P880" s="122"/>
      <c r="Q880" s="228"/>
      <c r="R880" s="231">
        <f t="shared" si="603"/>
        <v>0.22409638554216862</v>
      </c>
      <c r="S880" s="230">
        <f t="shared" si="600"/>
        <v>0.22409638554216862</v>
      </c>
      <c r="T880" s="231">
        <f t="shared" si="601"/>
        <v>0</v>
      </c>
      <c r="U880" s="232" t="str">
        <f t="shared" si="602"/>
        <v>t CH4-CO2eq per kg of protein</v>
      </c>
      <c r="V880" s="28"/>
      <c r="W880" s="28"/>
      <c r="Y880" s="91"/>
      <c r="AO880" s="91"/>
      <c r="AP880" s="28"/>
      <c r="AQ880" s="28"/>
      <c r="AR880" s="237"/>
      <c r="AS880" s="28"/>
      <c r="AT880" s="304" t="str">
        <f t="shared" si="614"/>
        <v/>
      </c>
      <c r="AU880" s="304" t="str">
        <f t="shared" si="614"/>
        <v/>
      </c>
      <c r="AV880" s="28"/>
      <c r="AW880" s="304" t="str">
        <f t="shared" si="605"/>
        <v/>
      </c>
      <c r="AX880" s="304" t="str">
        <f t="shared" si="605"/>
        <v/>
      </c>
      <c r="AY880" s="28"/>
      <c r="AZ880" s="304" t="str">
        <f t="shared" si="606"/>
        <v/>
      </c>
      <c r="BA880" s="304" t="str">
        <f t="shared" si="606"/>
        <v/>
      </c>
      <c r="BB880" s="28"/>
      <c r="BC880" s="304" t="str">
        <f t="shared" si="607"/>
        <v/>
      </c>
      <c r="BD880" s="304" t="str">
        <f t="shared" si="607"/>
        <v/>
      </c>
      <c r="BE880" s="28"/>
      <c r="BF880" s="304" t="str">
        <f t="shared" si="608"/>
        <v/>
      </c>
      <c r="BG880" s="304" t="str">
        <f t="shared" si="608"/>
        <v/>
      </c>
      <c r="BH880" s="28"/>
      <c r="BI880" s="304">
        <f t="shared" si="609"/>
        <v>0.22409638554216862</v>
      </c>
      <c r="BJ880" s="304">
        <f t="shared" si="609"/>
        <v>0.22409638554216862</v>
      </c>
      <c r="BK880" s="28"/>
      <c r="BL880" s="304" t="str">
        <f t="shared" si="610"/>
        <v/>
      </c>
      <c r="BM880" s="304" t="str">
        <f t="shared" si="610"/>
        <v/>
      </c>
      <c r="BN880" s="28"/>
      <c r="BO880" s="304" t="str">
        <f t="shared" si="611"/>
        <v/>
      </c>
      <c r="BP880" s="304" t="str">
        <f t="shared" si="611"/>
        <v/>
      </c>
      <c r="BQ880" s="28"/>
      <c r="BR880" s="304" t="str">
        <f t="shared" si="612"/>
        <v/>
      </c>
      <c r="BS880" s="304" t="str">
        <f t="shared" si="612"/>
        <v/>
      </c>
      <c r="BT880" s="28"/>
      <c r="BU880" s="304" t="str">
        <f t="shared" si="613"/>
        <v/>
      </c>
      <c r="BV880" s="304" t="str">
        <f t="shared" si="613"/>
        <v/>
      </c>
      <c r="BW880" s="28"/>
      <c r="BX880" s="91"/>
    </row>
    <row r="881" spans="1:76" s="55" customFormat="1" x14ac:dyDescent="0.25">
      <c r="A881" s="195">
        <v>185</v>
      </c>
      <c r="B881" s="216" t="str">
        <f t="shared" si="599"/>
        <v>Latin America: FAO. 2017. Reducing Enteric Methane for improving food security and livelihoods</v>
      </c>
      <c r="C881" s="219" t="s">
        <v>488</v>
      </c>
      <c r="D881" s="379" t="s">
        <v>228</v>
      </c>
      <c r="E881" s="329" t="s">
        <v>100</v>
      </c>
      <c r="F881" s="341" t="s">
        <v>190</v>
      </c>
      <c r="G881" s="220" t="s">
        <v>26</v>
      </c>
      <c r="H881" s="221">
        <v>2017</v>
      </c>
      <c r="I881" s="240"/>
      <c r="J881" s="341">
        <v>39</v>
      </c>
      <c r="K881" s="380" t="s">
        <v>528</v>
      </c>
      <c r="L881" s="334">
        <f t="shared" si="616"/>
        <v>0.29132530120481925</v>
      </c>
      <c r="M881" s="335" t="str">
        <f>'[1]Advanced Controls'!$I$158</f>
        <v>t CH4-CO2eq per kg of protein</v>
      </c>
      <c r="N881" s="238"/>
      <c r="O881" s="227" t="s">
        <v>530</v>
      </c>
      <c r="P881" s="122"/>
      <c r="Q881" s="228"/>
      <c r="R881" s="231">
        <f t="shared" si="603"/>
        <v>0.29132530120481925</v>
      </c>
      <c r="S881" s="230">
        <f t="shared" si="600"/>
        <v>0.29132530120481925</v>
      </c>
      <c r="T881" s="231" t="str">
        <f t="shared" si="601"/>
        <v/>
      </c>
      <c r="U881" s="232" t="str">
        <f t="shared" si="602"/>
        <v>t CH4-CO2eq per kg of protein</v>
      </c>
      <c r="V881" s="28"/>
      <c r="W881" s="28"/>
      <c r="Y881" s="91"/>
      <c r="AO881" s="91"/>
      <c r="AP881" s="28"/>
      <c r="AQ881" s="28"/>
      <c r="AR881" s="237"/>
      <c r="AS881" s="28"/>
      <c r="AT881" s="304" t="str">
        <f t="shared" si="614"/>
        <v/>
      </c>
      <c r="AU881" s="304" t="str">
        <f t="shared" si="614"/>
        <v/>
      </c>
      <c r="AV881" s="28"/>
      <c r="AW881" s="304" t="str">
        <f t="shared" si="605"/>
        <v/>
      </c>
      <c r="AX881" s="304" t="str">
        <f t="shared" si="605"/>
        <v/>
      </c>
      <c r="AY881" s="28"/>
      <c r="AZ881" s="304" t="str">
        <f t="shared" si="606"/>
        <v/>
      </c>
      <c r="BA881" s="304" t="str">
        <f t="shared" si="606"/>
        <v/>
      </c>
      <c r="BB881" s="28"/>
      <c r="BC881" s="304" t="str">
        <f t="shared" si="607"/>
        <v/>
      </c>
      <c r="BD881" s="304" t="str">
        <f t="shared" si="607"/>
        <v/>
      </c>
      <c r="BE881" s="28"/>
      <c r="BF881" s="304" t="str">
        <f t="shared" si="608"/>
        <v/>
      </c>
      <c r="BG881" s="304" t="str">
        <f t="shared" si="608"/>
        <v/>
      </c>
      <c r="BH881" s="28"/>
      <c r="BI881" s="304">
        <f t="shared" si="609"/>
        <v>0.29132530120481925</v>
      </c>
      <c r="BJ881" s="304">
        <f t="shared" si="609"/>
        <v>0.29132530120481925</v>
      </c>
      <c r="BK881" s="28"/>
      <c r="BL881" s="304" t="str">
        <f t="shared" si="610"/>
        <v/>
      </c>
      <c r="BM881" s="304" t="str">
        <f t="shared" si="610"/>
        <v/>
      </c>
      <c r="BN881" s="28"/>
      <c r="BO881" s="304" t="str">
        <f t="shared" si="611"/>
        <v/>
      </c>
      <c r="BP881" s="304" t="str">
        <f t="shared" si="611"/>
        <v/>
      </c>
      <c r="BQ881" s="28"/>
      <c r="BR881" s="304" t="str">
        <f t="shared" si="612"/>
        <v/>
      </c>
      <c r="BS881" s="304" t="str">
        <f t="shared" si="612"/>
        <v/>
      </c>
      <c r="BT881" s="28"/>
      <c r="BU881" s="304" t="str">
        <f t="shared" si="613"/>
        <v/>
      </c>
      <c r="BV881" s="304" t="str">
        <f t="shared" si="613"/>
        <v/>
      </c>
      <c r="BW881" s="28"/>
      <c r="BX881" s="91"/>
    </row>
    <row r="882" spans="1:76" s="55" customFormat="1" x14ac:dyDescent="0.25">
      <c r="A882" s="195">
        <v>186</v>
      </c>
      <c r="B882" s="216" t="str">
        <f t="shared" si="599"/>
        <v>Latin America: FAO. 2017. Reducing Enteric Methane for improving food security and livelihoods</v>
      </c>
      <c r="C882" s="219" t="s">
        <v>488</v>
      </c>
      <c r="D882" s="379" t="s">
        <v>228</v>
      </c>
      <c r="E882" s="329" t="s">
        <v>100</v>
      </c>
      <c r="F882" s="341" t="s">
        <v>190</v>
      </c>
      <c r="G882" s="220" t="s">
        <v>26</v>
      </c>
      <c r="H882" s="221">
        <v>2017</v>
      </c>
      <c r="I882" s="240"/>
      <c r="J882" s="341">
        <v>52</v>
      </c>
      <c r="K882" s="380" t="s">
        <v>528</v>
      </c>
      <c r="L882" s="334">
        <f t="shared" si="616"/>
        <v>0.38843373493975902</v>
      </c>
      <c r="M882" s="335" t="str">
        <f>'[1]Advanced Controls'!$I$158</f>
        <v>t CH4-CO2eq per kg of protein</v>
      </c>
      <c r="N882" s="238"/>
      <c r="O882" s="227" t="s">
        <v>531</v>
      </c>
      <c r="P882" s="122"/>
      <c r="Q882" s="228"/>
      <c r="R882" s="231">
        <f t="shared" si="603"/>
        <v>0.38843373493975902</v>
      </c>
      <c r="S882" s="230">
        <f t="shared" si="600"/>
        <v>0.38843373493975902</v>
      </c>
      <c r="T882" s="231" t="str">
        <f t="shared" si="601"/>
        <v/>
      </c>
      <c r="U882" s="232" t="str">
        <f t="shared" si="602"/>
        <v>t CH4-CO2eq per kg of protein</v>
      </c>
      <c r="V882" s="28"/>
      <c r="W882" s="28"/>
      <c r="Y882" s="91"/>
      <c r="AO882" s="91"/>
      <c r="AP882" s="28"/>
      <c r="AQ882" s="28"/>
      <c r="AR882" s="237"/>
      <c r="AS882" s="28"/>
      <c r="AT882" s="304" t="str">
        <f t="shared" si="614"/>
        <v/>
      </c>
      <c r="AU882" s="304" t="str">
        <f t="shared" si="614"/>
        <v/>
      </c>
      <c r="AV882" s="28"/>
      <c r="AW882" s="304" t="str">
        <f t="shared" si="605"/>
        <v/>
      </c>
      <c r="AX882" s="304" t="str">
        <f t="shared" si="605"/>
        <v/>
      </c>
      <c r="AY882" s="28"/>
      <c r="AZ882" s="304" t="str">
        <f t="shared" si="606"/>
        <v/>
      </c>
      <c r="BA882" s="304" t="str">
        <f t="shared" si="606"/>
        <v/>
      </c>
      <c r="BB882" s="28"/>
      <c r="BC882" s="304" t="str">
        <f t="shared" si="607"/>
        <v/>
      </c>
      <c r="BD882" s="304" t="str">
        <f t="shared" si="607"/>
        <v/>
      </c>
      <c r="BE882" s="28"/>
      <c r="BF882" s="304" t="str">
        <f t="shared" si="608"/>
        <v/>
      </c>
      <c r="BG882" s="304" t="str">
        <f t="shared" si="608"/>
        <v/>
      </c>
      <c r="BH882" s="28"/>
      <c r="BI882" s="304">
        <f t="shared" si="609"/>
        <v>0.38843373493975902</v>
      </c>
      <c r="BJ882" s="304">
        <f t="shared" si="609"/>
        <v>0.38843373493975902</v>
      </c>
      <c r="BK882" s="28"/>
      <c r="BL882" s="304" t="str">
        <f t="shared" si="610"/>
        <v/>
      </c>
      <c r="BM882" s="304" t="str">
        <f t="shared" si="610"/>
        <v/>
      </c>
      <c r="BN882" s="28"/>
      <c r="BO882" s="304" t="str">
        <f t="shared" si="611"/>
        <v/>
      </c>
      <c r="BP882" s="304" t="str">
        <f t="shared" si="611"/>
        <v/>
      </c>
      <c r="BQ882" s="28"/>
      <c r="BR882" s="304" t="str">
        <f t="shared" si="612"/>
        <v/>
      </c>
      <c r="BS882" s="304" t="str">
        <f t="shared" si="612"/>
        <v/>
      </c>
      <c r="BT882" s="28"/>
      <c r="BU882" s="304" t="str">
        <f t="shared" si="613"/>
        <v/>
      </c>
      <c r="BV882" s="304" t="str">
        <f t="shared" si="613"/>
        <v/>
      </c>
      <c r="BW882" s="28"/>
      <c r="BX882" s="91"/>
    </row>
    <row r="883" spans="1:76" s="55" customFormat="1" x14ac:dyDescent="0.25">
      <c r="A883" s="195">
        <v>187</v>
      </c>
      <c r="B883" s="216" t="str">
        <f t="shared" si="599"/>
        <v>Latin America: FAO. 2017. Reducing Enteric Methane for improving food security and livelihoods</v>
      </c>
      <c r="C883" s="219" t="s">
        <v>488</v>
      </c>
      <c r="D883" s="379" t="s">
        <v>228</v>
      </c>
      <c r="E883" s="329" t="s">
        <v>100</v>
      </c>
      <c r="F883" s="341" t="s">
        <v>190</v>
      </c>
      <c r="G883" s="220" t="s">
        <v>26</v>
      </c>
      <c r="H883" s="221">
        <v>2017</v>
      </c>
      <c r="I883" s="240"/>
      <c r="J883" s="341">
        <v>7.2</v>
      </c>
      <c r="K883" s="380" t="s">
        <v>528</v>
      </c>
      <c r="L883" s="334">
        <f t="shared" si="616"/>
        <v>5.378313253012048E-2</v>
      </c>
      <c r="M883" s="335" t="str">
        <f>'[1]Advanced Controls'!$I$158</f>
        <v>t CH4-CO2eq per kg of protein</v>
      </c>
      <c r="N883" s="238"/>
      <c r="O883" s="227" t="s">
        <v>529</v>
      </c>
      <c r="P883" s="122"/>
      <c r="Q883" s="228"/>
      <c r="R883" s="231">
        <f t="shared" si="603"/>
        <v>5.378313253012048E-2</v>
      </c>
      <c r="S883" s="230">
        <f t="shared" si="600"/>
        <v>5.378313253012048E-2</v>
      </c>
      <c r="T883" s="231">
        <f t="shared" si="601"/>
        <v>0</v>
      </c>
      <c r="U883" s="232" t="str">
        <f t="shared" si="602"/>
        <v>t CH4-CO2eq per kg of protein</v>
      </c>
      <c r="V883" s="28"/>
      <c r="W883" s="28"/>
      <c r="Y883" s="91"/>
      <c r="AO883" s="91"/>
      <c r="AP883" s="28"/>
      <c r="AQ883" s="28"/>
      <c r="AR883" s="237"/>
      <c r="AS883" s="28"/>
      <c r="AT883" s="304" t="str">
        <f t="shared" si="614"/>
        <v/>
      </c>
      <c r="AU883" s="304" t="str">
        <f t="shared" si="614"/>
        <v/>
      </c>
      <c r="AV883" s="28"/>
      <c r="AW883" s="304" t="str">
        <f t="shared" si="605"/>
        <v/>
      </c>
      <c r="AX883" s="304" t="str">
        <f t="shared" si="605"/>
        <v/>
      </c>
      <c r="AY883" s="28"/>
      <c r="AZ883" s="304" t="str">
        <f t="shared" si="606"/>
        <v/>
      </c>
      <c r="BA883" s="304" t="str">
        <f t="shared" si="606"/>
        <v/>
      </c>
      <c r="BB883" s="28"/>
      <c r="BC883" s="304" t="str">
        <f t="shared" si="607"/>
        <v/>
      </c>
      <c r="BD883" s="304" t="str">
        <f t="shared" si="607"/>
        <v/>
      </c>
      <c r="BE883" s="28"/>
      <c r="BF883" s="304" t="str">
        <f t="shared" si="608"/>
        <v/>
      </c>
      <c r="BG883" s="304" t="str">
        <f t="shared" si="608"/>
        <v/>
      </c>
      <c r="BH883" s="28"/>
      <c r="BI883" s="304">
        <f t="shared" si="609"/>
        <v>5.378313253012048E-2</v>
      </c>
      <c r="BJ883" s="304">
        <f t="shared" si="609"/>
        <v>5.378313253012048E-2</v>
      </c>
      <c r="BK883" s="28"/>
      <c r="BL883" s="304" t="str">
        <f t="shared" si="610"/>
        <v/>
      </c>
      <c r="BM883" s="304" t="str">
        <f t="shared" si="610"/>
        <v/>
      </c>
      <c r="BN883" s="28"/>
      <c r="BO883" s="304" t="str">
        <f t="shared" si="611"/>
        <v/>
      </c>
      <c r="BP883" s="304" t="str">
        <f t="shared" si="611"/>
        <v/>
      </c>
      <c r="BQ883" s="28"/>
      <c r="BR883" s="304" t="str">
        <f t="shared" si="612"/>
        <v/>
      </c>
      <c r="BS883" s="304" t="str">
        <f t="shared" si="612"/>
        <v/>
      </c>
      <c r="BT883" s="28"/>
      <c r="BU883" s="304" t="str">
        <f t="shared" si="613"/>
        <v/>
      </c>
      <c r="BV883" s="304" t="str">
        <f t="shared" si="613"/>
        <v/>
      </c>
      <c r="BW883" s="28"/>
      <c r="BX883" s="91"/>
    </row>
    <row r="884" spans="1:76" s="55" customFormat="1" x14ac:dyDescent="0.25">
      <c r="A884" s="195">
        <v>188</v>
      </c>
      <c r="B884" s="216" t="str">
        <f t="shared" si="599"/>
        <v>Latin America: FAO. 2017. Reducing Enteric Methane for improving food security and livelihoods</v>
      </c>
      <c r="C884" s="219" t="s">
        <v>488</v>
      </c>
      <c r="D884" s="379" t="s">
        <v>228</v>
      </c>
      <c r="E884" s="329" t="s">
        <v>100</v>
      </c>
      <c r="F884" s="341" t="s">
        <v>190</v>
      </c>
      <c r="G884" s="220" t="s">
        <v>26</v>
      </c>
      <c r="H884" s="221">
        <v>2017</v>
      </c>
      <c r="I884" s="240"/>
      <c r="J884" s="341">
        <v>9.6</v>
      </c>
      <c r="K884" s="380" t="s">
        <v>528</v>
      </c>
      <c r="L884" s="334">
        <f t="shared" si="616"/>
        <v>7.1710843373493968E-2</v>
      </c>
      <c r="M884" s="335" t="str">
        <f>'[1]Advanced Controls'!$I$158</f>
        <v>t CH4-CO2eq per kg of protein</v>
      </c>
      <c r="N884" s="238"/>
      <c r="O884" s="227" t="s">
        <v>530</v>
      </c>
      <c r="P884" s="122"/>
      <c r="Q884" s="228"/>
      <c r="R884" s="231">
        <f t="shared" si="603"/>
        <v>7.1710843373493968E-2</v>
      </c>
      <c r="S884" s="230">
        <f t="shared" si="600"/>
        <v>7.1710843373493968E-2</v>
      </c>
      <c r="T884" s="231">
        <f t="shared" si="601"/>
        <v>0</v>
      </c>
      <c r="U884" s="232" t="str">
        <f t="shared" si="602"/>
        <v>t CH4-CO2eq per kg of protein</v>
      </c>
      <c r="V884" s="28"/>
      <c r="W884" s="28"/>
      <c r="Y884" s="91"/>
      <c r="AO884" s="91"/>
      <c r="AP884" s="28"/>
      <c r="AQ884" s="28"/>
      <c r="AR884" s="237"/>
      <c r="AS884" s="28"/>
      <c r="AT884" s="304" t="str">
        <f t="shared" si="614"/>
        <v/>
      </c>
      <c r="AU884" s="304" t="str">
        <f t="shared" si="614"/>
        <v/>
      </c>
      <c r="AV884" s="28"/>
      <c r="AW884" s="304" t="str">
        <f t="shared" si="605"/>
        <v/>
      </c>
      <c r="AX884" s="304" t="str">
        <f t="shared" si="605"/>
        <v/>
      </c>
      <c r="AY884" s="28"/>
      <c r="AZ884" s="304" t="str">
        <f t="shared" si="606"/>
        <v/>
      </c>
      <c r="BA884" s="304" t="str">
        <f t="shared" si="606"/>
        <v/>
      </c>
      <c r="BB884" s="28"/>
      <c r="BC884" s="304" t="str">
        <f t="shared" si="607"/>
        <v/>
      </c>
      <c r="BD884" s="304" t="str">
        <f t="shared" si="607"/>
        <v/>
      </c>
      <c r="BE884" s="28"/>
      <c r="BF884" s="304" t="str">
        <f t="shared" si="608"/>
        <v/>
      </c>
      <c r="BG884" s="304" t="str">
        <f t="shared" si="608"/>
        <v/>
      </c>
      <c r="BH884" s="28"/>
      <c r="BI884" s="304">
        <f t="shared" si="609"/>
        <v>7.1710843373493968E-2</v>
      </c>
      <c r="BJ884" s="304">
        <f t="shared" si="609"/>
        <v>7.1710843373493968E-2</v>
      </c>
      <c r="BK884" s="28"/>
      <c r="BL884" s="304" t="str">
        <f t="shared" si="610"/>
        <v/>
      </c>
      <c r="BM884" s="304" t="str">
        <f t="shared" si="610"/>
        <v/>
      </c>
      <c r="BN884" s="28"/>
      <c r="BO884" s="304" t="str">
        <f t="shared" si="611"/>
        <v/>
      </c>
      <c r="BP884" s="304" t="str">
        <f t="shared" si="611"/>
        <v/>
      </c>
      <c r="BQ884" s="28"/>
      <c r="BR884" s="304" t="str">
        <f t="shared" si="612"/>
        <v/>
      </c>
      <c r="BS884" s="304" t="str">
        <f t="shared" si="612"/>
        <v/>
      </c>
      <c r="BT884" s="28"/>
      <c r="BU884" s="304" t="str">
        <f t="shared" si="613"/>
        <v/>
      </c>
      <c r="BV884" s="304" t="str">
        <f t="shared" si="613"/>
        <v/>
      </c>
      <c r="BW884" s="28"/>
      <c r="BX884" s="91"/>
    </row>
    <row r="885" spans="1:76" s="55" customFormat="1" x14ac:dyDescent="0.25">
      <c r="A885" s="195">
        <v>189</v>
      </c>
      <c r="B885" s="216" t="str">
        <f t="shared" si="599"/>
        <v>Latin America: FAO. 2017. Reducing Enteric Methane for improving food security and livelihoods</v>
      </c>
      <c r="C885" s="219" t="s">
        <v>488</v>
      </c>
      <c r="D885" s="379" t="s">
        <v>228</v>
      </c>
      <c r="E885" s="329" t="s">
        <v>100</v>
      </c>
      <c r="F885" s="341" t="s">
        <v>190</v>
      </c>
      <c r="G885" s="220" t="s">
        <v>26</v>
      </c>
      <c r="H885" s="221">
        <v>2017</v>
      </c>
      <c r="I885" s="240"/>
      <c r="J885" s="341">
        <v>7.1</v>
      </c>
      <c r="K885" s="380" t="s">
        <v>528</v>
      </c>
      <c r="L885" s="334">
        <f t="shared" si="616"/>
        <v>5.3036144578313245E-2</v>
      </c>
      <c r="M885" s="335" t="str">
        <f>'[1]Advanced Controls'!$I$158</f>
        <v>t CH4-CO2eq per kg of protein</v>
      </c>
      <c r="N885" s="238"/>
      <c r="O885" s="227" t="s">
        <v>531</v>
      </c>
      <c r="P885" s="122"/>
      <c r="Q885" s="228"/>
      <c r="R885" s="231">
        <f t="shared" si="603"/>
        <v>5.3036144578313245E-2</v>
      </c>
      <c r="S885" s="230">
        <f t="shared" si="600"/>
        <v>5.3036144578313245E-2</v>
      </c>
      <c r="T885" s="231" t="str">
        <f t="shared" si="601"/>
        <v/>
      </c>
      <c r="U885" s="232" t="str">
        <f t="shared" si="602"/>
        <v>t CH4-CO2eq per kg of protein</v>
      </c>
      <c r="V885" s="28"/>
      <c r="W885" s="28"/>
      <c r="Y885" s="91"/>
      <c r="AO885" s="91"/>
      <c r="AP885" s="28"/>
      <c r="AQ885" s="28"/>
      <c r="AR885" s="237"/>
      <c r="AS885" s="28"/>
      <c r="AT885" s="304" t="str">
        <f t="shared" si="614"/>
        <v/>
      </c>
      <c r="AU885" s="304" t="str">
        <f t="shared" si="614"/>
        <v/>
      </c>
      <c r="AV885" s="28"/>
      <c r="AW885" s="304" t="str">
        <f t="shared" si="605"/>
        <v/>
      </c>
      <c r="AX885" s="304" t="str">
        <f t="shared" si="605"/>
        <v/>
      </c>
      <c r="AY885" s="28"/>
      <c r="AZ885" s="304" t="str">
        <f t="shared" si="606"/>
        <v/>
      </c>
      <c r="BA885" s="304" t="str">
        <f t="shared" si="606"/>
        <v/>
      </c>
      <c r="BB885" s="28"/>
      <c r="BC885" s="304" t="str">
        <f t="shared" si="607"/>
        <v/>
      </c>
      <c r="BD885" s="304" t="str">
        <f t="shared" si="607"/>
        <v/>
      </c>
      <c r="BE885" s="28"/>
      <c r="BF885" s="304" t="str">
        <f t="shared" si="608"/>
        <v/>
      </c>
      <c r="BG885" s="304" t="str">
        <f t="shared" si="608"/>
        <v/>
      </c>
      <c r="BH885" s="28"/>
      <c r="BI885" s="304">
        <f t="shared" si="609"/>
        <v>5.3036144578313245E-2</v>
      </c>
      <c r="BJ885" s="304">
        <f t="shared" si="609"/>
        <v>5.3036144578313245E-2</v>
      </c>
      <c r="BK885" s="28"/>
      <c r="BL885" s="304" t="str">
        <f t="shared" si="610"/>
        <v/>
      </c>
      <c r="BM885" s="304" t="str">
        <f t="shared" si="610"/>
        <v/>
      </c>
      <c r="BN885" s="28"/>
      <c r="BO885" s="304" t="str">
        <f t="shared" si="611"/>
        <v/>
      </c>
      <c r="BP885" s="304" t="str">
        <f t="shared" si="611"/>
        <v/>
      </c>
      <c r="BQ885" s="28"/>
      <c r="BR885" s="304" t="str">
        <f t="shared" si="612"/>
        <v/>
      </c>
      <c r="BS885" s="304" t="str">
        <f t="shared" si="612"/>
        <v/>
      </c>
      <c r="BT885" s="28"/>
      <c r="BU885" s="304" t="str">
        <f t="shared" si="613"/>
        <v/>
      </c>
      <c r="BV885" s="304" t="str">
        <f t="shared" si="613"/>
        <v/>
      </c>
      <c r="BW885" s="28"/>
      <c r="BX885" s="91"/>
    </row>
    <row r="886" spans="1:76" s="55" customFormat="1" x14ac:dyDescent="0.25">
      <c r="A886" s="195">
        <v>190</v>
      </c>
      <c r="B886" s="216" t="str">
        <f t="shared" si="599"/>
        <v>Latin America: FAO. 2017. Reducing Enteric Methane for improving food security and livelihoods</v>
      </c>
      <c r="C886" s="219" t="s">
        <v>488</v>
      </c>
      <c r="D886" s="379" t="s">
        <v>228</v>
      </c>
      <c r="E886" s="329" t="s">
        <v>100</v>
      </c>
      <c r="F886" s="341" t="s">
        <v>190</v>
      </c>
      <c r="G886" s="220" t="s">
        <v>26</v>
      </c>
      <c r="H886" s="221">
        <v>2017</v>
      </c>
      <c r="I886" s="240"/>
      <c r="J886" s="341">
        <v>7.2</v>
      </c>
      <c r="K886" s="380" t="s">
        <v>528</v>
      </c>
      <c r="L886" s="334">
        <f t="shared" si="616"/>
        <v>5.378313253012048E-2</v>
      </c>
      <c r="M886" s="335" t="str">
        <f>'[1]Advanced Controls'!$I$158</f>
        <v>t CH4-CO2eq per kg of protein</v>
      </c>
      <c r="N886" s="238"/>
      <c r="O886" s="227" t="s">
        <v>529</v>
      </c>
      <c r="P886" s="122"/>
      <c r="Q886" s="228"/>
      <c r="R886" s="231">
        <f t="shared" si="603"/>
        <v>5.378313253012048E-2</v>
      </c>
      <c r="S886" s="230">
        <f t="shared" si="600"/>
        <v>5.378313253012048E-2</v>
      </c>
      <c r="T886" s="231" t="str">
        <f t="shared" si="601"/>
        <v/>
      </c>
      <c r="U886" s="232" t="str">
        <f t="shared" si="602"/>
        <v>t CH4-CO2eq per kg of protein</v>
      </c>
      <c r="V886" s="28"/>
      <c r="W886" s="28"/>
      <c r="Y886" s="91"/>
      <c r="AO886" s="91"/>
      <c r="AP886" s="28"/>
      <c r="AQ886" s="28"/>
      <c r="AR886" s="237"/>
      <c r="AS886" s="28"/>
      <c r="AT886" s="304" t="str">
        <f t="shared" si="614"/>
        <v/>
      </c>
      <c r="AU886" s="304" t="str">
        <f t="shared" si="614"/>
        <v/>
      </c>
      <c r="AV886" s="28"/>
      <c r="AW886" s="304" t="str">
        <f t="shared" si="605"/>
        <v/>
      </c>
      <c r="AX886" s="304" t="str">
        <f t="shared" si="605"/>
        <v/>
      </c>
      <c r="AY886" s="28"/>
      <c r="AZ886" s="304" t="str">
        <f t="shared" si="606"/>
        <v/>
      </c>
      <c r="BA886" s="304" t="str">
        <f t="shared" si="606"/>
        <v/>
      </c>
      <c r="BB886" s="28"/>
      <c r="BC886" s="304" t="str">
        <f t="shared" si="607"/>
        <v/>
      </c>
      <c r="BD886" s="304" t="str">
        <f t="shared" si="607"/>
        <v/>
      </c>
      <c r="BE886" s="28"/>
      <c r="BF886" s="304" t="str">
        <f t="shared" si="608"/>
        <v/>
      </c>
      <c r="BG886" s="304" t="str">
        <f t="shared" si="608"/>
        <v/>
      </c>
      <c r="BH886" s="28"/>
      <c r="BI886" s="304">
        <f t="shared" si="609"/>
        <v>5.378313253012048E-2</v>
      </c>
      <c r="BJ886" s="304">
        <f t="shared" si="609"/>
        <v>5.378313253012048E-2</v>
      </c>
      <c r="BK886" s="28"/>
      <c r="BL886" s="304" t="str">
        <f t="shared" si="610"/>
        <v/>
      </c>
      <c r="BM886" s="304" t="str">
        <f t="shared" si="610"/>
        <v/>
      </c>
      <c r="BN886" s="28"/>
      <c r="BO886" s="304" t="str">
        <f t="shared" si="611"/>
        <v/>
      </c>
      <c r="BP886" s="304" t="str">
        <f t="shared" si="611"/>
        <v/>
      </c>
      <c r="BQ886" s="28"/>
      <c r="BR886" s="304" t="str">
        <f t="shared" si="612"/>
        <v/>
      </c>
      <c r="BS886" s="304" t="str">
        <f t="shared" si="612"/>
        <v/>
      </c>
      <c r="BT886" s="28"/>
      <c r="BU886" s="304" t="str">
        <f t="shared" si="613"/>
        <v/>
      </c>
      <c r="BV886" s="304" t="str">
        <f t="shared" si="613"/>
        <v/>
      </c>
      <c r="BW886" s="28"/>
      <c r="BX886" s="91"/>
    </row>
    <row r="887" spans="1:76" s="55" customFormat="1" x14ac:dyDescent="0.25">
      <c r="A887" s="195">
        <v>191</v>
      </c>
      <c r="B887" s="216" t="str">
        <f t="shared" si="599"/>
        <v>Latin America: FAO. 2017. Reducing Enteric Methane for improving food security and livelihoods</v>
      </c>
      <c r="C887" s="219" t="s">
        <v>488</v>
      </c>
      <c r="D887" s="379" t="s">
        <v>228</v>
      </c>
      <c r="E887" s="329" t="s">
        <v>100</v>
      </c>
      <c r="F887" s="341" t="s">
        <v>190</v>
      </c>
      <c r="G887" s="220" t="s">
        <v>26</v>
      </c>
      <c r="H887" s="221">
        <v>2017</v>
      </c>
      <c r="I887" s="240"/>
      <c r="J887" s="341">
        <v>9.6</v>
      </c>
      <c r="K887" s="380" t="s">
        <v>528</v>
      </c>
      <c r="L887" s="334">
        <f>J887*0.001/0.083*0.62*0.62</f>
        <v>4.4460722891566259E-2</v>
      </c>
      <c r="M887" s="335" t="str">
        <f>'[1]Advanced Controls'!$I$158</f>
        <v>t CH4-CO2eq per kg of protein</v>
      </c>
      <c r="N887" s="238"/>
      <c r="O887" s="227" t="s">
        <v>530</v>
      </c>
      <c r="P887" s="122"/>
      <c r="Q887" s="228"/>
      <c r="R887" s="231">
        <f t="shared" si="603"/>
        <v>4.4460722891566259E-2</v>
      </c>
      <c r="S887" s="230">
        <f t="shared" si="600"/>
        <v>4.4460722891566259E-2</v>
      </c>
      <c r="T887" s="231" t="str">
        <f t="shared" si="601"/>
        <v/>
      </c>
      <c r="U887" s="232" t="str">
        <f t="shared" si="602"/>
        <v>t CH4-CO2eq per kg of protein</v>
      </c>
      <c r="V887" s="28"/>
      <c r="W887" s="28"/>
      <c r="Y887" s="91"/>
      <c r="AO887" s="91"/>
      <c r="AP887" s="28"/>
      <c r="AQ887" s="28"/>
      <c r="AR887" s="237"/>
      <c r="AS887" s="28"/>
      <c r="AT887" s="304" t="str">
        <f t="shared" si="614"/>
        <v/>
      </c>
      <c r="AU887" s="304" t="str">
        <f t="shared" si="614"/>
        <v/>
      </c>
      <c r="AV887" s="28"/>
      <c r="AW887" s="304" t="str">
        <f t="shared" si="605"/>
        <v/>
      </c>
      <c r="AX887" s="304" t="str">
        <f t="shared" si="605"/>
        <v/>
      </c>
      <c r="AY887" s="28"/>
      <c r="AZ887" s="304" t="str">
        <f t="shared" si="606"/>
        <v/>
      </c>
      <c r="BA887" s="304" t="str">
        <f t="shared" si="606"/>
        <v/>
      </c>
      <c r="BB887" s="28"/>
      <c r="BC887" s="304" t="str">
        <f t="shared" si="607"/>
        <v/>
      </c>
      <c r="BD887" s="304" t="str">
        <f t="shared" si="607"/>
        <v/>
      </c>
      <c r="BE887" s="28"/>
      <c r="BF887" s="304" t="str">
        <f t="shared" si="608"/>
        <v/>
      </c>
      <c r="BG887" s="304" t="str">
        <f t="shared" si="608"/>
        <v/>
      </c>
      <c r="BH887" s="28"/>
      <c r="BI887" s="304">
        <f t="shared" si="609"/>
        <v>4.4460722891566259E-2</v>
      </c>
      <c r="BJ887" s="304">
        <f t="shared" si="609"/>
        <v>4.4460722891566259E-2</v>
      </c>
      <c r="BK887" s="28"/>
      <c r="BL887" s="304" t="str">
        <f t="shared" si="610"/>
        <v/>
      </c>
      <c r="BM887" s="304" t="str">
        <f t="shared" si="610"/>
        <v/>
      </c>
      <c r="BN887" s="28"/>
      <c r="BO887" s="304" t="str">
        <f t="shared" si="611"/>
        <v/>
      </c>
      <c r="BP887" s="304" t="str">
        <f t="shared" si="611"/>
        <v/>
      </c>
      <c r="BQ887" s="28"/>
      <c r="BR887" s="304" t="str">
        <f t="shared" si="612"/>
        <v/>
      </c>
      <c r="BS887" s="304" t="str">
        <f t="shared" si="612"/>
        <v/>
      </c>
      <c r="BT887" s="28"/>
      <c r="BU887" s="304" t="str">
        <f t="shared" si="613"/>
        <v/>
      </c>
      <c r="BV887" s="304" t="str">
        <f t="shared" si="613"/>
        <v/>
      </c>
      <c r="BW887" s="28"/>
      <c r="BX887" s="91"/>
    </row>
    <row r="888" spans="1:76" s="55" customFormat="1" x14ac:dyDescent="0.25">
      <c r="A888" s="195">
        <v>192</v>
      </c>
      <c r="B888" s="216" t="str">
        <f t="shared" si="599"/>
        <v>Latin America: FAO. 2017. Reducing Enteric Methane for improving food security and livelihoods</v>
      </c>
      <c r="C888" s="219" t="s">
        <v>488</v>
      </c>
      <c r="D888" s="379" t="s">
        <v>228</v>
      </c>
      <c r="E888" s="329" t="s">
        <v>100</v>
      </c>
      <c r="F888" s="341" t="s">
        <v>190</v>
      </c>
      <c r="G888" s="220" t="s">
        <v>26</v>
      </c>
      <c r="H888" s="221">
        <v>2017</v>
      </c>
      <c r="I888" s="240"/>
      <c r="J888" s="341">
        <v>7.1</v>
      </c>
      <c r="K888" s="380" t="s">
        <v>528</v>
      </c>
      <c r="L888" s="334">
        <f t="shared" ref="L888:L901" si="617">J888*0.001/0.083*0.62</f>
        <v>5.3036144578313245E-2</v>
      </c>
      <c r="M888" s="335" t="str">
        <f>'[1]Advanced Controls'!$I$158</f>
        <v>t CH4-CO2eq per kg of protein</v>
      </c>
      <c r="N888" s="238"/>
      <c r="O888" s="227" t="s">
        <v>531</v>
      </c>
      <c r="P888" s="122"/>
      <c r="Q888" s="228"/>
      <c r="R888" s="231">
        <f t="shared" si="603"/>
        <v>5.3036144578313245E-2</v>
      </c>
      <c r="S888" s="230">
        <f t="shared" si="600"/>
        <v>5.3036144578313245E-2</v>
      </c>
      <c r="T888" s="231" t="str">
        <f t="shared" si="601"/>
        <v/>
      </c>
      <c r="U888" s="232" t="str">
        <f t="shared" si="602"/>
        <v>t CH4-CO2eq per kg of protein</v>
      </c>
      <c r="V888" s="28"/>
      <c r="W888" s="28"/>
      <c r="Y888" s="91"/>
      <c r="AO888" s="91"/>
      <c r="AP888" s="28"/>
      <c r="AQ888" s="28"/>
      <c r="AR888" s="237"/>
      <c r="AS888" s="28"/>
      <c r="AT888" s="304" t="str">
        <f t="shared" si="614"/>
        <v/>
      </c>
      <c r="AU888" s="304" t="str">
        <f t="shared" si="614"/>
        <v/>
      </c>
      <c r="AV888" s="28"/>
      <c r="AW888" s="304" t="str">
        <f t="shared" si="605"/>
        <v/>
      </c>
      <c r="AX888" s="304" t="str">
        <f t="shared" si="605"/>
        <v/>
      </c>
      <c r="AY888" s="28"/>
      <c r="AZ888" s="304" t="str">
        <f t="shared" si="606"/>
        <v/>
      </c>
      <c r="BA888" s="304" t="str">
        <f t="shared" si="606"/>
        <v/>
      </c>
      <c r="BB888" s="28"/>
      <c r="BC888" s="304" t="str">
        <f t="shared" si="607"/>
        <v/>
      </c>
      <c r="BD888" s="304" t="str">
        <f t="shared" si="607"/>
        <v/>
      </c>
      <c r="BE888" s="28"/>
      <c r="BF888" s="304" t="str">
        <f t="shared" si="608"/>
        <v/>
      </c>
      <c r="BG888" s="304" t="str">
        <f t="shared" si="608"/>
        <v/>
      </c>
      <c r="BH888" s="28"/>
      <c r="BI888" s="304">
        <f t="shared" si="609"/>
        <v>5.3036144578313245E-2</v>
      </c>
      <c r="BJ888" s="304">
        <f t="shared" si="609"/>
        <v>5.3036144578313245E-2</v>
      </c>
      <c r="BK888" s="28"/>
      <c r="BL888" s="304" t="str">
        <f t="shared" si="610"/>
        <v/>
      </c>
      <c r="BM888" s="304" t="str">
        <f t="shared" si="610"/>
        <v/>
      </c>
      <c r="BN888" s="28"/>
      <c r="BO888" s="304" t="str">
        <f t="shared" si="611"/>
        <v/>
      </c>
      <c r="BP888" s="304" t="str">
        <f t="shared" si="611"/>
        <v/>
      </c>
      <c r="BQ888" s="28"/>
      <c r="BR888" s="304" t="str">
        <f t="shared" si="612"/>
        <v/>
      </c>
      <c r="BS888" s="304" t="str">
        <f t="shared" si="612"/>
        <v/>
      </c>
      <c r="BT888" s="28"/>
      <c r="BU888" s="304" t="str">
        <f t="shared" si="613"/>
        <v/>
      </c>
      <c r="BV888" s="304" t="str">
        <f t="shared" si="613"/>
        <v/>
      </c>
      <c r="BW888" s="28"/>
      <c r="BX888" s="91"/>
    </row>
    <row r="889" spans="1:76" s="55" customFormat="1" x14ac:dyDescent="0.25">
      <c r="A889" s="195">
        <v>193</v>
      </c>
      <c r="B889" s="216" t="str">
        <f t="shared" ref="B889:B952" si="618">CONCATENATE(E889,": ",C889)</f>
        <v>Latin America: FAO. 2017. Reducing Enteric Methane for improving food security and livelihoods</v>
      </c>
      <c r="C889" s="219" t="s">
        <v>488</v>
      </c>
      <c r="D889" s="379" t="s">
        <v>295</v>
      </c>
      <c r="E889" s="329" t="s">
        <v>100</v>
      </c>
      <c r="F889" s="341" t="s">
        <v>532</v>
      </c>
      <c r="G889" s="220" t="s">
        <v>26</v>
      </c>
      <c r="H889" s="221">
        <v>2017</v>
      </c>
      <c r="I889" s="240"/>
      <c r="J889" s="341">
        <v>35.5</v>
      </c>
      <c r="K889" s="380" t="s">
        <v>528</v>
      </c>
      <c r="L889" s="334">
        <f t="shared" si="617"/>
        <v>0.2651807228915663</v>
      </c>
      <c r="M889" s="335" t="str">
        <f>'[1]Advanced Controls'!$I$158</f>
        <v>t CH4-CO2eq per kg of protein</v>
      </c>
      <c r="N889" s="238"/>
      <c r="O889" s="227" t="s">
        <v>533</v>
      </c>
      <c r="P889" s="122"/>
      <c r="Q889" s="228"/>
      <c r="R889" s="231">
        <f t="shared" si="603"/>
        <v>0.2651807228915663</v>
      </c>
      <c r="S889" s="230">
        <f t="shared" ref="S889:S901" si="619">IF(R889="","",IF($R$910="Y",T889,IF(R889&gt;=$R$902-$AA$35*$R$906,IF(R889&lt;=$R$902+$AA$35*$R$906,R889,""),"")))</f>
        <v>0.2651807228915663</v>
      </c>
      <c r="T889" s="231">
        <f t="shared" ref="T889:T901" si="620">IF(OR(Q889="Y",IFERROR(R889&gt;R1473+R1477*$AA$35,0),IFERROR(R889&lt;R1473-R1477*$AA$35,0)),"",IFERROR(R889*N889,""))</f>
        <v>0</v>
      </c>
      <c r="U889" s="232" t="str">
        <f t="shared" ref="U889:U952" si="621">IF(AND(M889="",K889=""),"",IF(M889="",K889,M889))</f>
        <v>t CH4-CO2eq per kg of protein</v>
      </c>
      <c r="V889" s="28"/>
      <c r="W889" s="28"/>
      <c r="Y889" s="91"/>
      <c r="AO889" s="91"/>
      <c r="AP889" s="28"/>
      <c r="AQ889" s="28"/>
      <c r="AR889" s="237"/>
      <c r="AS889" s="28"/>
      <c r="AT889" s="304" t="str">
        <f t="shared" si="614"/>
        <v/>
      </c>
      <c r="AU889" s="304" t="str">
        <f t="shared" si="614"/>
        <v/>
      </c>
      <c r="AV889" s="28"/>
      <c r="AW889" s="304" t="str">
        <f t="shared" si="605"/>
        <v/>
      </c>
      <c r="AX889" s="304" t="str">
        <f t="shared" si="605"/>
        <v/>
      </c>
      <c r="AY889" s="28"/>
      <c r="AZ889" s="304" t="str">
        <f t="shared" si="606"/>
        <v/>
      </c>
      <c r="BA889" s="304" t="str">
        <f t="shared" si="606"/>
        <v/>
      </c>
      <c r="BB889" s="28"/>
      <c r="BC889" s="304" t="str">
        <f t="shared" si="607"/>
        <v/>
      </c>
      <c r="BD889" s="304" t="str">
        <f t="shared" si="607"/>
        <v/>
      </c>
      <c r="BE889" s="28"/>
      <c r="BF889" s="304" t="str">
        <f t="shared" si="608"/>
        <v/>
      </c>
      <c r="BG889" s="304" t="str">
        <f t="shared" si="608"/>
        <v/>
      </c>
      <c r="BH889" s="28"/>
      <c r="BI889" s="304">
        <f t="shared" si="609"/>
        <v>0.2651807228915663</v>
      </c>
      <c r="BJ889" s="304">
        <f t="shared" si="609"/>
        <v>0.2651807228915663</v>
      </c>
      <c r="BK889" s="28"/>
      <c r="BL889" s="304" t="str">
        <f t="shared" si="610"/>
        <v/>
      </c>
      <c r="BM889" s="304" t="str">
        <f t="shared" si="610"/>
        <v/>
      </c>
      <c r="BN889" s="28"/>
      <c r="BO889" s="304" t="str">
        <f t="shared" si="611"/>
        <v/>
      </c>
      <c r="BP889" s="304" t="str">
        <f t="shared" si="611"/>
        <v/>
      </c>
      <c r="BQ889" s="28"/>
      <c r="BR889" s="304" t="str">
        <f t="shared" si="612"/>
        <v/>
      </c>
      <c r="BS889" s="304" t="str">
        <f t="shared" si="612"/>
        <v/>
      </c>
      <c r="BT889" s="28"/>
      <c r="BU889" s="304" t="str">
        <f t="shared" si="613"/>
        <v/>
      </c>
      <c r="BV889" s="304" t="str">
        <f t="shared" si="613"/>
        <v/>
      </c>
      <c r="BW889" s="28"/>
      <c r="BX889" s="91"/>
    </row>
    <row r="890" spans="1:76" s="55" customFormat="1" x14ac:dyDescent="0.25">
      <c r="A890" s="195">
        <v>194</v>
      </c>
      <c r="B890" s="216" t="str">
        <f t="shared" si="618"/>
        <v>Latin America: FAO. 2017. Reducing Enteric Methane for improving food security and livelihoods</v>
      </c>
      <c r="C890" s="219" t="s">
        <v>488</v>
      </c>
      <c r="D890" s="379" t="s">
        <v>295</v>
      </c>
      <c r="E890" s="329" t="s">
        <v>100</v>
      </c>
      <c r="F890" s="341" t="s">
        <v>532</v>
      </c>
      <c r="G890" s="220" t="s">
        <v>26</v>
      </c>
      <c r="H890" s="221">
        <v>2017</v>
      </c>
      <c r="I890" s="240"/>
      <c r="J890" s="341">
        <v>24.8</v>
      </c>
      <c r="K890" s="380" t="s">
        <v>528</v>
      </c>
      <c r="L890" s="334">
        <f t="shared" si="617"/>
        <v>0.18525301204819278</v>
      </c>
      <c r="M890" s="335" t="str">
        <f>'[1]Advanced Controls'!$I$158</f>
        <v>t CH4-CO2eq per kg of protein</v>
      </c>
      <c r="N890" s="238"/>
      <c r="O890" s="227" t="s">
        <v>534</v>
      </c>
      <c r="P890" s="122"/>
      <c r="Q890" s="228"/>
      <c r="R890" s="231">
        <f t="shared" ref="R890:R953" si="622">IF(Q890="Y","",IF(AND(L890="",J890=""),"",IF(L890="",J890,L890)))</f>
        <v>0.18525301204819278</v>
      </c>
      <c r="S890" s="230">
        <f t="shared" si="619"/>
        <v>0.18525301204819278</v>
      </c>
      <c r="T890" s="231" t="str">
        <f t="shared" si="620"/>
        <v/>
      </c>
      <c r="U890" s="232" t="str">
        <f t="shared" si="621"/>
        <v>t CH4-CO2eq per kg of protein</v>
      </c>
      <c r="V890" s="28"/>
      <c r="W890" s="28"/>
      <c r="Y890" s="91"/>
      <c r="AO890" s="91"/>
      <c r="AP890" s="28"/>
      <c r="AQ890" s="28"/>
      <c r="AR890" s="237"/>
      <c r="AS890" s="28"/>
      <c r="AT890" s="304" t="str">
        <f t="shared" si="614"/>
        <v/>
      </c>
      <c r="AU890" s="304" t="str">
        <f t="shared" si="614"/>
        <v/>
      </c>
      <c r="AV890" s="28"/>
      <c r="AW890" s="304" t="str">
        <f t="shared" si="605"/>
        <v/>
      </c>
      <c r="AX890" s="304" t="str">
        <f t="shared" si="605"/>
        <v/>
      </c>
      <c r="AY890" s="28"/>
      <c r="AZ890" s="304" t="str">
        <f t="shared" si="606"/>
        <v/>
      </c>
      <c r="BA890" s="304" t="str">
        <f t="shared" si="606"/>
        <v/>
      </c>
      <c r="BB890" s="28"/>
      <c r="BC890" s="304" t="str">
        <f t="shared" si="607"/>
        <v/>
      </c>
      <c r="BD890" s="304" t="str">
        <f t="shared" si="607"/>
        <v/>
      </c>
      <c r="BE890" s="28"/>
      <c r="BF890" s="304" t="str">
        <f t="shared" si="608"/>
        <v/>
      </c>
      <c r="BG890" s="304" t="str">
        <f t="shared" si="608"/>
        <v/>
      </c>
      <c r="BH890" s="28"/>
      <c r="BI890" s="304">
        <f t="shared" si="609"/>
        <v>0.18525301204819278</v>
      </c>
      <c r="BJ890" s="304">
        <f t="shared" si="609"/>
        <v>0.18525301204819278</v>
      </c>
      <c r="BK890" s="28"/>
      <c r="BL890" s="304" t="str">
        <f t="shared" si="610"/>
        <v/>
      </c>
      <c r="BM890" s="304" t="str">
        <f t="shared" si="610"/>
        <v/>
      </c>
      <c r="BN890" s="28"/>
      <c r="BO890" s="304" t="str">
        <f t="shared" si="611"/>
        <v/>
      </c>
      <c r="BP890" s="304" t="str">
        <f t="shared" si="611"/>
        <v/>
      </c>
      <c r="BQ890" s="28"/>
      <c r="BR890" s="304" t="str">
        <f t="shared" si="612"/>
        <v/>
      </c>
      <c r="BS890" s="304" t="str">
        <f t="shared" si="612"/>
        <v/>
      </c>
      <c r="BT890" s="28"/>
      <c r="BU890" s="304" t="str">
        <f t="shared" si="613"/>
        <v/>
      </c>
      <c r="BV890" s="304" t="str">
        <f t="shared" si="613"/>
        <v/>
      </c>
      <c r="BW890" s="28"/>
      <c r="BX890" s="91"/>
    </row>
    <row r="891" spans="1:76" s="55" customFormat="1" x14ac:dyDescent="0.25">
      <c r="A891" s="195">
        <v>195</v>
      </c>
      <c r="B891" s="216" t="str">
        <f t="shared" si="618"/>
        <v>Latin America: FAO. 2017. Reducing Enteric Methane for improving food security and livelihoods</v>
      </c>
      <c r="C891" s="219" t="s">
        <v>488</v>
      </c>
      <c r="D891" s="379" t="s">
        <v>295</v>
      </c>
      <c r="E891" s="329" t="s">
        <v>100</v>
      </c>
      <c r="F891" s="341" t="s">
        <v>532</v>
      </c>
      <c r="G891" s="220" t="s">
        <v>26</v>
      </c>
      <c r="H891" s="221">
        <v>2017</v>
      </c>
      <c r="I891" s="240"/>
      <c r="J891" s="341">
        <v>41</v>
      </c>
      <c r="K891" s="380" t="s">
        <v>528</v>
      </c>
      <c r="L891" s="334">
        <f t="shared" si="617"/>
        <v>0.30626506024096384</v>
      </c>
      <c r="M891" s="335" t="str">
        <f>'[1]Advanced Controls'!$I$158</f>
        <v>t CH4-CO2eq per kg of protein</v>
      </c>
      <c r="N891" s="238"/>
      <c r="O891" s="227" t="s">
        <v>535</v>
      </c>
      <c r="P891" s="122"/>
      <c r="Q891" s="228"/>
      <c r="R891" s="231">
        <f t="shared" si="622"/>
        <v>0.30626506024096384</v>
      </c>
      <c r="S891" s="230">
        <f t="shared" si="619"/>
        <v>0.30626506024096384</v>
      </c>
      <c r="T891" s="231">
        <f t="shared" si="620"/>
        <v>0</v>
      </c>
      <c r="U891" s="232" t="str">
        <f t="shared" si="621"/>
        <v>t CH4-CO2eq per kg of protein</v>
      </c>
      <c r="V891" s="28"/>
      <c r="W891" s="28"/>
      <c r="Y891" s="91"/>
      <c r="AO891" s="91"/>
      <c r="AP891" s="28"/>
      <c r="AQ891" s="28"/>
      <c r="AR891" s="237"/>
      <c r="AS891" s="28"/>
      <c r="AT891" s="304" t="str">
        <f t="shared" si="614"/>
        <v/>
      </c>
      <c r="AU891" s="304" t="str">
        <f t="shared" si="614"/>
        <v/>
      </c>
      <c r="AV891" s="28"/>
      <c r="AW891" s="304" t="str">
        <f t="shared" si="605"/>
        <v/>
      </c>
      <c r="AX891" s="304" t="str">
        <f t="shared" si="605"/>
        <v/>
      </c>
      <c r="AY891" s="28"/>
      <c r="AZ891" s="304" t="str">
        <f t="shared" si="606"/>
        <v/>
      </c>
      <c r="BA891" s="304" t="str">
        <f t="shared" si="606"/>
        <v/>
      </c>
      <c r="BB891" s="28"/>
      <c r="BC891" s="304" t="str">
        <f t="shared" si="607"/>
        <v/>
      </c>
      <c r="BD891" s="304" t="str">
        <f t="shared" si="607"/>
        <v/>
      </c>
      <c r="BE891" s="28"/>
      <c r="BF891" s="304" t="str">
        <f t="shared" si="608"/>
        <v/>
      </c>
      <c r="BG891" s="304" t="str">
        <f t="shared" si="608"/>
        <v/>
      </c>
      <c r="BH891" s="28"/>
      <c r="BI891" s="304">
        <f t="shared" si="609"/>
        <v>0.30626506024096384</v>
      </c>
      <c r="BJ891" s="304">
        <f t="shared" si="609"/>
        <v>0.30626506024096384</v>
      </c>
      <c r="BK891" s="28"/>
      <c r="BL891" s="304" t="str">
        <f t="shared" si="610"/>
        <v/>
      </c>
      <c r="BM891" s="304" t="str">
        <f t="shared" si="610"/>
        <v/>
      </c>
      <c r="BN891" s="28"/>
      <c r="BO891" s="304" t="str">
        <f t="shared" si="611"/>
        <v/>
      </c>
      <c r="BP891" s="304" t="str">
        <f t="shared" si="611"/>
        <v/>
      </c>
      <c r="BQ891" s="28"/>
      <c r="BR891" s="304" t="str">
        <f t="shared" si="612"/>
        <v/>
      </c>
      <c r="BS891" s="304" t="str">
        <f t="shared" si="612"/>
        <v/>
      </c>
      <c r="BT891" s="28"/>
      <c r="BU891" s="304" t="str">
        <f t="shared" si="613"/>
        <v/>
      </c>
      <c r="BV891" s="304" t="str">
        <f t="shared" si="613"/>
        <v/>
      </c>
      <c r="BW891" s="28"/>
      <c r="BX891" s="91"/>
    </row>
    <row r="892" spans="1:76" s="55" customFormat="1" x14ac:dyDescent="0.25">
      <c r="A892" s="195">
        <v>196</v>
      </c>
      <c r="B892" s="216" t="str">
        <f t="shared" si="618"/>
        <v>Latin America: FAO. 2017. Reducing Enteric Methane for improving food security and livelihoods</v>
      </c>
      <c r="C892" s="219" t="s">
        <v>488</v>
      </c>
      <c r="D892" s="379" t="s">
        <v>295</v>
      </c>
      <c r="E892" s="329" t="s">
        <v>100</v>
      </c>
      <c r="F892" s="341" t="s">
        <v>532</v>
      </c>
      <c r="G892" s="220" t="s">
        <v>26</v>
      </c>
      <c r="H892" s="221">
        <v>2017</v>
      </c>
      <c r="I892" s="240"/>
      <c r="J892" s="341">
        <v>35.5</v>
      </c>
      <c r="K892" s="380" t="s">
        <v>528</v>
      </c>
      <c r="L892" s="334">
        <f t="shared" si="617"/>
        <v>0.2651807228915663</v>
      </c>
      <c r="M892" s="335" t="str">
        <f>'[1]Advanced Controls'!$I$158</f>
        <v>t CH4-CO2eq per kg of protein</v>
      </c>
      <c r="N892" s="238"/>
      <c r="O892" s="227" t="s">
        <v>533</v>
      </c>
      <c r="P892" s="122"/>
      <c r="Q892" s="228"/>
      <c r="R892" s="231">
        <f t="shared" si="622"/>
        <v>0.2651807228915663</v>
      </c>
      <c r="S892" s="230">
        <f t="shared" si="619"/>
        <v>0.2651807228915663</v>
      </c>
      <c r="T892" s="231">
        <f t="shared" si="620"/>
        <v>0</v>
      </c>
      <c r="U892" s="232" t="str">
        <f t="shared" si="621"/>
        <v>t CH4-CO2eq per kg of protein</v>
      </c>
      <c r="V892" s="28"/>
      <c r="W892" s="28"/>
      <c r="Y892" s="91"/>
      <c r="AO892" s="91"/>
      <c r="AP892" s="28"/>
      <c r="AQ892" s="28"/>
      <c r="AR892" s="237"/>
      <c r="AS892" s="28"/>
      <c r="AT892" s="304" t="str">
        <f t="shared" si="614"/>
        <v/>
      </c>
      <c r="AU892" s="304" t="str">
        <f t="shared" si="614"/>
        <v/>
      </c>
      <c r="AV892" s="28"/>
      <c r="AW892" s="304" t="str">
        <f t="shared" si="605"/>
        <v/>
      </c>
      <c r="AX892" s="304" t="str">
        <f t="shared" si="605"/>
        <v/>
      </c>
      <c r="AY892" s="28"/>
      <c r="AZ892" s="304" t="str">
        <f t="shared" si="606"/>
        <v/>
      </c>
      <c r="BA892" s="304" t="str">
        <f t="shared" si="606"/>
        <v/>
      </c>
      <c r="BB892" s="28"/>
      <c r="BC892" s="304" t="str">
        <f t="shared" si="607"/>
        <v/>
      </c>
      <c r="BD892" s="304" t="str">
        <f t="shared" si="607"/>
        <v/>
      </c>
      <c r="BE892" s="28"/>
      <c r="BF892" s="304" t="str">
        <f t="shared" si="608"/>
        <v/>
      </c>
      <c r="BG892" s="304" t="str">
        <f t="shared" si="608"/>
        <v/>
      </c>
      <c r="BH892" s="28"/>
      <c r="BI892" s="304">
        <f t="shared" si="609"/>
        <v>0.2651807228915663</v>
      </c>
      <c r="BJ892" s="304">
        <f t="shared" si="609"/>
        <v>0.2651807228915663</v>
      </c>
      <c r="BK892" s="28"/>
      <c r="BL892" s="304" t="str">
        <f t="shared" si="610"/>
        <v/>
      </c>
      <c r="BM892" s="304" t="str">
        <f t="shared" si="610"/>
        <v/>
      </c>
      <c r="BN892" s="28"/>
      <c r="BO892" s="304" t="str">
        <f t="shared" si="611"/>
        <v/>
      </c>
      <c r="BP892" s="304" t="str">
        <f t="shared" si="611"/>
        <v/>
      </c>
      <c r="BQ892" s="28"/>
      <c r="BR892" s="304" t="str">
        <f t="shared" si="612"/>
        <v/>
      </c>
      <c r="BS892" s="304" t="str">
        <f t="shared" si="612"/>
        <v/>
      </c>
      <c r="BT892" s="28"/>
      <c r="BU892" s="304" t="str">
        <f t="shared" si="613"/>
        <v/>
      </c>
      <c r="BV892" s="304" t="str">
        <f t="shared" si="613"/>
        <v/>
      </c>
      <c r="BW892" s="28"/>
      <c r="BX892" s="91"/>
    </row>
    <row r="893" spans="1:76" s="55" customFormat="1" x14ac:dyDescent="0.25">
      <c r="A893" s="195">
        <v>197</v>
      </c>
      <c r="B893" s="216" t="str">
        <f t="shared" si="618"/>
        <v>Latin America: FAO. 2017. Reducing Enteric Methane for improving food security and livelihoods</v>
      </c>
      <c r="C893" s="219" t="s">
        <v>488</v>
      </c>
      <c r="D893" s="379" t="s">
        <v>295</v>
      </c>
      <c r="E893" s="329" t="s">
        <v>100</v>
      </c>
      <c r="F893" s="341" t="s">
        <v>532</v>
      </c>
      <c r="G893" s="220" t="s">
        <v>26</v>
      </c>
      <c r="H893" s="221">
        <v>2017</v>
      </c>
      <c r="I893" s="240"/>
      <c r="J893" s="341">
        <v>24.8</v>
      </c>
      <c r="K893" s="380" t="s">
        <v>528</v>
      </c>
      <c r="L893" s="334">
        <f t="shared" si="617"/>
        <v>0.18525301204819278</v>
      </c>
      <c r="M893" s="335" t="str">
        <f>'[1]Advanced Controls'!$I$158</f>
        <v>t CH4-CO2eq per kg of protein</v>
      </c>
      <c r="N893" s="238"/>
      <c r="O893" s="227" t="s">
        <v>534</v>
      </c>
      <c r="P893" s="122"/>
      <c r="Q893" s="228"/>
      <c r="R893" s="231">
        <f t="shared" si="622"/>
        <v>0.18525301204819278</v>
      </c>
      <c r="S893" s="230">
        <f t="shared" si="619"/>
        <v>0.18525301204819278</v>
      </c>
      <c r="T893" s="231">
        <f t="shared" si="620"/>
        <v>0</v>
      </c>
      <c r="U893" s="232" t="str">
        <f t="shared" si="621"/>
        <v>t CH4-CO2eq per kg of protein</v>
      </c>
      <c r="V893" s="28"/>
      <c r="W893" s="28"/>
      <c r="Y893" s="91"/>
      <c r="AO893" s="91"/>
      <c r="AP893" s="28"/>
      <c r="AQ893" s="28"/>
      <c r="AR893" s="237"/>
      <c r="AS893" s="28"/>
      <c r="AT893" s="304" t="str">
        <f t="shared" si="614"/>
        <v/>
      </c>
      <c r="AU893" s="304" t="str">
        <f t="shared" si="614"/>
        <v/>
      </c>
      <c r="AV893" s="28"/>
      <c r="AW893" s="304" t="str">
        <f t="shared" si="605"/>
        <v/>
      </c>
      <c r="AX893" s="304" t="str">
        <f t="shared" si="605"/>
        <v/>
      </c>
      <c r="AY893" s="28"/>
      <c r="AZ893" s="304" t="str">
        <f t="shared" si="606"/>
        <v/>
      </c>
      <c r="BA893" s="304" t="str">
        <f t="shared" si="606"/>
        <v/>
      </c>
      <c r="BB893" s="28"/>
      <c r="BC893" s="304" t="str">
        <f t="shared" si="607"/>
        <v/>
      </c>
      <c r="BD893" s="304" t="str">
        <f t="shared" si="607"/>
        <v/>
      </c>
      <c r="BE893" s="28"/>
      <c r="BF893" s="304" t="str">
        <f t="shared" si="608"/>
        <v/>
      </c>
      <c r="BG893" s="304" t="str">
        <f t="shared" si="608"/>
        <v/>
      </c>
      <c r="BH893" s="28"/>
      <c r="BI893" s="304">
        <f t="shared" si="609"/>
        <v>0.18525301204819278</v>
      </c>
      <c r="BJ893" s="304">
        <f t="shared" si="609"/>
        <v>0.18525301204819278</v>
      </c>
      <c r="BK893" s="28"/>
      <c r="BL893" s="304" t="str">
        <f t="shared" si="610"/>
        <v/>
      </c>
      <c r="BM893" s="304" t="str">
        <f t="shared" si="610"/>
        <v/>
      </c>
      <c r="BN893" s="28"/>
      <c r="BO893" s="304" t="str">
        <f t="shared" si="611"/>
        <v/>
      </c>
      <c r="BP893" s="304" t="str">
        <f t="shared" si="611"/>
        <v/>
      </c>
      <c r="BQ893" s="28"/>
      <c r="BR893" s="304" t="str">
        <f t="shared" si="612"/>
        <v/>
      </c>
      <c r="BS893" s="304" t="str">
        <f t="shared" si="612"/>
        <v/>
      </c>
      <c r="BT893" s="28"/>
      <c r="BU893" s="304" t="str">
        <f t="shared" si="613"/>
        <v/>
      </c>
      <c r="BV893" s="304" t="str">
        <f t="shared" si="613"/>
        <v/>
      </c>
      <c r="BW893" s="28"/>
      <c r="BX893" s="91"/>
    </row>
    <row r="894" spans="1:76" s="55" customFormat="1" x14ac:dyDescent="0.25">
      <c r="A894" s="195">
        <v>198</v>
      </c>
      <c r="B894" s="216" t="str">
        <f t="shared" si="618"/>
        <v>Latin America: FAO. 2017. Reducing Enteric Methane for improving food security and livelihoods</v>
      </c>
      <c r="C894" s="219" t="s">
        <v>488</v>
      </c>
      <c r="D894" s="379" t="s">
        <v>295</v>
      </c>
      <c r="E894" s="329" t="s">
        <v>100</v>
      </c>
      <c r="F894" s="341" t="s">
        <v>532</v>
      </c>
      <c r="G894" s="220" t="s">
        <v>26</v>
      </c>
      <c r="H894" s="221">
        <v>2017</v>
      </c>
      <c r="I894" s="240"/>
      <c r="J894" s="341">
        <v>41</v>
      </c>
      <c r="K894" s="380" t="s">
        <v>528</v>
      </c>
      <c r="L894" s="334">
        <f t="shared" si="617"/>
        <v>0.30626506024096384</v>
      </c>
      <c r="M894" s="335" t="str">
        <f>'[1]Advanced Controls'!$I$158</f>
        <v>t CH4-CO2eq per kg of protein</v>
      </c>
      <c r="N894" s="238"/>
      <c r="O894" s="227" t="s">
        <v>535</v>
      </c>
      <c r="P894" s="122"/>
      <c r="Q894" s="228"/>
      <c r="R894" s="231">
        <f t="shared" si="622"/>
        <v>0.30626506024096384</v>
      </c>
      <c r="S894" s="230">
        <f t="shared" si="619"/>
        <v>0.30626506024096384</v>
      </c>
      <c r="T894" s="231">
        <f t="shared" si="620"/>
        <v>0</v>
      </c>
      <c r="U894" s="232" t="str">
        <f t="shared" si="621"/>
        <v>t CH4-CO2eq per kg of protein</v>
      </c>
      <c r="V894" s="28"/>
      <c r="W894" s="28"/>
      <c r="Y894" s="91"/>
      <c r="AO894" s="91"/>
      <c r="AP894" s="28"/>
      <c r="AQ894" s="28"/>
      <c r="AR894" s="237"/>
      <c r="AS894" s="28"/>
      <c r="AT894" s="304" t="str">
        <f t="shared" si="614"/>
        <v/>
      </c>
      <c r="AU894" s="304" t="str">
        <f t="shared" si="614"/>
        <v/>
      </c>
      <c r="AV894" s="28"/>
      <c r="AW894" s="304" t="str">
        <f t="shared" si="605"/>
        <v/>
      </c>
      <c r="AX894" s="304" t="str">
        <f t="shared" si="605"/>
        <v/>
      </c>
      <c r="AY894" s="28"/>
      <c r="AZ894" s="304" t="str">
        <f t="shared" si="606"/>
        <v/>
      </c>
      <c r="BA894" s="304" t="str">
        <f t="shared" si="606"/>
        <v/>
      </c>
      <c r="BB894" s="28"/>
      <c r="BC894" s="304" t="str">
        <f t="shared" si="607"/>
        <v/>
      </c>
      <c r="BD894" s="304" t="str">
        <f t="shared" si="607"/>
        <v/>
      </c>
      <c r="BE894" s="28"/>
      <c r="BF894" s="304" t="str">
        <f t="shared" si="608"/>
        <v/>
      </c>
      <c r="BG894" s="304" t="str">
        <f t="shared" si="608"/>
        <v/>
      </c>
      <c r="BH894" s="28"/>
      <c r="BI894" s="304">
        <f t="shared" si="609"/>
        <v>0.30626506024096384</v>
      </c>
      <c r="BJ894" s="304">
        <f t="shared" si="609"/>
        <v>0.30626506024096384</v>
      </c>
      <c r="BK894" s="28"/>
      <c r="BL894" s="304" t="str">
        <f t="shared" si="610"/>
        <v/>
      </c>
      <c r="BM894" s="304" t="str">
        <f t="shared" si="610"/>
        <v/>
      </c>
      <c r="BN894" s="28"/>
      <c r="BO894" s="304" t="str">
        <f t="shared" si="611"/>
        <v/>
      </c>
      <c r="BP894" s="304" t="str">
        <f t="shared" si="611"/>
        <v/>
      </c>
      <c r="BQ894" s="28"/>
      <c r="BR894" s="304" t="str">
        <f t="shared" si="612"/>
        <v/>
      </c>
      <c r="BS894" s="304" t="str">
        <f t="shared" si="612"/>
        <v/>
      </c>
      <c r="BT894" s="28"/>
      <c r="BU894" s="304" t="str">
        <f t="shared" si="613"/>
        <v/>
      </c>
      <c r="BV894" s="304" t="str">
        <f t="shared" si="613"/>
        <v/>
      </c>
      <c r="BW894" s="28"/>
      <c r="BX894" s="91"/>
    </row>
    <row r="895" spans="1:76" s="55" customFormat="1" x14ac:dyDescent="0.25">
      <c r="A895" s="195">
        <v>199</v>
      </c>
      <c r="B895" s="216" t="str">
        <f t="shared" si="618"/>
        <v>Latin America: FAO. 2017. Reducing Enteric Methane for improving food security and livelihoods</v>
      </c>
      <c r="C895" s="219" t="s">
        <v>488</v>
      </c>
      <c r="D895" s="379" t="s">
        <v>295</v>
      </c>
      <c r="E895" s="329" t="s">
        <v>100</v>
      </c>
      <c r="F895" s="341" t="s">
        <v>532</v>
      </c>
      <c r="G895" s="220" t="s">
        <v>26</v>
      </c>
      <c r="H895" s="221">
        <v>2017</v>
      </c>
      <c r="I895" s="240"/>
      <c r="J895" s="341">
        <v>35.5</v>
      </c>
      <c r="K895" s="380" t="s">
        <v>528</v>
      </c>
      <c r="L895" s="334">
        <f t="shared" si="617"/>
        <v>0.2651807228915663</v>
      </c>
      <c r="M895" s="335" t="str">
        <f>'[1]Advanced Controls'!$I$158</f>
        <v>t CH4-CO2eq per kg of protein</v>
      </c>
      <c r="N895" s="238"/>
      <c r="O895" s="227" t="s">
        <v>533</v>
      </c>
      <c r="P895" s="122"/>
      <c r="Q895" s="228"/>
      <c r="R895" s="231">
        <f t="shared" si="622"/>
        <v>0.2651807228915663</v>
      </c>
      <c r="S895" s="230">
        <f t="shared" si="619"/>
        <v>0.2651807228915663</v>
      </c>
      <c r="T895" s="231">
        <f t="shared" si="620"/>
        <v>0</v>
      </c>
      <c r="U895" s="232" t="str">
        <f t="shared" si="621"/>
        <v>t CH4-CO2eq per kg of protein</v>
      </c>
      <c r="V895" s="28"/>
      <c r="W895" s="28"/>
      <c r="Y895" s="91"/>
      <c r="AO895" s="91"/>
      <c r="AP895" s="28"/>
      <c r="AQ895" s="28"/>
      <c r="AR895" s="237"/>
      <c r="AS895" s="28"/>
      <c r="AT895" s="304" t="str">
        <f t="shared" si="614"/>
        <v/>
      </c>
      <c r="AU895" s="304" t="str">
        <f t="shared" si="614"/>
        <v/>
      </c>
      <c r="AV895" s="28"/>
      <c r="AW895" s="304" t="str">
        <f t="shared" si="605"/>
        <v/>
      </c>
      <c r="AX895" s="304" t="str">
        <f t="shared" si="605"/>
        <v/>
      </c>
      <c r="AY895" s="28"/>
      <c r="AZ895" s="304" t="str">
        <f t="shared" si="606"/>
        <v/>
      </c>
      <c r="BA895" s="304" t="str">
        <f t="shared" si="606"/>
        <v/>
      </c>
      <c r="BB895" s="28"/>
      <c r="BC895" s="304" t="str">
        <f t="shared" si="607"/>
        <v/>
      </c>
      <c r="BD895" s="304" t="str">
        <f t="shared" si="607"/>
        <v/>
      </c>
      <c r="BE895" s="28"/>
      <c r="BF895" s="304" t="str">
        <f t="shared" si="608"/>
        <v/>
      </c>
      <c r="BG895" s="304" t="str">
        <f t="shared" si="608"/>
        <v/>
      </c>
      <c r="BH895" s="28"/>
      <c r="BI895" s="304">
        <f t="shared" si="609"/>
        <v>0.2651807228915663</v>
      </c>
      <c r="BJ895" s="304">
        <f t="shared" si="609"/>
        <v>0.2651807228915663</v>
      </c>
      <c r="BK895" s="28"/>
      <c r="BL895" s="304" t="str">
        <f t="shared" si="610"/>
        <v/>
      </c>
      <c r="BM895" s="304" t="str">
        <f t="shared" si="610"/>
        <v/>
      </c>
      <c r="BN895" s="28"/>
      <c r="BO895" s="304" t="str">
        <f t="shared" si="611"/>
        <v/>
      </c>
      <c r="BP895" s="304" t="str">
        <f t="shared" si="611"/>
        <v/>
      </c>
      <c r="BQ895" s="28"/>
      <c r="BR895" s="304" t="str">
        <f t="shared" si="612"/>
        <v/>
      </c>
      <c r="BS895" s="304" t="str">
        <f t="shared" si="612"/>
        <v/>
      </c>
      <c r="BT895" s="28"/>
      <c r="BU895" s="304" t="str">
        <f t="shared" si="613"/>
        <v/>
      </c>
      <c r="BV895" s="304" t="str">
        <f t="shared" si="613"/>
        <v/>
      </c>
      <c r="BW895" s="28"/>
      <c r="BX895" s="91"/>
    </row>
    <row r="896" spans="1:76" s="55" customFormat="1" x14ac:dyDescent="0.25">
      <c r="A896" s="195">
        <v>200</v>
      </c>
      <c r="B896" s="216" t="str">
        <f t="shared" si="618"/>
        <v>Latin America: FAO. 2017. Reducing Enteric Methane for improving food security and livelihoods</v>
      </c>
      <c r="C896" s="219" t="s">
        <v>488</v>
      </c>
      <c r="D896" s="379" t="s">
        <v>295</v>
      </c>
      <c r="E896" s="329" t="s">
        <v>100</v>
      </c>
      <c r="F896" s="341" t="s">
        <v>532</v>
      </c>
      <c r="G896" s="220" t="s">
        <v>26</v>
      </c>
      <c r="H896" s="221">
        <v>2017</v>
      </c>
      <c r="I896" s="240"/>
      <c r="J896" s="341">
        <v>24.8</v>
      </c>
      <c r="K896" s="380" t="s">
        <v>528</v>
      </c>
      <c r="L896" s="334">
        <f t="shared" si="617"/>
        <v>0.18525301204819278</v>
      </c>
      <c r="M896" s="335" t="str">
        <f>'[1]Advanced Controls'!$I$158</f>
        <v>t CH4-CO2eq per kg of protein</v>
      </c>
      <c r="N896" s="238"/>
      <c r="O896" s="227" t="s">
        <v>534</v>
      </c>
      <c r="P896" s="122"/>
      <c r="Q896" s="228"/>
      <c r="R896" s="231">
        <f t="shared" si="622"/>
        <v>0.18525301204819278</v>
      </c>
      <c r="S896" s="230">
        <f t="shared" si="619"/>
        <v>0.18525301204819278</v>
      </c>
      <c r="T896" s="231">
        <f t="shared" si="620"/>
        <v>0</v>
      </c>
      <c r="U896" s="232" t="str">
        <f t="shared" si="621"/>
        <v>t CH4-CO2eq per kg of protein</v>
      </c>
      <c r="V896" s="28"/>
      <c r="W896" s="28"/>
      <c r="Y896" s="91"/>
      <c r="AO896" s="91"/>
      <c r="AP896" s="28"/>
      <c r="AQ896" s="28"/>
      <c r="AR896" s="237"/>
      <c r="AS896" s="28"/>
      <c r="AT896" s="304" t="str">
        <f t="shared" si="614"/>
        <v/>
      </c>
      <c r="AU896" s="304" t="str">
        <f t="shared" si="614"/>
        <v/>
      </c>
      <c r="AV896" s="28"/>
      <c r="AW896" s="304" t="str">
        <f t="shared" si="605"/>
        <v/>
      </c>
      <c r="AX896" s="304" t="str">
        <f t="shared" si="605"/>
        <v/>
      </c>
      <c r="AY896" s="28"/>
      <c r="AZ896" s="304" t="str">
        <f t="shared" si="606"/>
        <v/>
      </c>
      <c r="BA896" s="304" t="str">
        <f t="shared" si="606"/>
        <v/>
      </c>
      <c r="BB896" s="28"/>
      <c r="BC896" s="304" t="str">
        <f t="shared" si="607"/>
        <v/>
      </c>
      <c r="BD896" s="304" t="str">
        <f t="shared" si="607"/>
        <v/>
      </c>
      <c r="BE896" s="28"/>
      <c r="BF896" s="304" t="str">
        <f t="shared" si="608"/>
        <v/>
      </c>
      <c r="BG896" s="304" t="str">
        <f t="shared" si="608"/>
        <v/>
      </c>
      <c r="BH896" s="28"/>
      <c r="BI896" s="304">
        <f t="shared" si="609"/>
        <v>0.18525301204819278</v>
      </c>
      <c r="BJ896" s="304">
        <f t="shared" si="609"/>
        <v>0.18525301204819278</v>
      </c>
      <c r="BK896" s="28"/>
      <c r="BL896" s="304" t="str">
        <f t="shared" si="610"/>
        <v/>
      </c>
      <c r="BM896" s="304" t="str">
        <f t="shared" si="610"/>
        <v/>
      </c>
      <c r="BN896" s="28"/>
      <c r="BO896" s="304" t="str">
        <f t="shared" si="611"/>
        <v/>
      </c>
      <c r="BP896" s="304" t="str">
        <f t="shared" si="611"/>
        <v/>
      </c>
      <c r="BQ896" s="28"/>
      <c r="BR896" s="304" t="str">
        <f t="shared" si="612"/>
        <v/>
      </c>
      <c r="BS896" s="304" t="str">
        <f t="shared" si="612"/>
        <v/>
      </c>
      <c r="BT896" s="28"/>
      <c r="BU896" s="304" t="str">
        <f t="shared" si="613"/>
        <v/>
      </c>
      <c r="BV896" s="304" t="str">
        <f t="shared" si="613"/>
        <v/>
      </c>
      <c r="BW896" s="28"/>
      <c r="BX896" s="91"/>
    </row>
    <row r="897" spans="1:76" s="55" customFormat="1" x14ac:dyDescent="0.25">
      <c r="A897" s="195">
        <v>201</v>
      </c>
      <c r="B897" s="216" t="str">
        <f t="shared" si="618"/>
        <v>Latin America: FAO. 2017. Reducing Enteric Methane for improving food security and livelihoods</v>
      </c>
      <c r="C897" s="219" t="s">
        <v>488</v>
      </c>
      <c r="D897" s="379" t="s">
        <v>295</v>
      </c>
      <c r="E897" s="329" t="s">
        <v>100</v>
      </c>
      <c r="F897" s="341" t="s">
        <v>532</v>
      </c>
      <c r="G897" s="220" t="s">
        <v>26</v>
      </c>
      <c r="H897" s="221">
        <v>2017</v>
      </c>
      <c r="I897" s="240"/>
      <c r="J897" s="341">
        <v>35.5</v>
      </c>
      <c r="K897" s="380" t="s">
        <v>528</v>
      </c>
      <c r="L897" s="334">
        <f t="shared" si="617"/>
        <v>0.2651807228915663</v>
      </c>
      <c r="M897" s="335" t="str">
        <f>'[1]Advanced Controls'!$I$158</f>
        <v>t CH4-CO2eq per kg of protein</v>
      </c>
      <c r="N897" s="238"/>
      <c r="O897" s="227" t="s">
        <v>533</v>
      </c>
      <c r="P897" s="122"/>
      <c r="Q897" s="228"/>
      <c r="R897" s="231">
        <f t="shared" si="622"/>
        <v>0.2651807228915663</v>
      </c>
      <c r="S897" s="230">
        <f t="shared" si="619"/>
        <v>0.2651807228915663</v>
      </c>
      <c r="T897" s="231">
        <f t="shared" si="620"/>
        <v>0</v>
      </c>
      <c r="U897" s="232" t="str">
        <f t="shared" si="621"/>
        <v>t CH4-CO2eq per kg of protein</v>
      </c>
      <c r="V897" s="28"/>
      <c r="W897" s="28"/>
      <c r="Y897" s="91"/>
      <c r="AO897" s="91"/>
      <c r="AP897" s="28"/>
      <c r="AQ897" s="28"/>
      <c r="AR897" s="237"/>
      <c r="AS897" s="28"/>
      <c r="AT897" s="304" t="str">
        <f t="shared" si="614"/>
        <v/>
      </c>
      <c r="AU897" s="304" t="str">
        <f t="shared" si="614"/>
        <v/>
      </c>
      <c r="AV897" s="28"/>
      <c r="AW897" s="304" t="str">
        <f t="shared" si="605"/>
        <v/>
      </c>
      <c r="AX897" s="304" t="str">
        <f t="shared" si="605"/>
        <v/>
      </c>
      <c r="AY897" s="28"/>
      <c r="AZ897" s="304" t="str">
        <f t="shared" si="606"/>
        <v/>
      </c>
      <c r="BA897" s="304" t="str">
        <f t="shared" si="606"/>
        <v/>
      </c>
      <c r="BB897" s="28"/>
      <c r="BC897" s="304" t="str">
        <f t="shared" si="607"/>
        <v/>
      </c>
      <c r="BD897" s="304" t="str">
        <f t="shared" si="607"/>
        <v/>
      </c>
      <c r="BE897" s="28"/>
      <c r="BF897" s="304" t="str">
        <f t="shared" si="608"/>
        <v/>
      </c>
      <c r="BG897" s="304" t="str">
        <f t="shared" si="608"/>
        <v/>
      </c>
      <c r="BH897" s="28"/>
      <c r="BI897" s="304">
        <f t="shared" si="609"/>
        <v>0.2651807228915663</v>
      </c>
      <c r="BJ897" s="304">
        <f t="shared" si="609"/>
        <v>0.2651807228915663</v>
      </c>
      <c r="BK897" s="28"/>
      <c r="BL897" s="304" t="str">
        <f t="shared" si="610"/>
        <v/>
      </c>
      <c r="BM897" s="304" t="str">
        <f t="shared" si="610"/>
        <v/>
      </c>
      <c r="BN897" s="28"/>
      <c r="BO897" s="304" t="str">
        <f t="shared" si="611"/>
        <v/>
      </c>
      <c r="BP897" s="304" t="str">
        <f t="shared" si="611"/>
        <v/>
      </c>
      <c r="BQ897" s="28"/>
      <c r="BR897" s="304" t="str">
        <f t="shared" si="612"/>
        <v/>
      </c>
      <c r="BS897" s="304" t="str">
        <f t="shared" si="612"/>
        <v/>
      </c>
      <c r="BT897" s="28"/>
      <c r="BU897" s="304" t="str">
        <f t="shared" si="613"/>
        <v/>
      </c>
      <c r="BV897" s="304" t="str">
        <f t="shared" si="613"/>
        <v/>
      </c>
      <c r="BW897" s="28"/>
      <c r="BX897" s="91"/>
    </row>
    <row r="898" spans="1:76" s="55" customFormat="1" x14ac:dyDescent="0.25">
      <c r="A898" s="195">
        <v>202</v>
      </c>
      <c r="B898" s="216" t="str">
        <f t="shared" si="618"/>
        <v>Latin America: FAO. 2017. Reducing Enteric Methane for improving food security and livelihoods</v>
      </c>
      <c r="C898" s="219" t="s">
        <v>488</v>
      </c>
      <c r="D898" s="379" t="s">
        <v>295</v>
      </c>
      <c r="E898" s="329" t="s">
        <v>100</v>
      </c>
      <c r="F898" s="341" t="s">
        <v>532</v>
      </c>
      <c r="G898" s="220" t="s">
        <v>26</v>
      </c>
      <c r="H898" s="221">
        <v>2017</v>
      </c>
      <c r="I898" s="240"/>
      <c r="J898" s="341">
        <v>24.8</v>
      </c>
      <c r="K898" s="380" t="s">
        <v>528</v>
      </c>
      <c r="L898" s="334">
        <f t="shared" si="617"/>
        <v>0.18525301204819278</v>
      </c>
      <c r="M898" s="335" t="str">
        <f>'[1]Advanced Controls'!$I$158</f>
        <v>t CH4-CO2eq per kg of protein</v>
      </c>
      <c r="N898" s="238"/>
      <c r="O898" s="227" t="s">
        <v>534</v>
      </c>
      <c r="P898" s="122"/>
      <c r="Q898" s="228"/>
      <c r="R898" s="231">
        <f t="shared" si="622"/>
        <v>0.18525301204819278</v>
      </c>
      <c r="S898" s="230">
        <f t="shared" si="619"/>
        <v>0.18525301204819278</v>
      </c>
      <c r="T898" s="231">
        <f t="shared" si="620"/>
        <v>0</v>
      </c>
      <c r="U898" s="232" t="str">
        <f t="shared" si="621"/>
        <v>t CH4-CO2eq per kg of protein</v>
      </c>
      <c r="V898" s="28"/>
      <c r="W898" s="28"/>
      <c r="Y898" s="91"/>
      <c r="AO898" s="91"/>
      <c r="AP898" s="28"/>
      <c r="AQ898" s="28"/>
      <c r="AR898" s="237"/>
      <c r="AS898" s="28"/>
      <c r="AT898" s="304" t="str">
        <f t="shared" si="614"/>
        <v/>
      </c>
      <c r="AU898" s="304" t="str">
        <f t="shared" si="614"/>
        <v/>
      </c>
      <c r="AV898" s="28"/>
      <c r="AW898" s="304" t="str">
        <f t="shared" si="605"/>
        <v/>
      </c>
      <c r="AX898" s="304" t="str">
        <f t="shared" si="605"/>
        <v/>
      </c>
      <c r="AY898" s="28"/>
      <c r="AZ898" s="304" t="str">
        <f t="shared" si="606"/>
        <v/>
      </c>
      <c r="BA898" s="304" t="str">
        <f t="shared" si="606"/>
        <v/>
      </c>
      <c r="BB898" s="28"/>
      <c r="BC898" s="304" t="str">
        <f t="shared" si="607"/>
        <v/>
      </c>
      <c r="BD898" s="304" t="str">
        <f t="shared" si="607"/>
        <v/>
      </c>
      <c r="BE898" s="28"/>
      <c r="BF898" s="304" t="str">
        <f t="shared" si="608"/>
        <v/>
      </c>
      <c r="BG898" s="304" t="str">
        <f t="shared" si="608"/>
        <v/>
      </c>
      <c r="BH898" s="28"/>
      <c r="BI898" s="304">
        <f t="shared" si="609"/>
        <v>0.18525301204819278</v>
      </c>
      <c r="BJ898" s="304">
        <f t="shared" si="609"/>
        <v>0.18525301204819278</v>
      </c>
      <c r="BK898" s="28"/>
      <c r="BL898" s="304" t="str">
        <f t="shared" si="610"/>
        <v/>
      </c>
      <c r="BM898" s="304" t="str">
        <f t="shared" si="610"/>
        <v/>
      </c>
      <c r="BN898" s="28"/>
      <c r="BO898" s="304" t="str">
        <f t="shared" si="611"/>
        <v/>
      </c>
      <c r="BP898" s="304" t="str">
        <f t="shared" si="611"/>
        <v/>
      </c>
      <c r="BQ898" s="28"/>
      <c r="BR898" s="304" t="str">
        <f t="shared" si="612"/>
        <v/>
      </c>
      <c r="BS898" s="304" t="str">
        <f t="shared" si="612"/>
        <v/>
      </c>
      <c r="BT898" s="28"/>
      <c r="BU898" s="304" t="str">
        <f t="shared" si="613"/>
        <v/>
      </c>
      <c r="BV898" s="304" t="str">
        <f t="shared" si="613"/>
        <v/>
      </c>
      <c r="BW898" s="28"/>
      <c r="BX898" s="91"/>
    </row>
    <row r="899" spans="1:76" s="55" customFormat="1" x14ac:dyDescent="0.25">
      <c r="A899" s="195">
        <v>203</v>
      </c>
      <c r="B899" s="216" t="str">
        <f t="shared" si="618"/>
        <v>Latin America: FAO. 2017. Reducing Enteric Methane for improving food security and livelihoods</v>
      </c>
      <c r="C899" s="219" t="s">
        <v>488</v>
      </c>
      <c r="D899" s="379" t="s">
        <v>295</v>
      </c>
      <c r="E899" s="329" t="s">
        <v>100</v>
      </c>
      <c r="F899" s="341" t="s">
        <v>532</v>
      </c>
      <c r="G899" s="220" t="s">
        <v>26</v>
      </c>
      <c r="H899" s="221">
        <v>2017</v>
      </c>
      <c r="I899" s="240"/>
      <c r="J899" s="341">
        <v>41</v>
      </c>
      <c r="K899" s="380" t="s">
        <v>528</v>
      </c>
      <c r="L899" s="334">
        <f t="shared" si="617"/>
        <v>0.30626506024096384</v>
      </c>
      <c r="M899" s="335" t="str">
        <f>'[1]Advanced Controls'!$I$158</f>
        <v>t CH4-CO2eq per kg of protein</v>
      </c>
      <c r="N899" s="238"/>
      <c r="O899" s="227" t="s">
        <v>535</v>
      </c>
      <c r="P899" s="122"/>
      <c r="Q899" s="228"/>
      <c r="R899" s="231">
        <f t="shared" si="622"/>
        <v>0.30626506024096384</v>
      </c>
      <c r="S899" s="230">
        <f t="shared" si="619"/>
        <v>0.30626506024096384</v>
      </c>
      <c r="T899" s="231">
        <f t="shared" si="620"/>
        <v>0</v>
      </c>
      <c r="U899" s="232" t="str">
        <f t="shared" si="621"/>
        <v>t CH4-CO2eq per kg of protein</v>
      </c>
      <c r="V899" s="28"/>
      <c r="W899" s="28"/>
      <c r="Y899" s="91"/>
      <c r="AO899" s="91"/>
      <c r="AP899" s="28"/>
      <c r="AQ899" s="28"/>
      <c r="AR899" s="237"/>
      <c r="AS899" s="28"/>
      <c r="AT899" s="304" t="str">
        <f t="shared" si="614"/>
        <v/>
      </c>
      <c r="AU899" s="304" t="str">
        <f t="shared" si="614"/>
        <v/>
      </c>
      <c r="AV899" s="28"/>
      <c r="AW899" s="304" t="str">
        <f t="shared" si="605"/>
        <v/>
      </c>
      <c r="AX899" s="304" t="str">
        <f t="shared" si="605"/>
        <v/>
      </c>
      <c r="AY899" s="28"/>
      <c r="AZ899" s="304" t="str">
        <f t="shared" si="606"/>
        <v/>
      </c>
      <c r="BA899" s="304" t="str">
        <f t="shared" si="606"/>
        <v/>
      </c>
      <c r="BB899" s="28"/>
      <c r="BC899" s="304" t="str">
        <f t="shared" si="607"/>
        <v/>
      </c>
      <c r="BD899" s="304" t="str">
        <f t="shared" si="607"/>
        <v/>
      </c>
      <c r="BE899" s="28"/>
      <c r="BF899" s="304" t="str">
        <f t="shared" si="608"/>
        <v/>
      </c>
      <c r="BG899" s="304" t="str">
        <f t="shared" si="608"/>
        <v/>
      </c>
      <c r="BH899" s="28"/>
      <c r="BI899" s="304">
        <f t="shared" si="609"/>
        <v>0.30626506024096384</v>
      </c>
      <c r="BJ899" s="304">
        <f t="shared" si="609"/>
        <v>0.30626506024096384</v>
      </c>
      <c r="BK899" s="28"/>
      <c r="BL899" s="304" t="str">
        <f t="shared" si="610"/>
        <v/>
      </c>
      <c r="BM899" s="304" t="str">
        <f t="shared" si="610"/>
        <v/>
      </c>
      <c r="BN899" s="28"/>
      <c r="BO899" s="304" t="str">
        <f t="shared" si="611"/>
        <v/>
      </c>
      <c r="BP899" s="304" t="str">
        <f t="shared" si="611"/>
        <v/>
      </c>
      <c r="BQ899" s="28"/>
      <c r="BR899" s="304" t="str">
        <f t="shared" si="612"/>
        <v/>
      </c>
      <c r="BS899" s="304" t="str">
        <f t="shared" si="612"/>
        <v/>
      </c>
      <c r="BT899" s="28"/>
      <c r="BU899" s="304" t="str">
        <f t="shared" si="613"/>
        <v/>
      </c>
      <c r="BV899" s="304" t="str">
        <f t="shared" si="613"/>
        <v/>
      </c>
      <c r="BW899" s="28"/>
      <c r="BX899" s="91"/>
    </row>
    <row r="900" spans="1:76" s="55" customFormat="1" x14ac:dyDescent="0.25">
      <c r="A900" s="195">
        <v>204</v>
      </c>
      <c r="B900" s="216" t="str">
        <f t="shared" si="618"/>
        <v>Latin America: FAO. 2017. Reducing Enteric Methane for improving food security and livelihoods</v>
      </c>
      <c r="C900" s="219" t="s">
        <v>488</v>
      </c>
      <c r="D900" s="379" t="s">
        <v>295</v>
      </c>
      <c r="E900" s="329" t="s">
        <v>100</v>
      </c>
      <c r="F900" s="341" t="s">
        <v>532</v>
      </c>
      <c r="G900" s="220" t="s">
        <v>26</v>
      </c>
      <c r="H900" s="221">
        <v>2017</v>
      </c>
      <c r="I900" s="240"/>
      <c r="J900" s="341">
        <v>35.5</v>
      </c>
      <c r="K900" s="380" t="s">
        <v>528</v>
      </c>
      <c r="L900" s="334">
        <f t="shared" si="617"/>
        <v>0.2651807228915663</v>
      </c>
      <c r="M900" s="335" t="str">
        <f>'[1]Advanced Controls'!$I$158</f>
        <v>t CH4-CO2eq per kg of protein</v>
      </c>
      <c r="N900" s="238"/>
      <c r="O900" s="227" t="s">
        <v>533</v>
      </c>
      <c r="P900" s="122"/>
      <c r="Q900" s="228"/>
      <c r="R900" s="231">
        <f t="shared" si="622"/>
        <v>0.2651807228915663</v>
      </c>
      <c r="S900" s="230">
        <f t="shared" si="619"/>
        <v>0.2651807228915663</v>
      </c>
      <c r="T900" s="231">
        <f t="shared" si="620"/>
        <v>0</v>
      </c>
      <c r="U900" s="232" t="str">
        <f t="shared" si="621"/>
        <v>t CH4-CO2eq per kg of protein</v>
      </c>
      <c r="V900" s="28"/>
      <c r="W900" s="28"/>
      <c r="Y900" s="91"/>
      <c r="AO900" s="91"/>
      <c r="AP900" s="28"/>
      <c r="AQ900" s="28"/>
      <c r="AR900" s="237"/>
      <c r="AS900" s="28"/>
      <c r="AT900" s="304" t="str">
        <f t="shared" si="614"/>
        <v/>
      </c>
      <c r="AU900" s="304" t="str">
        <f t="shared" si="614"/>
        <v/>
      </c>
      <c r="AV900" s="28"/>
      <c r="AW900" s="304" t="str">
        <f t="shared" si="605"/>
        <v/>
      </c>
      <c r="AX900" s="304" t="str">
        <f t="shared" si="605"/>
        <v/>
      </c>
      <c r="AY900" s="28"/>
      <c r="AZ900" s="304" t="str">
        <f t="shared" si="606"/>
        <v/>
      </c>
      <c r="BA900" s="304" t="str">
        <f t="shared" si="606"/>
        <v/>
      </c>
      <c r="BB900" s="28"/>
      <c r="BC900" s="304" t="str">
        <f t="shared" si="607"/>
        <v/>
      </c>
      <c r="BD900" s="304" t="str">
        <f t="shared" si="607"/>
        <v/>
      </c>
      <c r="BE900" s="28"/>
      <c r="BF900" s="304" t="str">
        <f t="shared" si="608"/>
        <v/>
      </c>
      <c r="BG900" s="304" t="str">
        <f t="shared" si="608"/>
        <v/>
      </c>
      <c r="BH900" s="28"/>
      <c r="BI900" s="304">
        <f t="shared" si="609"/>
        <v>0.2651807228915663</v>
      </c>
      <c r="BJ900" s="304">
        <f t="shared" si="609"/>
        <v>0.2651807228915663</v>
      </c>
      <c r="BK900" s="28"/>
      <c r="BL900" s="304" t="str">
        <f t="shared" si="610"/>
        <v/>
      </c>
      <c r="BM900" s="304" t="str">
        <f t="shared" si="610"/>
        <v/>
      </c>
      <c r="BN900" s="28"/>
      <c r="BO900" s="304" t="str">
        <f t="shared" si="611"/>
        <v/>
      </c>
      <c r="BP900" s="304" t="str">
        <f t="shared" si="611"/>
        <v/>
      </c>
      <c r="BQ900" s="28"/>
      <c r="BR900" s="304" t="str">
        <f t="shared" si="612"/>
        <v/>
      </c>
      <c r="BS900" s="304" t="str">
        <f t="shared" si="612"/>
        <v/>
      </c>
      <c r="BT900" s="28"/>
      <c r="BU900" s="304" t="str">
        <f t="shared" si="613"/>
        <v/>
      </c>
      <c r="BV900" s="304" t="str">
        <f t="shared" si="613"/>
        <v/>
      </c>
      <c r="BW900" s="28"/>
      <c r="BX900" s="91"/>
    </row>
    <row r="901" spans="1:76" s="55" customFormat="1" x14ac:dyDescent="0.25">
      <c r="A901" s="195">
        <v>205</v>
      </c>
      <c r="B901" s="216" t="str">
        <f t="shared" si="618"/>
        <v>Latin America: FAO. 2017. Reducing Enteric Methane for improving food security and livelihoods</v>
      </c>
      <c r="C901" s="219" t="s">
        <v>488</v>
      </c>
      <c r="D901" s="379" t="s">
        <v>295</v>
      </c>
      <c r="E901" s="329" t="s">
        <v>100</v>
      </c>
      <c r="F901" s="341" t="s">
        <v>532</v>
      </c>
      <c r="G901" s="220" t="s">
        <v>26</v>
      </c>
      <c r="H901" s="221">
        <v>2017</v>
      </c>
      <c r="I901" s="240"/>
      <c r="J901" s="341">
        <v>24.8</v>
      </c>
      <c r="K901" s="380" t="s">
        <v>528</v>
      </c>
      <c r="L901" s="334">
        <f t="shared" si="617"/>
        <v>0.18525301204819278</v>
      </c>
      <c r="M901" s="335" t="str">
        <f>'[1]Advanced Controls'!$I$158</f>
        <v>t CH4-CO2eq per kg of protein</v>
      </c>
      <c r="N901" s="238"/>
      <c r="O901" s="227" t="s">
        <v>534</v>
      </c>
      <c r="P901" s="122"/>
      <c r="Q901" s="228"/>
      <c r="R901" s="231">
        <f t="shared" si="622"/>
        <v>0.18525301204819278</v>
      </c>
      <c r="S901" s="230">
        <f t="shared" si="619"/>
        <v>0.18525301204819278</v>
      </c>
      <c r="T901" s="231">
        <f t="shared" si="620"/>
        <v>0</v>
      </c>
      <c r="U901" s="232" t="str">
        <f t="shared" si="621"/>
        <v>t CH4-CO2eq per kg of protein</v>
      </c>
      <c r="V901" s="28"/>
      <c r="W901" s="28"/>
      <c r="Y901" s="91"/>
      <c r="AO901" s="91"/>
      <c r="AP901" s="28"/>
      <c r="AQ901" s="28"/>
      <c r="AR901" s="237"/>
      <c r="AS901" s="28"/>
      <c r="AT901" s="304" t="str">
        <f t="shared" si="614"/>
        <v/>
      </c>
      <c r="AU901" s="304" t="str">
        <f t="shared" si="614"/>
        <v/>
      </c>
      <c r="AV901" s="28"/>
      <c r="AW901" s="304" t="str">
        <f t="shared" si="605"/>
        <v/>
      </c>
      <c r="AX901" s="304" t="str">
        <f t="shared" si="605"/>
        <v/>
      </c>
      <c r="AY901" s="28"/>
      <c r="AZ901" s="304" t="str">
        <f t="shared" si="606"/>
        <v/>
      </c>
      <c r="BA901" s="304" t="str">
        <f t="shared" si="606"/>
        <v/>
      </c>
      <c r="BB901" s="28"/>
      <c r="BC901" s="304" t="str">
        <f t="shared" si="607"/>
        <v/>
      </c>
      <c r="BD901" s="304" t="str">
        <f t="shared" si="607"/>
        <v/>
      </c>
      <c r="BE901" s="28"/>
      <c r="BF901" s="304" t="str">
        <f t="shared" si="608"/>
        <v/>
      </c>
      <c r="BG901" s="304" t="str">
        <f t="shared" si="608"/>
        <v/>
      </c>
      <c r="BH901" s="28"/>
      <c r="BI901" s="304">
        <f t="shared" si="609"/>
        <v>0.18525301204819278</v>
      </c>
      <c r="BJ901" s="304">
        <f t="shared" si="609"/>
        <v>0.18525301204819278</v>
      </c>
      <c r="BK901" s="28"/>
      <c r="BL901" s="304" t="str">
        <f t="shared" si="610"/>
        <v/>
      </c>
      <c r="BM901" s="304" t="str">
        <f t="shared" si="610"/>
        <v/>
      </c>
      <c r="BN901" s="28"/>
      <c r="BO901" s="304" t="str">
        <f t="shared" si="611"/>
        <v/>
      </c>
      <c r="BP901" s="304" t="str">
        <f t="shared" si="611"/>
        <v/>
      </c>
      <c r="BQ901" s="28"/>
      <c r="BR901" s="304" t="str">
        <f t="shared" si="612"/>
        <v/>
      </c>
      <c r="BS901" s="304" t="str">
        <f t="shared" si="612"/>
        <v/>
      </c>
      <c r="BT901" s="28"/>
      <c r="BU901" s="304" t="str">
        <f t="shared" si="613"/>
        <v/>
      </c>
      <c r="BV901" s="304" t="str">
        <f t="shared" si="613"/>
        <v/>
      </c>
      <c r="BW901" s="28"/>
      <c r="BX901" s="91"/>
    </row>
    <row r="902" spans="1:76" s="55" customFormat="1" x14ac:dyDescent="0.25">
      <c r="A902" s="195"/>
      <c r="B902" s="244" t="s">
        <v>163</v>
      </c>
      <c r="C902" s="199"/>
      <c r="D902" s="199"/>
      <c r="E902" s="199"/>
      <c r="F902" s="199"/>
      <c r="G902" s="122"/>
      <c r="H902" s="28"/>
      <c r="I902" s="245"/>
      <c r="J902" s="122"/>
      <c r="K902" s="122"/>
      <c r="L902" s="122" t="s">
        <v>134</v>
      </c>
      <c r="M902" s="122"/>
      <c r="N902" s="122"/>
      <c r="O902" s="122"/>
      <c r="P902" s="122"/>
      <c r="Q902" s="305" t="s">
        <v>136</v>
      </c>
      <c r="R902" s="246">
        <f>AVERAGE(R697:R901)</f>
        <v>0.39915710604491178</v>
      </c>
      <c r="S902" s="247" cm="1">
        <f t="array" ref="S902">IF(R910="Y",SUM(S697:S901)/SUMPRODUCT(N697:N901,--ISNUMBER(S697:S901)),AVERAGE(S697:S901))</f>
        <v>0.30594853236544056</v>
      </c>
      <c r="T902" s="248" t="e">
        <f>SUM(T697:T901)/SUMPRODUCT(N697:N901,--ISNUMBER(T697:T901))</f>
        <v>#DIV/0!</v>
      </c>
      <c r="U902" s="28"/>
      <c r="V902" s="28"/>
      <c r="W902" s="28"/>
      <c r="Y902" s="249"/>
      <c r="AO902" s="91"/>
      <c r="AP902" s="28"/>
      <c r="AQ902" s="28"/>
      <c r="AR902" s="28"/>
      <c r="AS902" s="245" t="s">
        <v>136</v>
      </c>
      <c r="AT902" s="307">
        <f>AVERAGE(AT697:AT901)</f>
        <v>0.12618474426444753</v>
      </c>
      <c r="AU902" s="307">
        <f>SUM(AU697:AU901)/COUNTIF(AU697:AU901,"&gt;0")</f>
        <v>0.12618474426444753</v>
      </c>
      <c r="AV902" s="245"/>
      <c r="AW902" s="307">
        <f>AVERAGE(AW697:AW901)</f>
        <v>0.34635490649817952</v>
      </c>
      <c r="AX902" s="307">
        <f>SUM(AX697:AX901)/COUNTIF(AX697:AX901,"&gt;0")</f>
        <v>8.0457024834992216E-2</v>
      </c>
      <c r="AY902" s="28"/>
      <c r="AZ902" s="307">
        <f>AVERAGE(AZ697:AZ901)</f>
        <v>0.15715717760221107</v>
      </c>
      <c r="BA902" s="307">
        <f>SUM(BA697:BA901)/COUNTIF(BA697:BA901,"&gt;0")</f>
        <v>0.15715717760221107</v>
      </c>
      <c r="BB902" s="28"/>
      <c r="BC902" s="307">
        <f>AVERAGE(BC697:BC901)</f>
        <v>0.25319792817107706</v>
      </c>
      <c r="BD902" s="307">
        <f>SUM(BD697:BD901)/COUNTIF(BD697:BD901,"&gt;0")</f>
        <v>0.25319792817107706</v>
      </c>
      <c r="BE902" s="28"/>
      <c r="BF902" s="307">
        <f>AVERAGE(BF697:BF901)</f>
        <v>0.67426815100157278</v>
      </c>
      <c r="BG902" s="307">
        <f>SUM(BG697:BG901)/COUNTIF(BG697:BG901,"&gt;0")</f>
        <v>0.54374113588167516</v>
      </c>
      <c r="BH902" s="28"/>
      <c r="BI902" s="307">
        <f>AVERAGE(BI697:BI901)</f>
        <v>0.24062897908945402</v>
      </c>
      <c r="BJ902" s="307">
        <f>SUM(BJ697:BJ901)/COUNTIF(BJ697:BJ901,"&gt;0")</f>
        <v>0.24062897908945402</v>
      </c>
      <c r="BK902" s="245"/>
      <c r="BL902" s="307" t="e">
        <f>AVERAGE(BL697:BL901)</f>
        <v>#DIV/0!</v>
      </c>
      <c r="BM902" s="307" t="e">
        <f>SUM(BM697:BM901)/COUNTIF(BM697:BM901,"&gt;0")</f>
        <v>#DIV/0!</v>
      </c>
      <c r="BN902" s="28"/>
      <c r="BO902" s="307" t="e">
        <f>AVERAGE(BO697:BO901)</f>
        <v>#DIV/0!</v>
      </c>
      <c r="BP902" s="307" t="e">
        <f>SUM(BP697:BP901)/COUNTIF(BP697:BP901,"&gt;0")</f>
        <v>#DIV/0!</v>
      </c>
      <c r="BQ902" s="28"/>
      <c r="BR902" s="307" t="e">
        <f>AVERAGE(BR697:BR901)</f>
        <v>#DIV/0!</v>
      </c>
      <c r="BS902" s="307" t="e">
        <f>SUM(BS697:BS901)/COUNTIF(BS697:BS901,"&gt;0")</f>
        <v>#DIV/0!</v>
      </c>
      <c r="BT902" s="28"/>
      <c r="BU902" s="307" t="e">
        <f>AVERAGE(BU697:BU901)</f>
        <v>#DIV/0!</v>
      </c>
      <c r="BV902" s="307" t="e">
        <f>SUM(BV697:BV901)/COUNTIF(BV697:BV901,"&gt;0")</f>
        <v>#DIV/0!</v>
      </c>
      <c r="BW902" s="28"/>
      <c r="BX902" s="91"/>
    </row>
    <row r="903" spans="1:76" s="55" customFormat="1" x14ac:dyDescent="0.25">
      <c r="A903" s="195"/>
      <c r="B903" s="244" t="s">
        <v>164</v>
      </c>
      <c r="C903" s="199" t="s">
        <v>139</v>
      </c>
      <c r="D903" s="252" t="s">
        <v>536</v>
      </c>
      <c r="E903" s="253"/>
      <c r="F903" s="253"/>
      <c r="G903" s="253"/>
      <c r="H903" s="253"/>
      <c r="I903" s="253"/>
      <c r="J903" s="254"/>
      <c r="K903" s="122"/>
      <c r="L903" s="122"/>
      <c r="M903" s="122"/>
      <c r="N903" s="122"/>
      <c r="O903" s="122"/>
      <c r="P903" s="122"/>
      <c r="Q903" s="306" t="s">
        <v>144</v>
      </c>
      <c r="R903" s="257">
        <f>R902+U903*R906</f>
        <v>1.2552513463966373</v>
      </c>
      <c r="S903" s="257">
        <f>S902+U903*S906</f>
        <v>0.76358976803926959</v>
      </c>
      <c r="T903" s="257" t="e">
        <f>T902+U903*T906</f>
        <v>#DIV/0!</v>
      </c>
      <c r="U903" s="258">
        <v>1</v>
      </c>
      <c r="V903" s="122" t="s">
        <v>142</v>
      </c>
      <c r="W903" s="28"/>
      <c r="X903" s="259" t="s">
        <v>143</v>
      </c>
      <c r="Y903" s="260"/>
      <c r="AO903" s="91"/>
      <c r="AP903" s="28"/>
      <c r="AQ903" s="28"/>
      <c r="AR903" s="28"/>
      <c r="AS903" s="256" t="s">
        <v>144</v>
      </c>
      <c r="AT903" s="261">
        <f>AT902+(AT908*AT905)</f>
        <v>0.23472973301925087</v>
      </c>
      <c r="AU903" s="261">
        <f>AU902+(AU908*AT905)</f>
        <v>0.23472973301925087</v>
      </c>
      <c r="AV903" s="256"/>
      <c r="AW903" s="261">
        <f>AW902+(AW908*AW905)</f>
        <v>1.876268114842879</v>
      </c>
      <c r="AX903" s="261">
        <f>AX902+(AX908*AW905)</f>
        <v>0.16832126298305836</v>
      </c>
      <c r="AY903" s="28"/>
      <c r="AZ903" s="261">
        <f>AZ902+(AZ908*AZ905)</f>
        <v>0.37890848326308635</v>
      </c>
      <c r="BA903" s="261">
        <f>BA902+(BA908*AZ905)</f>
        <v>0.37890848326308635</v>
      </c>
      <c r="BB903" s="28"/>
      <c r="BC903" s="261">
        <f>BC902+(BC908*BC905)</f>
        <v>0.767975009152291</v>
      </c>
      <c r="BD903" s="261">
        <f>BD902+(BD908*BC905)</f>
        <v>0.767975009152291</v>
      </c>
      <c r="BE903" s="28"/>
      <c r="BF903" s="261">
        <f>BF902+(BF908*BF905)</f>
        <v>1.5117360876739396</v>
      </c>
      <c r="BG903" s="261">
        <f>BG902+(BG908*BF905)</f>
        <v>1.1227672190770446</v>
      </c>
      <c r="BH903" s="28"/>
      <c r="BI903" s="261">
        <f>BI902+(BI908*BI905)</f>
        <v>0.55865396180398652</v>
      </c>
      <c r="BJ903" s="261">
        <f>BJ902+(BJ908*BI905)</f>
        <v>0.55865396180398652</v>
      </c>
      <c r="BK903" s="256"/>
      <c r="BL903" s="261" t="e">
        <f>BL902+(BL908*BL905)</f>
        <v>#DIV/0!</v>
      </c>
      <c r="BM903" s="261" t="e">
        <f>BM902+(BM908*BL905)</f>
        <v>#DIV/0!</v>
      </c>
      <c r="BN903" s="28"/>
      <c r="BO903" s="261" t="e">
        <f>BO902+(BO908*BO905)</f>
        <v>#DIV/0!</v>
      </c>
      <c r="BP903" s="261" t="e">
        <f>BP902+(BP908*BO905)</f>
        <v>#DIV/0!</v>
      </c>
      <c r="BQ903" s="28"/>
      <c r="BR903" s="261" t="e">
        <f>BR902+(BR908*BR905)</f>
        <v>#DIV/0!</v>
      </c>
      <c r="BS903" s="261" t="e">
        <f>BS902+(BS908*BR905)</f>
        <v>#DIV/0!</v>
      </c>
      <c r="BT903" s="28"/>
      <c r="BU903" s="261" t="e">
        <f>BU902+(BU908*BU905)</f>
        <v>#DIV/0!</v>
      </c>
      <c r="BV903" s="261" t="e">
        <f>BV902+(BV908*BU905)</f>
        <v>#DIV/0!</v>
      </c>
      <c r="BW903" s="28"/>
      <c r="BX903" s="91"/>
    </row>
    <row r="904" spans="1:76" s="55" customFormat="1" x14ac:dyDescent="0.25">
      <c r="A904" s="195"/>
      <c r="B904" s="244" t="s">
        <v>165</v>
      </c>
      <c r="C904" s="195"/>
      <c r="D904" s="263"/>
      <c r="E904" s="264"/>
      <c r="F904" s="264"/>
      <c r="G904" s="264"/>
      <c r="H904" s="264"/>
      <c r="I904" s="264"/>
      <c r="J904" s="265"/>
      <c r="K904" s="28"/>
      <c r="L904" s="28"/>
      <c r="M904" s="122"/>
      <c r="N904" s="122"/>
      <c r="O904" s="122"/>
      <c r="P904" s="122"/>
      <c r="Q904" s="306" t="s">
        <v>150</v>
      </c>
      <c r="R904" s="257">
        <f>IF($X904="Y",MIN(R697:R901),R902-$U904*R906)</f>
        <v>2.2207140732119019E-5</v>
      </c>
      <c r="S904" s="257">
        <f t="shared" ref="S904:T904" si="623">IF($X904="Y",MIN(S697:S901),S902-$U904*S906)</f>
        <v>2.2207140732119019E-5</v>
      </c>
      <c r="T904" s="257">
        <f t="shared" si="623"/>
        <v>0</v>
      </c>
      <c r="U904" s="258">
        <v>1</v>
      </c>
      <c r="V904" s="122" t="s">
        <v>148</v>
      </c>
      <c r="W904" s="28"/>
      <c r="X904" s="266" t="s">
        <v>327</v>
      </c>
      <c r="Y904" s="260"/>
      <c r="AO904" s="91"/>
      <c r="AP904" s="28"/>
      <c r="AQ904" s="28"/>
      <c r="AR904" s="28"/>
      <c r="AS904" s="256" t="s">
        <v>150</v>
      </c>
      <c r="AT904" s="261">
        <f>AT902-(AT908*AT906)</f>
        <v>1.7639755509644181E-2</v>
      </c>
      <c r="AU904" s="261">
        <f>AU902-(AU908*AT906)</f>
        <v>1.7639755509644181E-2</v>
      </c>
      <c r="AV904" s="256"/>
      <c r="AW904" s="261">
        <f>AW902-(AW908*AW906)</f>
        <v>-1.1835583018465201</v>
      </c>
      <c r="AX904" s="261">
        <f>AX902-(AX908*AW906)</f>
        <v>-7.4072133130739237E-3</v>
      </c>
      <c r="AY904" s="28"/>
      <c r="AZ904" s="261">
        <f>AZ902-(AZ908*AZ906)</f>
        <v>-6.4594128058664241E-2</v>
      </c>
      <c r="BA904" s="261">
        <f>BA902-(BA908*AZ906)</f>
        <v>-6.4594128058664241E-2</v>
      </c>
      <c r="BB904" s="28"/>
      <c r="BC904" s="261">
        <f>BC902-(BC908*BC906)</f>
        <v>-0.26157915281013683</v>
      </c>
      <c r="BD904" s="261">
        <f>BD902-(BD908*BC906)</f>
        <v>-0.26157915281013683</v>
      </c>
      <c r="BE904" s="28"/>
      <c r="BF904" s="261">
        <f>BF902-(BF908*BF906)</f>
        <v>-0.16319978567079396</v>
      </c>
      <c r="BG904" s="261">
        <f>BG902-(BG908*BF906)</f>
        <v>-3.5284947313694359E-2</v>
      </c>
      <c r="BH904" s="28"/>
      <c r="BI904" s="261">
        <f>BI902-(BI908*BI906)</f>
        <v>-7.7396003625078424E-2</v>
      </c>
      <c r="BJ904" s="261">
        <f>BJ902-(BJ908*BI906)</f>
        <v>-7.7396003625078424E-2</v>
      </c>
      <c r="BK904" s="256"/>
      <c r="BL904" s="261" t="e">
        <f>BL902-(BL908*BL906)</f>
        <v>#DIV/0!</v>
      </c>
      <c r="BM904" s="261" t="e">
        <f>BM902-(BM908*BL906)</f>
        <v>#DIV/0!</v>
      </c>
      <c r="BN904" s="28"/>
      <c r="BO904" s="261" t="e">
        <f>BO902-(BO908*BO906)</f>
        <v>#DIV/0!</v>
      </c>
      <c r="BP904" s="261" t="e">
        <f>BP902-(BP908*BO906)</f>
        <v>#DIV/0!</v>
      </c>
      <c r="BQ904" s="28"/>
      <c r="BR904" s="261" t="e">
        <f>BR902-(BR908*BR906)</f>
        <v>#DIV/0!</v>
      </c>
      <c r="BS904" s="261" t="e">
        <f>BS902-(BS908*BR906)</f>
        <v>#DIV/0!</v>
      </c>
      <c r="BT904" s="28"/>
      <c r="BU904" s="261" t="e">
        <f>BU902-(BU908*BU906)</f>
        <v>#DIV/0!</v>
      </c>
      <c r="BV904" s="261" t="e">
        <f>BV902-(BV908*BU906)</f>
        <v>#DIV/0!</v>
      </c>
      <c r="BW904" s="28"/>
      <c r="BX904" s="91"/>
    </row>
    <row r="905" spans="1:76" s="55" customFormat="1" ht="14.25" x14ac:dyDescent="0.2">
      <c r="A905" s="195"/>
      <c r="B905" s="196"/>
      <c r="C905" s="195"/>
      <c r="D905" s="263"/>
      <c r="E905" s="264"/>
      <c r="F905" s="264"/>
      <c r="G905" s="264"/>
      <c r="H905" s="264"/>
      <c r="I905" s="264"/>
      <c r="J905" s="265"/>
      <c r="K905" s="122"/>
      <c r="L905" s="122"/>
      <c r="M905" s="122"/>
      <c r="N905" s="122"/>
      <c r="O905" s="122"/>
      <c r="P905" s="122"/>
      <c r="Q905" s="306" t="s">
        <v>151</v>
      </c>
      <c r="R905" s="257" t="str">
        <f>IF((0.67*R906)&gt;R902,"no","yes")</f>
        <v>no</v>
      </c>
      <c r="S905" s="257" t="str">
        <f>IF((0.67*S906)&gt;S902,"no","yes")</f>
        <v>no</v>
      </c>
      <c r="T905" s="257" t="e">
        <f>IF((0.67*T906)&gt;T902,"no","yes")</f>
        <v>#DIV/0!</v>
      </c>
      <c r="U905" s="122"/>
      <c r="V905" s="122"/>
      <c r="W905" s="122"/>
      <c r="Y905" s="260"/>
      <c r="AO905" s="91"/>
      <c r="AP905" s="122"/>
      <c r="AQ905" s="122"/>
      <c r="AR905" s="267" t="s">
        <v>152</v>
      </c>
      <c r="AS905" s="268"/>
      <c r="AT905" s="258">
        <v>1</v>
      </c>
      <c r="AU905" s="122"/>
      <c r="AV905" s="308"/>
      <c r="AW905" s="258">
        <v>1</v>
      </c>
      <c r="AX905" s="122"/>
      <c r="AY905" s="122"/>
      <c r="AZ905" s="258">
        <v>1</v>
      </c>
      <c r="BA905" s="122"/>
      <c r="BB905" s="122"/>
      <c r="BC905" s="258">
        <v>1</v>
      </c>
      <c r="BD905" s="122"/>
      <c r="BE905" s="122"/>
      <c r="BF905" s="258">
        <v>1</v>
      </c>
      <c r="BG905" s="122"/>
      <c r="BH905" s="122"/>
      <c r="BI905" s="258">
        <v>1</v>
      </c>
      <c r="BJ905" s="122"/>
      <c r="BK905" s="256"/>
      <c r="BL905" s="258">
        <v>1</v>
      </c>
      <c r="BM905" s="122"/>
      <c r="BN905" s="122"/>
      <c r="BO905" s="258">
        <v>1</v>
      </c>
      <c r="BP905" s="122"/>
      <c r="BQ905" s="122"/>
      <c r="BR905" s="258">
        <v>1</v>
      </c>
      <c r="BS905" s="122"/>
      <c r="BT905" s="122"/>
      <c r="BU905" s="258">
        <v>1</v>
      </c>
      <c r="BV905" s="122"/>
      <c r="BW905" s="122"/>
      <c r="BX905" s="91"/>
    </row>
    <row r="906" spans="1:76" s="55" customFormat="1" ht="28.5" x14ac:dyDescent="0.2">
      <c r="A906" s="270" t="e">
        <f ca="1">HYPERLINK("#"&amp;"'"&amp;A$1&amp;"'!a1","Back to top")</f>
        <v>#VALUE!</v>
      </c>
      <c r="B906" s="271"/>
      <c r="C906" s="195"/>
      <c r="D906" s="263"/>
      <c r="E906" s="264"/>
      <c r="F906" s="264"/>
      <c r="G906" s="264"/>
      <c r="H906" s="264"/>
      <c r="I906" s="264"/>
      <c r="J906" s="265"/>
      <c r="K906" s="122"/>
      <c r="L906" s="122"/>
      <c r="M906" s="122"/>
      <c r="N906" s="122"/>
      <c r="O906" s="122"/>
      <c r="P906" s="122"/>
      <c r="Q906" s="306" t="s">
        <v>157</v>
      </c>
      <c r="R906" s="257">
        <f>IF(COUNT(R697:R901)&gt;1,_xlfn.STDEV.S(R697:R901),0)</f>
        <v>0.85609424035172554</v>
      </c>
      <c r="S906" s="257">
        <f t="array" ref="S906">IF(R910="Y",SQRT(SUM(IFERROR(N697:N901*(R697:R901-(S902))^2,0))/((COUNT(S697:S901)-1)/COUNT(S697:S901)*SUMPRODUCT(N697:N901,--ISNUMBER(S697:S901)))),_xlfn.STDEV.S(S697:S901))</f>
        <v>0.45764123567382908</v>
      </c>
      <c r="T906" s="257" t="e">
        <f t="array" ref="T906">SQRT(SUM(IFERROR(N697:N901*(R697:R901-(T902))^2,0))/((COUNT(T697:T901)-1)/COUNT(T697:T901)*SUMPRODUCT(N697:N901,--ISNUMBER(T697:T901))))</f>
        <v>#DIV/0!</v>
      </c>
      <c r="U906" s="122"/>
      <c r="V906" s="122"/>
      <c r="W906" s="122"/>
      <c r="Y906" s="260"/>
      <c r="AO906" s="91"/>
      <c r="AP906" s="122"/>
      <c r="AQ906" s="122"/>
      <c r="AR906" s="267"/>
      <c r="AS906" s="268"/>
      <c r="AT906" s="258">
        <v>1</v>
      </c>
      <c r="AU906" s="122"/>
      <c r="AV906" s="308"/>
      <c r="AW906" s="258">
        <v>1</v>
      </c>
      <c r="AX906" s="122"/>
      <c r="AY906" s="122"/>
      <c r="AZ906" s="258">
        <v>1</v>
      </c>
      <c r="BA906" s="122"/>
      <c r="BB906" s="122"/>
      <c r="BC906" s="258">
        <v>1</v>
      </c>
      <c r="BD906" s="122"/>
      <c r="BE906" s="122"/>
      <c r="BF906" s="258">
        <v>1</v>
      </c>
      <c r="BG906" s="122"/>
      <c r="BH906" s="122"/>
      <c r="BI906" s="258">
        <v>1</v>
      </c>
      <c r="BJ906" s="122"/>
      <c r="BK906" s="256"/>
      <c r="BL906" s="258">
        <v>1</v>
      </c>
      <c r="BM906" s="122"/>
      <c r="BN906" s="122"/>
      <c r="BO906" s="258">
        <v>1</v>
      </c>
      <c r="BP906" s="122"/>
      <c r="BQ906" s="122"/>
      <c r="BR906" s="258">
        <v>1</v>
      </c>
      <c r="BS906" s="122"/>
      <c r="BT906" s="122"/>
      <c r="BU906" s="258">
        <v>1</v>
      </c>
      <c r="BV906" s="122"/>
      <c r="BW906" s="122"/>
      <c r="BX906" s="91"/>
    </row>
    <row r="907" spans="1:76" s="55" customFormat="1" ht="15" customHeight="1" x14ac:dyDescent="0.25">
      <c r="A907" s="195"/>
      <c r="B907" s="196"/>
      <c r="C907" s="195"/>
      <c r="D907" s="263"/>
      <c r="E907" s="264"/>
      <c r="F907" s="264"/>
      <c r="G907" s="264"/>
      <c r="H907" s="264"/>
      <c r="I907" s="264"/>
      <c r="J907" s="265"/>
      <c r="K907" s="122"/>
      <c r="L907" s="122"/>
      <c r="M907" s="122"/>
      <c r="N907" s="122"/>
      <c r="O907" s="122"/>
      <c r="P907" s="122"/>
      <c r="Q907" s="309" t="s">
        <v>159</v>
      </c>
      <c r="R907" s="310">
        <f>COUNT(R697:R901)</f>
        <v>196</v>
      </c>
      <c r="S907" s="310">
        <f>COUNT(S697:S901)</f>
        <v>192</v>
      </c>
      <c r="T907" s="118"/>
      <c r="U907" s="273" t="s">
        <v>155</v>
      </c>
      <c r="V907" s="122"/>
      <c r="W907" s="122"/>
      <c r="Y907" s="91"/>
      <c r="AO907" s="91"/>
      <c r="AP907" s="122"/>
      <c r="AQ907" s="122"/>
      <c r="AR907" s="122"/>
      <c r="AS907" s="256" t="s">
        <v>151</v>
      </c>
      <c r="AT907" s="261" t="str">
        <f>IF((0.67*AT908)&gt;AT902,"no","yes")</f>
        <v>yes</v>
      </c>
      <c r="AU907" s="261" t="str">
        <f>IF((0.67*AU908)&gt;AU902,"no","yes")</f>
        <v>yes</v>
      </c>
      <c r="AV907" s="256"/>
      <c r="AW907" s="261" t="str">
        <f>IF((0.67*AW908)&gt;AW902,"no","yes")</f>
        <v>no</v>
      </c>
      <c r="AX907" s="261" t="str">
        <f>IF((0.67*AX908)&gt;AX902,"no","yes")</f>
        <v>yes</v>
      </c>
      <c r="AY907" s="122"/>
      <c r="AZ907" s="261" t="str">
        <f>IF((0.67*AZ908)&gt;AZ902,"no","yes")</f>
        <v>yes</v>
      </c>
      <c r="BA907" s="261" t="str">
        <f>IF((0.67*BA908)&gt;BA902,"no","yes")</f>
        <v>yes</v>
      </c>
      <c r="BB907" s="122"/>
      <c r="BC907" s="261" t="str">
        <f>IF((0.67*BC908)&gt;BC902,"no","yes")</f>
        <v>no</v>
      </c>
      <c r="BD907" s="261" t="str">
        <f>IF((0.67*BD908)&gt;BD902,"no","yes")</f>
        <v>no</v>
      </c>
      <c r="BE907" s="122"/>
      <c r="BF907" s="261" t="str">
        <f>IF((0.67*BF908)&gt;BF902,"no","yes")</f>
        <v>yes</v>
      </c>
      <c r="BG907" s="261" t="str">
        <f>IF((0.67*BG908)&gt;BG902,"no","yes")</f>
        <v>yes</v>
      </c>
      <c r="BH907" s="122"/>
      <c r="BI907" s="261" t="str">
        <f>IF((0.67*BI908)&gt;BI902,"no","yes")</f>
        <v>yes</v>
      </c>
      <c r="BJ907" s="261" t="str">
        <f>IF((0.67*BJ908)&gt;BJ902,"no","yes")</f>
        <v>yes</v>
      </c>
      <c r="BK907" s="133"/>
      <c r="BL907" s="261" t="e">
        <f>IF((0.67*BL908)&gt;BL902,"no","yes")</f>
        <v>#DIV/0!</v>
      </c>
      <c r="BM907" s="261" t="e">
        <f>IF((0.67*BM908)&gt;BM902,"no","yes")</f>
        <v>#DIV/0!</v>
      </c>
      <c r="BN907" s="122"/>
      <c r="BO907" s="261" t="e">
        <f>IF((0.67*BO908)&gt;BO902,"no","yes")</f>
        <v>#DIV/0!</v>
      </c>
      <c r="BP907" s="261" t="e">
        <f>IF((0.67*BP908)&gt;BP902,"no","yes")</f>
        <v>#DIV/0!</v>
      </c>
      <c r="BQ907" s="122"/>
      <c r="BR907" s="261" t="e">
        <f>IF((0.67*BR908)&gt;BR902,"no","yes")</f>
        <v>#DIV/0!</v>
      </c>
      <c r="BS907" s="261" t="e">
        <f>IF((0.67*BS908)&gt;BS902,"no","yes")</f>
        <v>#DIV/0!</v>
      </c>
      <c r="BT907" s="122"/>
      <c r="BU907" s="261" t="e">
        <f>IF((0.67*BU908)&gt;BU902,"no","yes")</f>
        <v>#DIV/0!</v>
      </c>
      <c r="BV907" s="261" t="e">
        <f>IF((0.67*BV908)&gt;BV902,"no","yes")</f>
        <v>#DIV/0!</v>
      </c>
      <c r="BW907" s="122"/>
      <c r="BX907" s="91"/>
    </row>
    <row r="908" spans="1:76" s="55" customFormat="1" ht="14.25" x14ac:dyDescent="0.2">
      <c r="B908" s="23"/>
      <c r="C908" s="195"/>
      <c r="D908" s="263"/>
      <c r="E908" s="264"/>
      <c r="F908" s="264"/>
      <c r="G908" s="264"/>
      <c r="H908" s="264"/>
      <c r="I908" s="264"/>
      <c r="J908" s="265"/>
      <c r="K908" s="122"/>
      <c r="L908" s="122"/>
      <c r="M908" s="122"/>
      <c r="N908" s="122"/>
      <c r="O908" s="122"/>
      <c r="P908" s="122"/>
      <c r="Q908" s="311"/>
      <c r="R908" s="118"/>
      <c r="S908" s="118"/>
      <c r="T908" s="118"/>
      <c r="U908" s="274" t="s">
        <v>537</v>
      </c>
      <c r="V908" s="275"/>
      <c r="W908" s="276"/>
      <c r="Y908" s="91"/>
      <c r="AO908" s="91"/>
      <c r="AP908" s="122"/>
      <c r="AQ908" s="122"/>
      <c r="AR908" s="122"/>
      <c r="AS908" s="256" t="s">
        <v>157</v>
      </c>
      <c r="AT908" s="261">
        <f>IF(AT909&gt;1,_xlfn.STDEV.S(AT697:AT901),0)</f>
        <v>0.10854498875480335</v>
      </c>
      <c r="AU908" s="261">
        <f>IF(AU909&gt;1,_xlfn.STDEV.S(AU697:AU901),0)</f>
        <v>0.10854498875480335</v>
      </c>
      <c r="AV908" s="122"/>
      <c r="AW908" s="261">
        <f t="shared" ref="AW908:AX908" si="624">IF(AW909&gt;1,_xlfn.STDEV.S(AW697:AW901),0)</f>
        <v>1.5299132083446996</v>
      </c>
      <c r="AX908" s="261">
        <f t="shared" si="624"/>
        <v>8.786423814806614E-2</v>
      </c>
      <c r="AY908" s="122"/>
      <c r="AZ908" s="261">
        <f t="shared" ref="AZ908:BA908" si="625">IF(AZ909&gt;1,_xlfn.STDEV.S(AZ697:AZ901),0)</f>
        <v>0.22175130566087531</v>
      </c>
      <c r="BA908" s="261">
        <f t="shared" si="625"/>
        <v>0.22175130566087531</v>
      </c>
      <c r="BB908" s="122"/>
      <c r="BC908" s="261">
        <f t="shared" ref="BC908:BD908" si="626">IF(BC909&gt;1,_xlfn.STDEV.S(BC697:BC901),0)</f>
        <v>0.51477708098121389</v>
      </c>
      <c r="BD908" s="261">
        <f t="shared" si="626"/>
        <v>0.51477708098121389</v>
      </c>
      <c r="BE908" s="122"/>
      <c r="BF908" s="261">
        <f t="shared" ref="BF908:BG908" si="627">IF(BF909&gt;1,_xlfn.STDEV.S(BF697:BF901),0)</f>
        <v>0.83746793667236674</v>
      </c>
      <c r="BG908" s="261">
        <f t="shared" si="627"/>
        <v>0.57902608319536952</v>
      </c>
      <c r="BH908" s="122"/>
      <c r="BI908" s="261">
        <f t="shared" ref="BI908:BJ908" si="628">IF(BI909&gt;1,_xlfn.STDEV.S(BI697:BI901),0)</f>
        <v>0.31802498271453244</v>
      </c>
      <c r="BJ908" s="261">
        <f t="shared" si="628"/>
        <v>0.31802498271453244</v>
      </c>
      <c r="BK908" s="122"/>
      <c r="BL908" s="261">
        <f t="shared" ref="BL908:BM908" si="629">IF(BL909&gt;1,_xlfn.STDEV.S(BL697:BL901),0)</f>
        <v>0</v>
      </c>
      <c r="BM908" s="261">
        <f t="shared" si="629"/>
        <v>0</v>
      </c>
      <c r="BN908" s="122"/>
      <c r="BO908" s="261">
        <f t="shared" ref="BO908:BP908" si="630">IF(BO909&gt;1,_xlfn.STDEV.S(BO697:BO901),0)</f>
        <v>0</v>
      </c>
      <c r="BP908" s="261">
        <f t="shared" si="630"/>
        <v>0</v>
      </c>
      <c r="BQ908" s="122"/>
      <c r="BR908" s="261">
        <f t="shared" ref="BR908:BS908" si="631">IF(BR909&gt;1,_xlfn.STDEV.S(BR697:BR901),0)</f>
        <v>0</v>
      </c>
      <c r="BS908" s="261">
        <f t="shared" si="631"/>
        <v>0</v>
      </c>
      <c r="BT908" s="122"/>
      <c r="BU908" s="261">
        <f t="shared" ref="BU908:BV908" si="632">IF(BU909&gt;1,_xlfn.STDEV.S(BU697:BU901),0)</f>
        <v>0</v>
      </c>
      <c r="BV908" s="261">
        <f t="shared" si="632"/>
        <v>0</v>
      </c>
      <c r="BW908" s="122"/>
      <c r="BX908" s="91"/>
    </row>
    <row r="909" spans="1:76" s="55" customFormat="1" x14ac:dyDescent="0.2">
      <c r="B909" s="23"/>
      <c r="C909" s="122"/>
      <c r="D909" s="277"/>
      <c r="E909" s="278"/>
      <c r="F909" s="278"/>
      <c r="G909" s="278"/>
      <c r="H909" s="278"/>
      <c r="I909" s="278"/>
      <c r="J909" s="279"/>
      <c r="Q909" s="81"/>
      <c r="R909" s="280" t="s">
        <v>158</v>
      </c>
      <c r="T909" s="122"/>
      <c r="U909" s="281"/>
      <c r="V909" s="282"/>
      <c r="W909" s="283"/>
      <c r="Y909" s="91"/>
      <c r="AO909" s="91"/>
      <c r="AP909" s="122"/>
      <c r="AQ909" s="122"/>
      <c r="AR909" s="122"/>
      <c r="AS909" s="133" t="s">
        <v>159</v>
      </c>
      <c r="AT909" s="284">
        <f>COUNT(AT697:AT901)</f>
        <v>11</v>
      </c>
      <c r="AU909" s="284">
        <f>COUNT(AU697:AU901)</f>
        <v>11</v>
      </c>
      <c r="AV909" s="122"/>
      <c r="AW909" s="284">
        <f t="shared" ref="AW909:AX909" si="633">COUNT(AW697:AW901)</f>
        <v>33</v>
      </c>
      <c r="AX909" s="284">
        <f t="shared" si="633"/>
        <v>32</v>
      </c>
      <c r="AY909" s="122"/>
      <c r="AZ909" s="284">
        <f t="shared" ref="AZ909:BA909" si="634">COUNT(AZ697:AZ901)</f>
        <v>17</v>
      </c>
      <c r="BA909" s="284">
        <f t="shared" si="634"/>
        <v>17</v>
      </c>
      <c r="BB909" s="122"/>
      <c r="BC909" s="284">
        <f t="shared" ref="BC909:BD909" si="635">COUNT(BC697:BC901)</f>
        <v>27</v>
      </c>
      <c r="BD909" s="284">
        <f t="shared" si="635"/>
        <v>27</v>
      </c>
      <c r="BE909" s="122"/>
      <c r="BF909" s="284">
        <f t="shared" ref="BF909:BG909" si="636">COUNT(BF697:BF901)</f>
        <v>69</v>
      </c>
      <c r="BG909" s="284">
        <f t="shared" si="636"/>
        <v>66</v>
      </c>
      <c r="BH909" s="122"/>
      <c r="BI909" s="284">
        <f t="shared" ref="BI909:BJ909" si="637">COUNT(BI697:BI901)</f>
        <v>39</v>
      </c>
      <c r="BJ909" s="284">
        <f t="shared" si="637"/>
        <v>39</v>
      </c>
      <c r="BK909" s="122"/>
      <c r="BL909" s="284">
        <f t="shared" ref="BL909:BM909" si="638">COUNT(BL697:BL901)</f>
        <v>0</v>
      </c>
      <c r="BM909" s="284">
        <f t="shared" si="638"/>
        <v>0</v>
      </c>
      <c r="BN909" s="122"/>
      <c r="BO909" s="284">
        <f t="shared" ref="BO909:BP909" si="639">COUNT(BO697:BO901)</f>
        <v>0</v>
      </c>
      <c r="BP909" s="284">
        <f t="shared" si="639"/>
        <v>0</v>
      </c>
      <c r="BQ909" s="122"/>
      <c r="BR909" s="284">
        <f t="shared" ref="BR909:BS909" si="640">COUNT(BR697:BR901)</f>
        <v>0</v>
      </c>
      <c r="BS909" s="284">
        <f t="shared" si="640"/>
        <v>0</v>
      </c>
      <c r="BT909" s="122"/>
      <c r="BU909" s="284">
        <f t="shared" ref="BU909:BV909" si="641">COUNT(BU697:BU901)</f>
        <v>0</v>
      </c>
      <c r="BV909" s="284">
        <f t="shared" si="641"/>
        <v>0</v>
      </c>
      <c r="BW909" s="122"/>
      <c r="BX909" s="91"/>
    </row>
    <row r="910" spans="1:76" s="55" customFormat="1" ht="14.25" x14ac:dyDescent="0.2">
      <c r="B910" s="23"/>
      <c r="C910" s="122"/>
      <c r="D910" s="314"/>
      <c r="E910" s="314"/>
      <c r="F910" s="314"/>
      <c r="G910" s="314"/>
      <c r="H910" s="314"/>
      <c r="I910" s="314"/>
      <c r="J910" s="314"/>
      <c r="Q910" s="81"/>
      <c r="R910" s="287" t="s">
        <v>149</v>
      </c>
      <c r="T910" s="122"/>
      <c r="U910" s="281"/>
      <c r="V910" s="282"/>
      <c r="W910" s="283"/>
      <c r="Y910" s="91"/>
      <c r="AO910" s="91"/>
      <c r="BX910" s="91"/>
    </row>
    <row r="911" spans="1:76" s="55" customFormat="1" ht="14.25" x14ac:dyDescent="0.2">
      <c r="B911" s="23"/>
      <c r="C911" s="122"/>
      <c r="D911" s="314"/>
      <c r="E911" s="314"/>
      <c r="F911" s="314"/>
      <c r="G911" s="314"/>
      <c r="H911" s="314"/>
      <c r="I911" s="314"/>
      <c r="J911" s="314"/>
      <c r="Q911" s="81"/>
      <c r="T911" s="122"/>
      <c r="U911" s="288"/>
      <c r="V911" s="289"/>
      <c r="W911" s="290"/>
      <c r="Y911" s="91"/>
      <c r="AO911" s="91"/>
      <c r="BX911" s="91"/>
    </row>
    <row r="912" spans="1:76" s="55" customFormat="1" ht="18" x14ac:dyDescent="0.25">
      <c r="B912" s="23"/>
      <c r="Q912" s="81"/>
      <c r="T912" s="122"/>
      <c r="U912" s="122"/>
      <c r="V912" s="122"/>
      <c r="W912" s="122"/>
      <c r="Y912" s="91"/>
      <c r="AO912" s="296"/>
      <c r="AP912" s="345"/>
      <c r="AQ912" s="345"/>
      <c r="AR912" s="346"/>
      <c r="AS912" s="346"/>
      <c r="AT912" s="346"/>
      <c r="AU912" s="346"/>
      <c r="AV912" s="346"/>
      <c r="AW912" s="346"/>
      <c r="AX912" s="346"/>
      <c r="AY912" s="346"/>
      <c r="AZ912" s="346"/>
      <c r="BA912" s="346"/>
      <c r="BB912" s="346"/>
      <c r="BC912" s="346"/>
      <c r="BD912" s="346"/>
      <c r="BE912" s="346"/>
      <c r="BF912" s="346"/>
      <c r="BG912" s="346"/>
      <c r="BH912" s="346"/>
      <c r="BI912" s="346"/>
      <c r="BJ912" s="346"/>
      <c r="BK912" s="346"/>
      <c r="BL912" s="346"/>
      <c r="BM912" s="346"/>
      <c r="BN912" s="346"/>
      <c r="BO912" s="346"/>
      <c r="BP912" s="346"/>
      <c r="BQ912" s="346"/>
      <c r="BR912" s="346"/>
      <c r="BS912" s="346"/>
      <c r="BT912" s="346"/>
      <c r="BU912" s="346"/>
      <c r="BV912" s="346"/>
      <c r="BW912" s="346"/>
      <c r="BX912" s="296"/>
    </row>
    <row r="913" spans="1:76" s="55" customFormat="1" ht="14.25" x14ac:dyDescent="0.2">
      <c r="B913" s="23"/>
      <c r="Q913" s="81"/>
      <c r="Y913" s="91"/>
      <c r="AO913" s="91"/>
      <c r="BX913" s="91"/>
    </row>
    <row r="914" spans="1:76" s="55" customFormat="1" ht="14.25" x14ac:dyDescent="0.2">
      <c r="B914" s="23"/>
      <c r="Q914" s="81"/>
      <c r="Y914" s="91"/>
      <c r="AO914" s="91"/>
      <c r="BX914" s="91"/>
    </row>
    <row r="915" spans="1:76" s="91" customFormat="1" ht="18" x14ac:dyDescent="0.25">
      <c r="A915" s="188">
        <f>A694+1</f>
        <v>18</v>
      </c>
      <c r="B915" s="189"/>
      <c r="C915" s="155" t="s">
        <v>538</v>
      </c>
      <c r="D915" s="328"/>
      <c r="E915" s="328"/>
      <c r="F915" s="328"/>
      <c r="G915" s="328"/>
      <c r="J915" s="328"/>
      <c r="K915" s="328"/>
      <c r="L915" s="139"/>
      <c r="M915" s="139"/>
      <c r="N915" s="139"/>
      <c r="Q915" s="347"/>
      <c r="R915" s="194" t="s">
        <v>93</v>
      </c>
      <c r="S915" s="194"/>
      <c r="T915" s="194"/>
      <c r="U915" s="194"/>
      <c r="AP915" s="295">
        <f>A915</f>
        <v>18</v>
      </c>
      <c r="AQ915" s="295" t="str">
        <f>C915</f>
        <v>Direct Emissions per SOLUTION Functional Unit</v>
      </c>
      <c r="AR915" s="296"/>
      <c r="AS915" s="296"/>
      <c r="AT915" s="296"/>
      <c r="AU915" s="296"/>
      <c r="AV915" s="296"/>
      <c r="AW915" s="296"/>
      <c r="AX915" s="296"/>
      <c r="AY915" s="296"/>
      <c r="AZ915" s="296"/>
      <c r="BA915" s="296"/>
      <c r="BB915" s="296"/>
      <c r="BC915" s="296"/>
      <c r="BD915" s="296"/>
      <c r="BE915" s="296"/>
      <c r="BF915" s="296"/>
      <c r="BG915" s="296"/>
      <c r="BH915" s="296"/>
      <c r="BI915" s="296"/>
      <c r="BJ915" s="296"/>
      <c r="BK915" s="296"/>
      <c r="BL915" s="296"/>
      <c r="BM915" s="296"/>
      <c r="BN915" s="296"/>
      <c r="BO915" s="296"/>
      <c r="BP915" s="296"/>
      <c r="BQ915" s="296"/>
      <c r="BR915" s="296"/>
      <c r="BS915" s="296"/>
      <c r="BT915" s="296"/>
      <c r="BU915" s="296"/>
      <c r="BV915" s="296"/>
      <c r="BW915" s="296"/>
    </row>
    <row r="916" spans="1:76" s="55" customFormat="1" x14ac:dyDescent="0.25">
      <c r="A916" s="195"/>
      <c r="B916" s="196"/>
      <c r="C916" s="195"/>
      <c r="D916" s="120"/>
      <c r="E916" s="120"/>
      <c r="F916" s="120"/>
      <c r="G916" s="120"/>
      <c r="J916" s="120"/>
      <c r="K916" s="120"/>
      <c r="L916" s="122"/>
      <c r="M916" s="122"/>
      <c r="N916" s="122"/>
      <c r="Q916" s="81"/>
      <c r="Y916" s="91"/>
      <c r="AO916" s="91"/>
      <c r="AP916" s="28"/>
      <c r="AQ916" s="28"/>
      <c r="AR916" s="28"/>
      <c r="AS916" s="28"/>
      <c r="AT916" s="198" t="s">
        <v>171</v>
      </c>
      <c r="AU916" s="198"/>
      <c r="AV916" s="28"/>
      <c r="AW916" s="198" t="s">
        <v>96</v>
      </c>
      <c r="AX916" s="198"/>
      <c r="AY916" s="28"/>
      <c r="AZ916" s="198" t="s">
        <v>97</v>
      </c>
      <c r="BA916" s="198"/>
      <c r="BB916" s="28"/>
      <c r="BC916" s="198" t="s">
        <v>98</v>
      </c>
      <c r="BD916" s="198"/>
      <c r="BE916" s="28"/>
      <c r="BF916" s="198" t="s">
        <v>99</v>
      </c>
      <c r="BG916" s="198"/>
      <c r="BH916" s="28"/>
      <c r="BI916" s="198" t="s">
        <v>100</v>
      </c>
      <c r="BJ916" s="198"/>
      <c r="BK916" s="28"/>
      <c r="BL916" s="198" t="s">
        <v>101</v>
      </c>
      <c r="BM916" s="198"/>
      <c r="BN916" s="28"/>
      <c r="BO916" s="198" t="s">
        <v>102</v>
      </c>
      <c r="BP916" s="198"/>
      <c r="BQ916" s="28"/>
      <c r="BR916" s="198" t="s">
        <v>103</v>
      </c>
      <c r="BS916" s="198"/>
      <c r="BT916" s="28"/>
      <c r="BU916" s="198" t="s">
        <v>104</v>
      </c>
      <c r="BV916" s="198"/>
      <c r="BW916" s="28"/>
      <c r="BX916" s="91"/>
    </row>
    <row r="917" spans="1:76" s="55" customFormat="1" ht="30.75" thickBot="1" x14ac:dyDescent="0.3">
      <c r="A917" s="199" t="s">
        <v>105</v>
      </c>
      <c r="B917" s="200" t="s">
        <v>106</v>
      </c>
      <c r="C917" s="201" t="s">
        <v>107</v>
      </c>
      <c r="D917" s="202" t="s">
        <v>108</v>
      </c>
      <c r="E917" s="202" t="s">
        <v>109</v>
      </c>
      <c r="F917" s="201" t="s">
        <v>110</v>
      </c>
      <c r="G917" s="201" t="s">
        <v>111</v>
      </c>
      <c r="H917" s="202" t="s">
        <v>112</v>
      </c>
      <c r="I917" s="203" t="s">
        <v>113</v>
      </c>
      <c r="J917" s="204" t="s">
        <v>114</v>
      </c>
      <c r="K917" s="205" t="s">
        <v>115</v>
      </c>
      <c r="L917" s="302" t="s">
        <v>116</v>
      </c>
      <c r="M917" s="207" t="s">
        <v>117</v>
      </c>
      <c r="N917" s="208" t="s">
        <v>118</v>
      </c>
      <c r="O917" s="208" t="s">
        <v>119</v>
      </c>
      <c r="P917" s="210"/>
      <c r="Q917" s="211" t="s">
        <v>120</v>
      </c>
      <c r="R917" s="212" t="s">
        <v>121</v>
      </c>
      <c r="S917" s="212" t="s">
        <v>122</v>
      </c>
      <c r="T917" s="212" t="s">
        <v>123</v>
      </c>
      <c r="U917" s="213" t="s">
        <v>124</v>
      </c>
      <c r="V917" s="210"/>
      <c r="W917" s="210"/>
      <c r="Y917" s="91"/>
      <c r="AO917" s="91"/>
      <c r="AP917" s="210"/>
      <c r="AQ917" s="210"/>
      <c r="AR917" s="213" t="s">
        <v>125</v>
      </c>
      <c r="AS917" s="210"/>
      <c r="AT917" s="215" t="s">
        <v>121</v>
      </c>
      <c r="AU917" s="215" t="s">
        <v>122</v>
      </c>
      <c r="AV917" s="210"/>
      <c r="AW917" s="215" t="s">
        <v>121</v>
      </c>
      <c r="AX917" s="215" t="s">
        <v>122</v>
      </c>
      <c r="AY917" s="210"/>
      <c r="AZ917" s="215" t="s">
        <v>121</v>
      </c>
      <c r="BA917" s="215" t="s">
        <v>122</v>
      </c>
      <c r="BB917" s="210"/>
      <c r="BC917" s="215" t="s">
        <v>121</v>
      </c>
      <c r="BD917" s="215" t="s">
        <v>122</v>
      </c>
      <c r="BE917" s="210"/>
      <c r="BF917" s="215" t="s">
        <v>121</v>
      </c>
      <c r="BG917" s="215" t="s">
        <v>122</v>
      </c>
      <c r="BH917" s="210"/>
      <c r="BI917" s="215" t="s">
        <v>121</v>
      </c>
      <c r="BJ917" s="215" t="s">
        <v>122</v>
      </c>
      <c r="BK917" s="210"/>
      <c r="BL917" s="215" t="s">
        <v>121</v>
      </c>
      <c r="BM917" s="215" t="s">
        <v>122</v>
      </c>
      <c r="BN917" s="210"/>
      <c r="BO917" s="215" t="s">
        <v>121</v>
      </c>
      <c r="BP917" s="215" t="s">
        <v>122</v>
      </c>
      <c r="BQ917" s="210"/>
      <c r="BR917" s="215" t="s">
        <v>121</v>
      </c>
      <c r="BS917" s="215" t="s">
        <v>122</v>
      </c>
      <c r="BT917" s="210"/>
      <c r="BU917" s="215" t="s">
        <v>121</v>
      </c>
      <c r="BV917" s="215" t="s">
        <v>122</v>
      </c>
      <c r="BW917" s="210"/>
      <c r="BX917" s="91"/>
    </row>
    <row r="918" spans="1:76" s="55" customFormat="1" ht="15.75" x14ac:dyDescent="0.25">
      <c r="A918" s="195">
        <v>1</v>
      </c>
      <c r="B918" s="216" t="str">
        <f t="shared" ref="B918:B1047" si="642">CONCATENATE(E918,": ",C918)</f>
        <v>Asia (Sans Japan): FAO. 2017. Reducing Enteric Methane for improving food security and livelihoods</v>
      </c>
      <c r="C918" s="219" t="s">
        <v>488</v>
      </c>
      <c r="D918" s="381" t="s">
        <v>235</v>
      </c>
      <c r="E918" s="219" t="s">
        <v>98</v>
      </c>
      <c r="F918" s="330" t="s">
        <v>236</v>
      </c>
      <c r="G918" s="220" t="s">
        <v>26</v>
      </c>
      <c r="H918" s="221">
        <v>2017</v>
      </c>
      <c r="I918" s="220"/>
      <c r="J918" s="377">
        <v>12.7</v>
      </c>
      <c r="K918" s="382" t="s">
        <v>489</v>
      </c>
      <c r="L918" s="383">
        <f>(J918*(1-0.047)*0.001*0.6)/0.032</f>
        <v>0.22693312500000001</v>
      </c>
      <c r="M918" s="335" t="str">
        <f>'[1]Advanced Controls'!$I$158</f>
        <v>t CH4-CO2eq per kg of protein</v>
      </c>
      <c r="N918" s="238"/>
      <c r="O918" s="227" t="s">
        <v>539</v>
      </c>
      <c r="P918" s="122"/>
      <c r="Q918" s="228"/>
      <c r="R918" s="231">
        <f>IF(Q918="Y","",IF(AND(L918="",J918=""),"",IF(L918="",J918,L918)))</f>
        <v>0.22693312500000001</v>
      </c>
      <c r="S918" s="230">
        <f t="shared" ref="S918:S981" si="643">IF(R918="","",IF($R$1056="Y",T918,IF(R918&gt;=$R$1048-$AA$35*$R$1052,IF(R918&lt;=$R$1048+$AA$35*$R$1052,R918,""),"")))</f>
        <v>0.22693312500000001</v>
      </c>
      <c r="T918" s="231">
        <f>IF(OR(Q918="Y",IFERROR(R918&gt;R1048+R1052*$AA$35,0),IFERROR(R918&lt;R1048-R1052*$AA$35,0)),"",IFERROR(R918*N918,""))</f>
        <v>0</v>
      </c>
      <c r="U918" s="232" t="str">
        <f t="shared" ref="U918:U1047" si="644">IF(AND(M918="",K918=""),"",IF(M918="",K918,M918))</f>
        <v>t CH4-CO2eq per kg of protein</v>
      </c>
      <c r="V918" s="28"/>
      <c r="W918" s="28"/>
      <c r="Y918" s="91"/>
      <c r="AO918" s="91"/>
      <c r="AP918" s="28"/>
      <c r="AQ918" s="28"/>
      <c r="AR918" s="233" t="str">
        <f>$U918</f>
        <v>t CH4-CO2eq per kg of protein</v>
      </c>
      <c r="AS918" s="28"/>
      <c r="AT918" s="304" t="str">
        <f>IF($E918=$AT$47,R918,"")</f>
        <v/>
      </c>
      <c r="AU918" s="304" t="str">
        <f>IF($E918=$AT$47,S918,"")</f>
        <v/>
      </c>
      <c r="AV918" s="28"/>
      <c r="AW918" s="304" t="str">
        <f t="shared" ref="AW918:AX1047" si="645">IF($E918=$AW$83,R918,"")</f>
        <v/>
      </c>
      <c r="AX918" s="304" t="str">
        <f t="shared" si="645"/>
        <v/>
      </c>
      <c r="AY918" s="28"/>
      <c r="AZ918" s="304" t="str">
        <f t="shared" ref="AZ918:BA1047" si="646">IF($E918=$AZ$83,R918,"")</f>
        <v/>
      </c>
      <c r="BA918" s="304" t="str">
        <f t="shared" si="646"/>
        <v/>
      </c>
      <c r="BB918" s="28"/>
      <c r="BC918" s="304">
        <f t="shared" ref="BC918:BD1047" si="647">IF($E918=$BC$83,R918,"")</f>
        <v>0.22693312500000001</v>
      </c>
      <c r="BD918" s="304">
        <f t="shared" si="647"/>
        <v>0.22693312500000001</v>
      </c>
      <c r="BE918" s="28"/>
      <c r="BF918" s="304" t="str">
        <f t="shared" ref="BF918:BG1047" si="648">IF($E918=$BF$83,R918,"")</f>
        <v/>
      </c>
      <c r="BG918" s="304" t="str">
        <f t="shared" si="648"/>
        <v/>
      </c>
      <c r="BH918" s="28"/>
      <c r="BI918" s="304" t="str">
        <f t="shared" ref="BI918:BJ1047" si="649">IF($E918=$BI$83,R918,"")</f>
        <v/>
      </c>
      <c r="BJ918" s="304" t="str">
        <f t="shared" si="649"/>
        <v/>
      </c>
      <c r="BK918" s="28"/>
      <c r="BL918" s="304" t="str">
        <f t="shared" ref="BL918:BM1047" si="650">IF($E918=$BL$83,R918,"")</f>
        <v/>
      </c>
      <c r="BM918" s="304" t="str">
        <f t="shared" si="650"/>
        <v/>
      </c>
      <c r="BN918" s="28"/>
      <c r="BO918" s="304" t="str">
        <f t="shared" ref="BO918:BP1047" si="651">IF($E918=$BO$83,R918,"")</f>
        <v/>
      </c>
      <c r="BP918" s="304" t="str">
        <f t="shared" si="651"/>
        <v/>
      </c>
      <c r="BQ918" s="28"/>
      <c r="BR918" s="304" t="str">
        <f t="shared" ref="BR918:BS1047" si="652">IF($E918=$BR$83,R918,"")</f>
        <v/>
      </c>
      <c r="BS918" s="304" t="str">
        <f t="shared" si="652"/>
        <v/>
      </c>
      <c r="BT918" s="28"/>
      <c r="BU918" s="304" t="str">
        <f t="shared" ref="BU918:BV1047" si="653">IF($E918=$BU$83,R918,"")</f>
        <v/>
      </c>
      <c r="BV918" s="304" t="str">
        <f t="shared" si="653"/>
        <v/>
      </c>
      <c r="BW918" s="28"/>
      <c r="BX918" s="91"/>
    </row>
    <row r="919" spans="1:76" s="55" customFormat="1" x14ac:dyDescent="0.25">
      <c r="A919" s="195">
        <v>2</v>
      </c>
      <c r="B919" s="216" t="str">
        <f t="shared" si="642"/>
        <v>Asia (Sans Japan): FAO. 2017. Reducing Enteric Methane for improving food security and livelihoods</v>
      </c>
      <c r="C919" s="219" t="s">
        <v>488</v>
      </c>
      <c r="D919" s="379" t="s">
        <v>235</v>
      </c>
      <c r="E919" s="219" t="s">
        <v>98</v>
      </c>
      <c r="F919" s="330" t="s">
        <v>236</v>
      </c>
      <c r="G919" s="220" t="s">
        <v>26</v>
      </c>
      <c r="H919" s="221">
        <v>2017</v>
      </c>
      <c r="I919" s="220"/>
      <c r="J919" s="377">
        <v>5.6</v>
      </c>
      <c r="K919" s="382" t="s">
        <v>489</v>
      </c>
      <c r="L919" s="383">
        <f>(J919*(1-0.12)*0.001*0.6)/0.032</f>
        <v>9.2399999999999996E-2</v>
      </c>
      <c r="M919" s="335" t="str">
        <f>'[1]Advanced Controls'!$I$158</f>
        <v>t CH4-CO2eq per kg of protein</v>
      </c>
      <c r="N919" s="238"/>
      <c r="O919" s="227" t="s">
        <v>540</v>
      </c>
      <c r="P919" s="122"/>
      <c r="Q919" s="228"/>
      <c r="R919" s="231">
        <f t="shared" ref="R919:R982" si="654">IF(Q919="Y","",IF(AND(L919="",J919=""),"",IF(L919="",J919,L919)))</f>
        <v>9.2399999999999996E-2</v>
      </c>
      <c r="S919" s="230">
        <f t="shared" si="643"/>
        <v>9.2399999999999996E-2</v>
      </c>
      <c r="T919" s="231">
        <f t="shared" ref="T919:T982" si="655">IF(OR(Q919="Y",IFERROR(R919&gt;R938+R942*$AA$35,0),IFERROR(R919&lt;R938-R942*$AA$35,0)),"",IFERROR(R919*N919,""))</f>
        <v>0</v>
      </c>
      <c r="U919" s="232" t="str">
        <f t="shared" si="644"/>
        <v>t CH4-CO2eq per kg of protein</v>
      </c>
      <c r="V919" s="28"/>
      <c r="W919" s="28"/>
      <c r="Y919" s="91"/>
      <c r="AO919" s="91"/>
      <c r="AP919" s="28"/>
      <c r="AQ919" s="28"/>
      <c r="AR919" s="237"/>
      <c r="AS919" s="28"/>
      <c r="AT919" s="304" t="str">
        <f t="shared" ref="AT919:AU982" si="656">IF($E919=$AT$47,R919,"")</f>
        <v/>
      </c>
      <c r="AU919" s="304" t="str">
        <f t="shared" si="656"/>
        <v/>
      </c>
      <c r="AV919" s="28"/>
      <c r="AW919" s="304" t="str">
        <f t="shared" si="645"/>
        <v/>
      </c>
      <c r="AX919" s="304" t="str">
        <f t="shared" si="645"/>
        <v/>
      </c>
      <c r="AY919" s="28"/>
      <c r="AZ919" s="304" t="str">
        <f t="shared" si="646"/>
        <v/>
      </c>
      <c r="BA919" s="304" t="str">
        <f t="shared" si="646"/>
        <v/>
      </c>
      <c r="BB919" s="28"/>
      <c r="BC919" s="304">
        <f t="shared" si="647"/>
        <v>9.2399999999999996E-2</v>
      </c>
      <c r="BD919" s="304">
        <f t="shared" si="647"/>
        <v>9.2399999999999996E-2</v>
      </c>
      <c r="BE919" s="28"/>
      <c r="BF919" s="304" t="str">
        <f t="shared" si="648"/>
        <v/>
      </c>
      <c r="BG919" s="304" t="str">
        <f t="shared" si="648"/>
        <v/>
      </c>
      <c r="BH919" s="28"/>
      <c r="BI919" s="304" t="str">
        <f t="shared" si="649"/>
        <v/>
      </c>
      <c r="BJ919" s="304" t="str">
        <f t="shared" si="649"/>
        <v/>
      </c>
      <c r="BK919" s="28"/>
      <c r="BL919" s="304" t="str">
        <f t="shared" si="650"/>
        <v/>
      </c>
      <c r="BM919" s="304" t="str">
        <f t="shared" si="650"/>
        <v/>
      </c>
      <c r="BN919" s="28"/>
      <c r="BO919" s="304" t="str">
        <f t="shared" si="651"/>
        <v/>
      </c>
      <c r="BP919" s="304" t="str">
        <f t="shared" si="651"/>
        <v/>
      </c>
      <c r="BQ919" s="28"/>
      <c r="BR919" s="304" t="str">
        <f t="shared" si="652"/>
        <v/>
      </c>
      <c r="BS919" s="304" t="str">
        <f t="shared" si="652"/>
        <v/>
      </c>
      <c r="BT919" s="28"/>
      <c r="BU919" s="304" t="str">
        <f t="shared" si="653"/>
        <v/>
      </c>
      <c r="BV919" s="304" t="str">
        <f t="shared" si="653"/>
        <v/>
      </c>
      <c r="BW919" s="28"/>
      <c r="BX919" s="91"/>
    </row>
    <row r="920" spans="1:76" s="55" customFormat="1" x14ac:dyDescent="0.25">
      <c r="A920" s="195">
        <v>3</v>
      </c>
      <c r="B920" s="216" t="str">
        <f t="shared" si="642"/>
        <v>Asia (Sans Japan): FAO. 2017. Reducing Enteric Methane for improving food security and livelihoods</v>
      </c>
      <c r="C920" s="219" t="s">
        <v>488</v>
      </c>
      <c r="D920" s="379" t="s">
        <v>235</v>
      </c>
      <c r="E920" s="219" t="s">
        <v>98</v>
      </c>
      <c r="F920" s="330" t="s">
        <v>236</v>
      </c>
      <c r="G920" s="220" t="s">
        <v>26</v>
      </c>
      <c r="H920" s="221">
        <v>2017</v>
      </c>
      <c r="I920" s="240"/>
      <c r="J920" s="377">
        <v>12.7</v>
      </c>
      <c r="K920" s="382" t="s">
        <v>489</v>
      </c>
      <c r="L920" s="383">
        <f>(J920*(1-0.286)*0.001*0.6)/0.032</f>
        <v>0.17002124999999996</v>
      </c>
      <c r="M920" s="335" t="str">
        <f>'[1]Advanced Controls'!$I$158</f>
        <v>t CH4-CO2eq per kg of protein</v>
      </c>
      <c r="N920" s="238"/>
      <c r="O920" s="227" t="s">
        <v>541</v>
      </c>
      <c r="P920" s="122"/>
      <c r="Q920" s="228"/>
      <c r="R920" s="231">
        <f t="shared" si="654"/>
        <v>0.17002124999999996</v>
      </c>
      <c r="S920" s="230">
        <f t="shared" si="643"/>
        <v>0.17002124999999996</v>
      </c>
      <c r="T920" s="231" t="str">
        <f t="shared" si="655"/>
        <v/>
      </c>
      <c r="U920" s="232" t="str">
        <f t="shared" si="644"/>
        <v>t CH4-CO2eq per kg of protein</v>
      </c>
      <c r="V920" s="28"/>
      <c r="W920" s="28"/>
      <c r="Y920" s="91"/>
      <c r="AO920" s="91"/>
      <c r="AP920" s="28"/>
      <c r="AQ920" s="28"/>
      <c r="AR920" s="237"/>
      <c r="AS920" s="28"/>
      <c r="AT920" s="304" t="str">
        <f t="shared" si="656"/>
        <v/>
      </c>
      <c r="AU920" s="304" t="str">
        <f t="shared" si="656"/>
        <v/>
      </c>
      <c r="AV920" s="28"/>
      <c r="AW920" s="304" t="str">
        <f t="shared" si="645"/>
        <v/>
      </c>
      <c r="AX920" s="304" t="str">
        <f t="shared" si="645"/>
        <v/>
      </c>
      <c r="AY920" s="28"/>
      <c r="AZ920" s="304" t="str">
        <f t="shared" si="646"/>
        <v/>
      </c>
      <c r="BA920" s="304" t="str">
        <f t="shared" si="646"/>
        <v/>
      </c>
      <c r="BB920" s="28"/>
      <c r="BC920" s="304">
        <f t="shared" si="647"/>
        <v>0.17002124999999996</v>
      </c>
      <c r="BD920" s="304">
        <f t="shared" si="647"/>
        <v>0.17002124999999996</v>
      </c>
      <c r="BE920" s="28"/>
      <c r="BF920" s="304" t="str">
        <f t="shared" si="648"/>
        <v/>
      </c>
      <c r="BG920" s="304" t="str">
        <f t="shared" si="648"/>
        <v/>
      </c>
      <c r="BH920" s="28"/>
      <c r="BI920" s="304" t="str">
        <f t="shared" si="649"/>
        <v/>
      </c>
      <c r="BJ920" s="304" t="str">
        <f t="shared" si="649"/>
        <v/>
      </c>
      <c r="BK920" s="28"/>
      <c r="BL920" s="304" t="str">
        <f t="shared" si="650"/>
        <v/>
      </c>
      <c r="BM920" s="304" t="str">
        <f t="shared" si="650"/>
        <v/>
      </c>
      <c r="BN920" s="28"/>
      <c r="BO920" s="304" t="str">
        <f t="shared" si="651"/>
        <v/>
      </c>
      <c r="BP920" s="304" t="str">
        <f t="shared" si="651"/>
        <v/>
      </c>
      <c r="BQ920" s="28"/>
      <c r="BR920" s="304" t="str">
        <f t="shared" si="652"/>
        <v/>
      </c>
      <c r="BS920" s="304" t="str">
        <f t="shared" si="652"/>
        <v/>
      </c>
      <c r="BT920" s="28"/>
      <c r="BU920" s="304" t="str">
        <f t="shared" si="653"/>
        <v/>
      </c>
      <c r="BV920" s="304" t="str">
        <f t="shared" si="653"/>
        <v/>
      </c>
      <c r="BW920" s="28"/>
      <c r="BX920" s="91"/>
    </row>
    <row r="921" spans="1:76" s="55" customFormat="1" x14ac:dyDescent="0.25">
      <c r="A921" s="195">
        <v>4</v>
      </c>
      <c r="B921" s="216" t="str">
        <f t="shared" si="642"/>
        <v>Asia (Sans Japan): FAO. 2017. Reducing Enteric Methane for improving food security and livelihoods</v>
      </c>
      <c r="C921" s="219" t="s">
        <v>488</v>
      </c>
      <c r="D921" s="379" t="s">
        <v>235</v>
      </c>
      <c r="E921" s="219" t="s">
        <v>98</v>
      </c>
      <c r="F921" s="330" t="s">
        <v>236</v>
      </c>
      <c r="G921" s="220" t="s">
        <v>26</v>
      </c>
      <c r="H921" s="221">
        <v>2017</v>
      </c>
      <c r="I921" s="240"/>
      <c r="J921" s="377">
        <v>5.6</v>
      </c>
      <c r="K921" s="382" t="s">
        <v>489</v>
      </c>
      <c r="L921" s="383">
        <f>(J921*(1-0.234)*0.001*0.6)/0.032</f>
        <v>8.0430000000000001E-2</v>
      </c>
      <c r="M921" s="335" t="str">
        <f>'[1]Advanced Controls'!$I$158</f>
        <v>t CH4-CO2eq per kg of protein</v>
      </c>
      <c r="N921" s="238"/>
      <c r="O921" s="227" t="s">
        <v>542</v>
      </c>
      <c r="P921" s="122"/>
      <c r="Q921" s="228"/>
      <c r="R921" s="231">
        <f t="shared" si="654"/>
        <v>8.0430000000000001E-2</v>
      </c>
      <c r="S921" s="230">
        <f t="shared" si="643"/>
        <v>8.0430000000000001E-2</v>
      </c>
      <c r="T921" s="231">
        <f t="shared" si="655"/>
        <v>0</v>
      </c>
      <c r="U921" s="232" t="str">
        <f t="shared" si="644"/>
        <v>t CH4-CO2eq per kg of protein</v>
      </c>
      <c r="V921" s="28"/>
      <c r="W921" s="28"/>
      <c r="Y921" s="91"/>
      <c r="AO921" s="91"/>
      <c r="AP921" s="28"/>
      <c r="AQ921" s="28"/>
      <c r="AR921" s="237"/>
      <c r="AS921" s="28"/>
      <c r="AT921" s="304" t="str">
        <f t="shared" si="656"/>
        <v/>
      </c>
      <c r="AU921" s="304" t="str">
        <f t="shared" si="656"/>
        <v/>
      </c>
      <c r="AV921" s="28"/>
      <c r="AW921" s="304" t="str">
        <f t="shared" si="645"/>
        <v/>
      </c>
      <c r="AX921" s="304" t="str">
        <f t="shared" si="645"/>
        <v/>
      </c>
      <c r="AY921" s="28"/>
      <c r="AZ921" s="304" t="str">
        <f t="shared" si="646"/>
        <v/>
      </c>
      <c r="BA921" s="304" t="str">
        <f t="shared" si="646"/>
        <v/>
      </c>
      <c r="BB921" s="28"/>
      <c r="BC921" s="304">
        <f t="shared" si="647"/>
        <v>8.0430000000000001E-2</v>
      </c>
      <c r="BD921" s="304">
        <f t="shared" si="647"/>
        <v>8.0430000000000001E-2</v>
      </c>
      <c r="BE921" s="28"/>
      <c r="BF921" s="304" t="str">
        <f t="shared" si="648"/>
        <v/>
      </c>
      <c r="BG921" s="304" t="str">
        <f t="shared" si="648"/>
        <v/>
      </c>
      <c r="BH921" s="28"/>
      <c r="BI921" s="304" t="str">
        <f t="shared" si="649"/>
        <v/>
      </c>
      <c r="BJ921" s="304" t="str">
        <f t="shared" si="649"/>
        <v/>
      </c>
      <c r="BK921" s="28"/>
      <c r="BL921" s="304" t="str">
        <f t="shared" si="650"/>
        <v/>
      </c>
      <c r="BM921" s="304" t="str">
        <f t="shared" si="650"/>
        <v/>
      </c>
      <c r="BN921" s="28"/>
      <c r="BO921" s="304" t="str">
        <f t="shared" si="651"/>
        <v/>
      </c>
      <c r="BP921" s="304" t="str">
        <f t="shared" si="651"/>
        <v/>
      </c>
      <c r="BQ921" s="28"/>
      <c r="BR921" s="304" t="str">
        <f t="shared" si="652"/>
        <v/>
      </c>
      <c r="BS921" s="304" t="str">
        <f t="shared" si="652"/>
        <v/>
      </c>
      <c r="BT921" s="28"/>
      <c r="BU921" s="304" t="str">
        <f t="shared" si="653"/>
        <v/>
      </c>
      <c r="BV921" s="304" t="str">
        <f t="shared" si="653"/>
        <v/>
      </c>
      <c r="BW921" s="28"/>
      <c r="BX921" s="91"/>
    </row>
    <row r="922" spans="1:76" s="55" customFormat="1" x14ac:dyDescent="0.25">
      <c r="A922" s="195">
        <v>5</v>
      </c>
      <c r="B922" s="216" t="str">
        <f t="shared" si="642"/>
        <v>Asia (Sans Japan): FAO. 2017. Reducing Enteric Methane for improving food security and livelihoods</v>
      </c>
      <c r="C922" s="219" t="s">
        <v>488</v>
      </c>
      <c r="D922" s="379" t="s">
        <v>269</v>
      </c>
      <c r="E922" s="219" t="s">
        <v>98</v>
      </c>
      <c r="F922" s="330" t="s">
        <v>270</v>
      </c>
      <c r="G922" s="220" t="s">
        <v>26</v>
      </c>
      <c r="H922" s="221">
        <v>2017</v>
      </c>
      <c r="I922" s="240"/>
      <c r="J922" s="377">
        <v>6.8</v>
      </c>
      <c r="K922" s="382" t="s">
        <v>489</v>
      </c>
      <c r="L922" s="383">
        <f>(J922*(1-0.388)*0.001)*0.88/0.032</f>
        <v>0.11444399999999999</v>
      </c>
      <c r="M922" s="335" t="str">
        <f>'[1]Advanced Controls'!$I$158</f>
        <v>t CH4-CO2eq per kg of protein</v>
      </c>
      <c r="N922" s="238"/>
      <c r="O922" s="227" t="s">
        <v>543</v>
      </c>
      <c r="P922" s="122"/>
      <c r="Q922" s="228"/>
      <c r="R922" s="231">
        <f t="shared" si="654"/>
        <v>0.11444399999999999</v>
      </c>
      <c r="S922" s="230">
        <f t="shared" si="643"/>
        <v>0.11444399999999999</v>
      </c>
      <c r="T922" s="231">
        <f t="shared" si="655"/>
        <v>0</v>
      </c>
      <c r="U922" s="232" t="str">
        <f t="shared" si="644"/>
        <v>t CH4-CO2eq per kg of protein</v>
      </c>
      <c r="V922" s="28"/>
      <c r="W922" s="28"/>
      <c r="Y922" s="91"/>
      <c r="AO922" s="91"/>
      <c r="AP922" s="28"/>
      <c r="AQ922" s="28"/>
      <c r="AR922" s="237"/>
      <c r="AS922" s="28"/>
      <c r="AT922" s="304" t="str">
        <f t="shared" si="656"/>
        <v/>
      </c>
      <c r="AU922" s="304" t="str">
        <f t="shared" si="656"/>
        <v/>
      </c>
      <c r="AV922" s="28"/>
      <c r="AW922" s="304" t="str">
        <f t="shared" si="645"/>
        <v/>
      </c>
      <c r="AX922" s="304" t="str">
        <f t="shared" si="645"/>
        <v/>
      </c>
      <c r="AY922" s="28"/>
      <c r="AZ922" s="304" t="str">
        <f t="shared" si="646"/>
        <v/>
      </c>
      <c r="BA922" s="304" t="str">
        <f t="shared" si="646"/>
        <v/>
      </c>
      <c r="BB922" s="28"/>
      <c r="BC922" s="304">
        <f t="shared" si="647"/>
        <v>0.11444399999999999</v>
      </c>
      <c r="BD922" s="304">
        <f t="shared" si="647"/>
        <v>0.11444399999999999</v>
      </c>
      <c r="BE922" s="28"/>
      <c r="BF922" s="304" t="str">
        <f t="shared" si="648"/>
        <v/>
      </c>
      <c r="BG922" s="304" t="str">
        <f t="shared" si="648"/>
        <v/>
      </c>
      <c r="BH922" s="28"/>
      <c r="BI922" s="304" t="str">
        <f t="shared" si="649"/>
        <v/>
      </c>
      <c r="BJ922" s="304" t="str">
        <f t="shared" si="649"/>
        <v/>
      </c>
      <c r="BK922" s="28"/>
      <c r="BL922" s="304" t="str">
        <f t="shared" si="650"/>
        <v/>
      </c>
      <c r="BM922" s="304" t="str">
        <f t="shared" si="650"/>
        <v/>
      </c>
      <c r="BN922" s="28"/>
      <c r="BO922" s="304" t="str">
        <f t="shared" si="651"/>
        <v/>
      </c>
      <c r="BP922" s="304" t="str">
        <f t="shared" si="651"/>
        <v/>
      </c>
      <c r="BQ922" s="28"/>
      <c r="BR922" s="304" t="str">
        <f t="shared" si="652"/>
        <v/>
      </c>
      <c r="BS922" s="304" t="str">
        <f t="shared" si="652"/>
        <v/>
      </c>
      <c r="BT922" s="28"/>
      <c r="BU922" s="304" t="str">
        <f t="shared" si="653"/>
        <v/>
      </c>
      <c r="BV922" s="304" t="str">
        <f t="shared" si="653"/>
        <v/>
      </c>
      <c r="BW922" s="28"/>
      <c r="BX922" s="91"/>
    </row>
    <row r="923" spans="1:76" s="55" customFormat="1" x14ac:dyDescent="0.25">
      <c r="A923" s="195">
        <v>6</v>
      </c>
      <c r="B923" s="216" t="str">
        <f t="shared" si="642"/>
        <v>Asia (Sans Japan): FAO. 2017. Reducing Enteric Methane for improving food security and livelihoods</v>
      </c>
      <c r="C923" s="219" t="s">
        <v>488</v>
      </c>
      <c r="D923" s="379" t="s">
        <v>269</v>
      </c>
      <c r="E923" s="219" t="s">
        <v>98</v>
      </c>
      <c r="F923" s="330" t="s">
        <v>270</v>
      </c>
      <c r="G923" s="220" t="s">
        <v>26</v>
      </c>
      <c r="H923" s="221">
        <v>2017</v>
      </c>
      <c r="I923" s="240"/>
      <c r="J923" s="377">
        <v>4.8</v>
      </c>
      <c r="K923" s="382" t="s">
        <v>489</v>
      </c>
      <c r="L923" s="383">
        <f>(J923*(1-0.361)*0.001)*0.88/0.032</f>
        <v>8.4348000000000006E-2</v>
      </c>
      <c r="M923" s="335" t="str">
        <f>'[1]Advanced Controls'!$I$158</f>
        <v>t CH4-CO2eq per kg of protein</v>
      </c>
      <c r="N923" s="238"/>
      <c r="O923" s="227" t="s">
        <v>544</v>
      </c>
      <c r="P923" s="122"/>
      <c r="Q923" s="228"/>
      <c r="R923" s="231">
        <f t="shared" si="654"/>
        <v>8.4348000000000006E-2</v>
      </c>
      <c r="S923" s="230">
        <f t="shared" si="643"/>
        <v>8.4348000000000006E-2</v>
      </c>
      <c r="T923" s="231">
        <f t="shared" si="655"/>
        <v>0</v>
      </c>
      <c r="U923" s="232" t="str">
        <f t="shared" si="644"/>
        <v>t CH4-CO2eq per kg of protein</v>
      </c>
      <c r="V923" s="28"/>
      <c r="W923" s="28"/>
      <c r="Y923" s="91"/>
      <c r="AO923" s="91"/>
      <c r="AP923" s="28"/>
      <c r="AQ923" s="28"/>
      <c r="AR923" s="237"/>
      <c r="AS923" s="28"/>
      <c r="AT923" s="304" t="str">
        <f t="shared" si="656"/>
        <v/>
      </c>
      <c r="AU923" s="304" t="str">
        <f t="shared" si="656"/>
        <v/>
      </c>
      <c r="AV923" s="28"/>
      <c r="AW923" s="304" t="str">
        <f t="shared" si="645"/>
        <v/>
      </c>
      <c r="AX923" s="304" t="str">
        <f t="shared" si="645"/>
        <v/>
      </c>
      <c r="AY923" s="28"/>
      <c r="AZ923" s="304" t="str">
        <f t="shared" si="646"/>
        <v/>
      </c>
      <c r="BA923" s="304" t="str">
        <f t="shared" si="646"/>
        <v/>
      </c>
      <c r="BB923" s="28"/>
      <c r="BC923" s="304">
        <f t="shared" si="647"/>
        <v>8.4348000000000006E-2</v>
      </c>
      <c r="BD923" s="304">
        <f t="shared" si="647"/>
        <v>8.4348000000000006E-2</v>
      </c>
      <c r="BE923" s="28"/>
      <c r="BF923" s="304" t="str">
        <f t="shared" si="648"/>
        <v/>
      </c>
      <c r="BG923" s="304" t="str">
        <f t="shared" si="648"/>
        <v/>
      </c>
      <c r="BH923" s="28"/>
      <c r="BI923" s="304" t="str">
        <f t="shared" si="649"/>
        <v/>
      </c>
      <c r="BJ923" s="304" t="str">
        <f t="shared" si="649"/>
        <v/>
      </c>
      <c r="BK923" s="28"/>
      <c r="BL923" s="304" t="str">
        <f t="shared" si="650"/>
        <v/>
      </c>
      <c r="BM923" s="304" t="str">
        <f t="shared" si="650"/>
        <v/>
      </c>
      <c r="BN923" s="28"/>
      <c r="BO923" s="304" t="str">
        <f t="shared" si="651"/>
        <v/>
      </c>
      <c r="BP923" s="304" t="str">
        <f t="shared" si="651"/>
        <v/>
      </c>
      <c r="BQ923" s="28"/>
      <c r="BR923" s="304" t="str">
        <f t="shared" si="652"/>
        <v/>
      </c>
      <c r="BS923" s="304" t="str">
        <f t="shared" si="652"/>
        <v/>
      </c>
      <c r="BT923" s="28"/>
      <c r="BU923" s="304" t="str">
        <f t="shared" si="653"/>
        <v/>
      </c>
      <c r="BV923" s="304" t="str">
        <f t="shared" si="653"/>
        <v/>
      </c>
      <c r="BW923" s="28"/>
      <c r="BX923" s="91"/>
    </row>
    <row r="924" spans="1:76" s="55" customFormat="1" x14ac:dyDescent="0.25">
      <c r="A924" s="195">
        <v>7</v>
      </c>
      <c r="B924" s="216" t="str">
        <f t="shared" si="642"/>
        <v>Asia (Sans Japan): FAO. 2017. Reducing Enteric Methane for improving food security and livelihoods</v>
      </c>
      <c r="C924" s="219" t="s">
        <v>488</v>
      </c>
      <c r="D924" s="379" t="s">
        <v>269</v>
      </c>
      <c r="E924" s="219" t="s">
        <v>98</v>
      </c>
      <c r="F924" s="330" t="s">
        <v>270</v>
      </c>
      <c r="G924" s="220" t="s">
        <v>26</v>
      </c>
      <c r="H924" s="221">
        <v>2017</v>
      </c>
      <c r="I924" s="240"/>
      <c r="J924" s="377">
        <v>13.8</v>
      </c>
      <c r="K924" s="382" t="s">
        <v>489</v>
      </c>
      <c r="L924" s="383">
        <f>J924*(1-0.371)*0.001*0.88/0.032</f>
        <v>0.23870550000000004</v>
      </c>
      <c r="M924" s="335" t="str">
        <f>'[1]Advanced Controls'!$I$158</f>
        <v>t CH4-CO2eq per kg of protein</v>
      </c>
      <c r="N924" s="238"/>
      <c r="O924" s="227" t="s">
        <v>545</v>
      </c>
      <c r="P924" s="122"/>
      <c r="Q924" s="228"/>
      <c r="R924" s="231">
        <f t="shared" si="654"/>
        <v>0.23870550000000004</v>
      </c>
      <c r="S924" s="230">
        <f t="shared" si="643"/>
        <v>0.23870550000000004</v>
      </c>
      <c r="T924" s="231">
        <f t="shared" si="655"/>
        <v>0</v>
      </c>
      <c r="U924" s="232" t="str">
        <f t="shared" si="644"/>
        <v>t CH4-CO2eq per kg of protein</v>
      </c>
      <c r="V924" s="28"/>
      <c r="W924" s="28"/>
      <c r="Y924" s="91"/>
      <c r="AO924" s="91"/>
      <c r="AP924" s="28"/>
      <c r="AQ924" s="28"/>
      <c r="AR924" s="237"/>
      <c r="AS924" s="28"/>
      <c r="AT924" s="304" t="str">
        <f t="shared" si="656"/>
        <v/>
      </c>
      <c r="AU924" s="304" t="str">
        <f t="shared" si="656"/>
        <v/>
      </c>
      <c r="AV924" s="28"/>
      <c r="AW924" s="304" t="str">
        <f t="shared" si="645"/>
        <v/>
      </c>
      <c r="AX924" s="304" t="str">
        <f t="shared" si="645"/>
        <v/>
      </c>
      <c r="AY924" s="28"/>
      <c r="AZ924" s="304" t="str">
        <f t="shared" si="646"/>
        <v/>
      </c>
      <c r="BA924" s="304" t="str">
        <f t="shared" si="646"/>
        <v/>
      </c>
      <c r="BB924" s="28"/>
      <c r="BC924" s="304">
        <f t="shared" si="647"/>
        <v>0.23870550000000004</v>
      </c>
      <c r="BD924" s="304">
        <f t="shared" si="647"/>
        <v>0.23870550000000004</v>
      </c>
      <c r="BE924" s="28"/>
      <c r="BF924" s="304" t="str">
        <f t="shared" si="648"/>
        <v/>
      </c>
      <c r="BG924" s="304" t="str">
        <f t="shared" si="648"/>
        <v/>
      </c>
      <c r="BH924" s="28"/>
      <c r="BI924" s="304" t="str">
        <f t="shared" si="649"/>
        <v/>
      </c>
      <c r="BJ924" s="304" t="str">
        <f t="shared" si="649"/>
        <v/>
      </c>
      <c r="BK924" s="28"/>
      <c r="BL924" s="304" t="str">
        <f t="shared" si="650"/>
        <v/>
      </c>
      <c r="BM924" s="304" t="str">
        <f t="shared" si="650"/>
        <v/>
      </c>
      <c r="BN924" s="28"/>
      <c r="BO924" s="304" t="str">
        <f t="shared" si="651"/>
        <v/>
      </c>
      <c r="BP924" s="304" t="str">
        <f t="shared" si="651"/>
        <v/>
      </c>
      <c r="BQ924" s="28"/>
      <c r="BR924" s="304" t="str">
        <f t="shared" si="652"/>
        <v/>
      </c>
      <c r="BS924" s="304" t="str">
        <f t="shared" si="652"/>
        <v/>
      </c>
      <c r="BT924" s="28"/>
      <c r="BU924" s="304" t="str">
        <f t="shared" si="653"/>
        <v/>
      </c>
      <c r="BV924" s="304" t="str">
        <f t="shared" si="653"/>
        <v/>
      </c>
      <c r="BW924" s="28"/>
      <c r="BX924" s="91"/>
    </row>
    <row r="925" spans="1:76" s="55" customFormat="1" x14ac:dyDescent="0.25">
      <c r="A925" s="195">
        <v>8</v>
      </c>
      <c r="B925" s="216" t="str">
        <f t="shared" si="642"/>
        <v>Middle East and Africa: FAO. 2017. Reducing Enteric Methane for improving food security and livelihoods</v>
      </c>
      <c r="C925" s="219" t="s">
        <v>488</v>
      </c>
      <c r="D925" s="379" t="s">
        <v>252</v>
      </c>
      <c r="E925" s="219" t="s">
        <v>99</v>
      </c>
      <c r="F925" s="330" t="s">
        <v>253</v>
      </c>
      <c r="G925" s="220" t="s">
        <v>26</v>
      </c>
      <c r="H925" s="221">
        <v>2017</v>
      </c>
      <c r="I925" s="240"/>
      <c r="J925" s="377">
        <v>2.1</v>
      </c>
      <c r="K925" s="382" t="s">
        <v>489</v>
      </c>
      <c r="L925" s="383">
        <f>(J925*(1-0.073)*0.001*0.88)/0.032</f>
        <v>5.3534250000000005E-2</v>
      </c>
      <c r="M925" s="335" t="str">
        <f>'[1]Advanced Controls'!$I$158</f>
        <v>t CH4-CO2eq per kg of protein</v>
      </c>
      <c r="N925" s="238"/>
      <c r="O925" s="227" t="s">
        <v>546</v>
      </c>
      <c r="P925" s="122"/>
      <c r="Q925" s="228"/>
      <c r="R925" s="231">
        <f t="shared" si="654"/>
        <v>5.3534250000000005E-2</v>
      </c>
      <c r="S925" s="230">
        <f t="shared" si="643"/>
        <v>5.3534250000000005E-2</v>
      </c>
      <c r="T925" s="231">
        <f t="shared" si="655"/>
        <v>0</v>
      </c>
      <c r="U925" s="232" t="str">
        <f t="shared" si="644"/>
        <v>t CH4-CO2eq per kg of protein</v>
      </c>
      <c r="V925" s="28"/>
      <c r="W925" s="28"/>
      <c r="Y925" s="91"/>
      <c r="AO925" s="91"/>
      <c r="AP925" s="28"/>
      <c r="AQ925" s="28"/>
      <c r="AR925" s="237"/>
      <c r="AS925" s="28"/>
      <c r="AT925" s="304" t="str">
        <f t="shared" si="656"/>
        <v/>
      </c>
      <c r="AU925" s="304" t="str">
        <f t="shared" si="656"/>
        <v/>
      </c>
      <c r="AV925" s="28"/>
      <c r="AW925" s="304" t="str">
        <f t="shared" si="645"/>
        <v/>
      </c>
      <c r="AX925" s="304" t="str">
        <f t="shared" si="645"/>
        <v/>
      </c>
      <c r="AY925" s="28"/>
      <c r="AZ925" s="304" t="str">
        <f t="shared" si="646"/>
        <v/>
      </c>
      <c r="BA925" s="304" t="str">
        <f t="shared" si="646"/>
        <v/>
      </c>
      <c r="BB925" s="28"/>
      <c r="BC925" s="304" t="str">
        <f t="shared" si="647"/>
        <v/>
      </c>
      <c r="BD925" s="304" t="str">
        <f t="shared" si="647"/>
        <v/>
      </c>
      <c r="BE925" s="28"/>
      <c r="BF925" s="304">
        <f t="shared" si="648"/>
        <v>5.3534250000000005E-2</v>
      </c>
      <c r="BG925" s="304">
        <f t="shared" si="648"/>
        <v>5.3534250000000005E-2</v>
      </c>
      <c r="BH925" s="28"/>
      <c r="BI925" s="304" t="str">
        <f t="shared" si="649"/>
        <v/>
      </c>
      <c r="BJ925" s="304" t="str">
        <f t="shared" si="649"/>
        <v/>
      </c>
      <c r="BK925" s="28"/>
      <c r="BL925" s="304" t="str">
        <f t="shared" si="650"/>
        <v/>
      </c>
      <c r="BM925" s="304" t="str">
        <f t="shared" si="650"/>
        <v/>
      </c>
      <c r="BN925" s="28"/>
      <c r="BO925" s="304" t="str">
        <f t="shared" si="651"/>
        <v/>
      </c>
      <c r="BP925" s="304" t="str">
        <f t="shared" si="651"/>
        <v/>
      </c>
      <c r="BQ925" s="28"/>
      <c r="BR925" s="304" t="str">
        <f t="shared" si="652"/>
        <v/>
      </c>
      <c r="BS925" s="304" t="str">
        <f t="shared" si="652"/>
        <v/>
      </c>
      <c r="BT925" s="28"/>
      <c r="BU925" s="304" t="str">
        <f t="shared" si="653"/>
        <v/>
      </c>
      <c r="BV925" s="304" t="str">
        <f t="shared" si="653"/>
        <v/>
      </c>
      <c r="BW925" s="28"/>
      <c r="BX925" s="91"/>
    </row>
    <row r="926" spans="1:76" s="55" customFormat="1" x14ac:dyDescent="0.25">
      <c r="A926" s="195">
        <v>9</v>
      </c>
      <c r="B926" s="216" t="str">
        <f t="shared" si="642"/>
        <v>Middle East and Africa: FAO. 2017. Reducing Enteric Methane for improving food security and livelihoods</v>
      </c>
      <c r="C926" s="219" t="s">
        <v>488</v>
      </c>
      <c r="D926" s="379" t="s">
        <v>252</v>
      </c>
      <c r="E926" s="219" t="s">
        <v>99</v>
      </c>
      <c r="F926" s="330" t="s">
        <v>253</v>
      </c>
      <c r="G926" s="220" t="s">
        <v>26</v>
      </c>
      <c r="H926" s="221">
        <v>2017</v>
      </c>
      <c r="I926" s="240"/>
      <c r="J926" s="377">
        <v>4.0999999999999996</v>
      </c>
      <c r="K926" s="382" t="s">
        <v>489</v>
      </c>
      <c r="L926" s="383">
        <f>J926*(1-0.244)*0.001*0.88/0.032</f>
        <v>8.5238999999999981E-2</v>
      </c>
      <c r="M926" s="335" t="str">
        <f>'[1]Advanced Controls'!$I$158</f>
        <v>t CH4-CO2eq per kg of protein</v>
      </c>
      <c r="N926" s="238"/>
      <c r="O926" s="227" t="s">
        <v>547</v>
      </c>
      <c r="P926" s="122"/>
      <c r="Q926" s="228"/>
      <c r="R926" s="231">
        <f t="shared" si="654"/>
        <v>8.5238999999999981E-2</v>
      </c>
      <c r="S926" s="230">
        <f t="shared" si="643"/>
        <v>8.5238999999999981E-2</v>
      </c>
      <c r="T926" s="231">
        <f t="shared" si="655"/>
        <v>0</v>
      </c>
      <c r="U926" s="232" t="str">
        <f t="shared" si="644"/>
        <v>t CH4-CO2eq per kg of protein</v>
      </c>
      <c r="V926" s="28"/>
      <c r="W926" s="28"/>
      <c r="Y926" s="91"/>
      <c r="AO926" s="91"/>
      <c r="AP926" s="28"/>
      <c r="AQ926" s="28"/>
      <c r="AR926" s="237"/>
      <c r="AS926" s="28"/>
      <c r="AT926" s="304" t="str">
        <f t="shared" si="656"/>
        <v/>
      </c>
      <c r="AU926" s="304" t="str">
        <f t="shared" si="656"/>
        <v/>
      </c>
      <c r="AV926" s="28"/>
      <c r="AW926" s="304" t="str">
        <f t="shared" si="645"/>
        <v/>
      </c>
      <c r="AX926" s="304" t="str">
        <f t="shared" si="645"/>
        <v/>
      </c>
      <c r="AY926" s="28"/>
      <c r="AZ926" s="304" t="str">
        <f t="shared" si="646"/>
        <v/>
      </c>
      <c r="BA926" s="304" t="str">
        <f t="shared" si="646"/>
        <v/>
      </c>
      <c r="BB926" s="28"/>
      <c r="BC926" s="304" t="str">
        <f t="shared" si="647"/>
        <v/>
      </c>
      <c r="BD926" s="304" t="str">
        <f t="shared" si="647"/>
        <v/>
      </c>
      <c r="BE926" s="28"/>
      <c r="BF926" s="304">
        <f t="shared" si="648"/>
        <v>8.5238999999999981E-2</v>
      </c>
      <c r="BG926" s="304">
        <f t="shared" si="648"/>
        <v>8.5238999999999981E-2</v>
      </c>
      <c r="BH926" s="28"/>
      <c r="BI926" s="304" t="str">
        <f t="shared" si="649"/>
        <v/>
      </c>
      <c r="BJ926" s="304" t="str">
        <f t="shared" si="649"/>
        <v/>
      </c>
      <c r="BK926" s="28"/>
      <c r="BL926" s="304" t="str">
        <f t="shared" si="650"/>
        <v/>
      </c>
      <c r="BM926" s="304" t="str">
        <f t="shared" si="650"/>
        <v/>
      </c>
      <c r="BN926" s="28"/>
      <c r="BO926" s="304" t="str">
        <f t="shared" si="651"/>
        <v/>
      </c>
      <c r="BP926" s="304" t="str">
        <f t="shared" si="651"/>
        <v/>
      </c>
      <c r="BQ926" s="28"/>
      <c r="BR926" s="304" t="str">
        <f t="shared" si="652"/>
        <v/>
      </c>
      <c r="BS926" s="304" t="str">
        <f t="shared" si="652"/>
        <v/>
      </c>
      <c r="BT926" s="28"/>
      <c r="BU926" s="304" t="str">
        <f t="shared" si="653"/>
        <v/>
      </c>
      <c r="BV926" s="304" t="str">
        <f t="shared" si="653"/>
        <v/>
      </c>
      <c r="BW926" s="28"/>
      <c r="BX926" s="91"/>
    </row>
    <row r="927" spans="1:76" s="55" customFormat="1" x14ac:dyDescent="0.25">
      <c r="A927" s="195">
        <v>10</v>
      </c>
      <c r="B927" s="216" t="str">
        <f t="shared" si="642"/>
        <v>Middle East and Africa: FAO. 2017. Reducing Enteric Methane for improving food security and livelihoods</v>
      </c>
      <c r="C927" s="219" t="s">
        <v>488</v>
      </c>
      <c r="D927" s="379" t="s">
        <v>252</v>
      </c>
      <c r="E927" s="219" t="s">
        <v>99</v>
      </c>
      <c r="F927" s="330" t="s">
        <v>253</v>
      </c>
      <c r="G927" s="220" t="s">
        <v>26</v>
      </c>
      <c r="H927" s="221">
        <v>2017</v>
      </c>
      <c r="I927" s="240"/>
      <c r="J927" s="377">
        <v>2.1</v>
      </c>
      <c r="K927" s="382" t="s">
        <v>489</v>
      </c>
      <c r="L927" s="383">
        <f>J927*(1-0.201)*0.001*0.88/0.032</f>
        <v>4.6142249999999996E-2</v>
      </c>
      <c r="M927" s="335" t="str">
        <f>'[1]Advanced Controls'!$I$158</f>
        <v>t CH4-CO2eq per kg of protein</v>
      </c>
      <c r="N927" s="238"/>
      <c r="O927" s="227" t="s">
        <v>548</v>
      </c>
      <c r="P927" s="122"/>
      <c r="Q927" s="228"/>
      <c r="R927" s="231">
        <f t="shared" si="654"/>
        <v>4.6142249999999996E-2</v>
      </c>
      <c r="S927" s="230">
        <f t="shared" si="643"/>
        <v>4.6142249999999996E-2</v>
      </c>
      <c r="T927" s="231">
        <f t="shared" si="655"/>
        <v>0</v>
      </c>
      <c r="U927" s="232" t="str">
        <f t="shared" si="644"/>
        <v>t CH4-CO2eq per kg of protein</v>
      </c>
      <c r="V927" s="28"/>
      <c r="W927" s="28"/>
      <c r="Y927" s="91"/>
      <c r="AO927" s="91"/>
      <c r="AP927" s="28"/>
      <c r="AQ927" s="28"/>
      <c r="AR927" s="237"/>
      <c r="AS927" s="28"/>
      <c r="AT927" s="304" t="str">
        <f t="shared" si="656"/>
        <v/>
      </c>
      <c r="AU927" s="304" t="str">
        <f t="shared" si="656"/>
        <v/>
      </c>
      <c r="AV927" s="28"/>
      <c r="AW927" s="304" t="str">
        <f t="shared" si="645"/>
        <v/>
      </c>
      <c r="AX927" s="304" t="str">
        <f t="shared" si="645"/>
        <v/>
      </c>
      <c r="AY927" s="28"/>
      <c r="AZ927" s="304" t="str">
        <f t="shared" si="646"/>
        <v/>
      </c>
      <c r="BA927" s="304" t="str">
        <f t="shared" si="646"/>
        <v/>
      </c>
      <c r="BB927" s="28"/>
      <c r="BC927" s="304" t="str">
        <f t="shared" si="647"/>
        <v/>
      </c>
      <c r="BD927" s="304" t="str">
        <f t="shared" si="647"/>
        <v/>
      </c>
      <c r="BE927" s="28"/>
      <c r="BF927" s="304">
        <f t="shared" si="648"/>
        <v>4.6142249999999996E-2</v>
      </c>
      <c r="BG927" s="304">
        <f t="shared" si="648"/>
        <v>4.6142249999999996E-2</v>
      </c>
      <c r="BH927" s="28"/>
      <c r="BI927" s="304" t="str">
        <f t="shared" si="649"/>
        <v/>
      </c>
      <c r="BJ927" s="304" t="str">
        <f t="shared" si="649"/>
        <v/>
      </c>
      <c r="BK927" s="28"/>
      <c r="BL927" s="304" t="str">
        <f t="shared" si="650"/>
        <v/>
      </c>
      <c r="BM927" s="304" t="str">
        <f t="shared" si="650"/>
        <v/>
      </c>
      <c r="BN927" s="28"/>
      <c r="BO927" s="304" t="str">
        <f t="shared" si="651"/>
        <v/>
      </c>
      <c r="BP927" s="304" t="str">
        <f t="shared" si="651"/>
        <v/>
      </c>
      <c r="BQ927" s="28"/>
      <c r="BR927" s="304" t="str">
        <f t="shared" si="652"/>
        <v/>
      </c>
      <c r="BS927" s="304" t="str">
        <f t="shared" si="652"/>
        <v/>
      </c>
      <c r="BT927" s="28"/>
      <c r="BU927" s="304" t="str">
        <f t="shared" si="653"/>
        <v/>
      </c>
      <c r="BV927" s="304" t="str">
        <f t="shared" si="653"/>
        <v/>
      </c>
      <c r="BW927" s="28"/>
      <c r="BX927" s="91"/>
    </row>
    <row r="928" spans="1:76" s="55" customFormat="1" x14ac:dyDescent="0.25">
      <c r="A928" s="195">
        <v>11</v>
      </c>
      <c r="B928" s="216" t="str">
        <f t="shared" si="642"/>
        <v>Middle East and Africa: FAO. 2017. Reducing Enteric Methane for improving food security and livelihoods</v>
      </c>
      <c r="C928" s="219" t="s">
        <v>488</v>
      </c>
      <c r="D928" s="379" t="s">
        <v>252</v>
      </c>
      <c r="E928" s="219" t="s">
        <v>99</v>
      </c>
      <c r="F928" s="330" t="s">
        <v>253</v>
      </c>
      <c r="G928" s="220" t="s">
        <v>26</v>
      </c>
      <c r="H928" s="221">
        <v>2017</v>
      </c>
      <c r="I928" s="240"/>
      <c r="J928" s="377">
        <v>4.0999999999999996</v>
      </c>
      <c r="K928" s="382" t="s">
        <v>489</v>
      </c>
      <c r="L928" s="383">
        <f>J928*(1-0.447)*0.001*0.88/0.032</f>
        <v>6.2350749999999996E-2</v>
      </c>
      <c r="M928" s="335" t="str">
        <f>'[1]Advanced Controls'!$I$158</f>
        <v>t CH4-CO2eq per kg of protein</v>
      </c>
      <c r="N928" s="238"/>
      <c r="O928" s="227" t="s">
        <v>549</v>
      </c>
      <c r="P928" s="122"/>
      <c r="Q928" s="228"/>
      <c r="R928" s="231">
        <f t="shared" si="654"/>
        <v>6.2350749999999996E-2</v>
      </c>
      <c r="S928" s="230">
        <f t="shared" si="643"/>
        <v>6.2350749999999996E-2</v>
      </c>
      <c r="T928" s="231">
        <f t="shared" si="655"/>
        <v>0</v>
      </c>
      <c r="U928" s="232" t="str">
        <f t="shared" si="644"/>
        <v>t CH4-CO2eq per kg of protein</v>
      </c>
      <c r="V928" s="28"/>
      <c r="W928" s="28"/>
      <c r="Y928" s="91"/>
      <c r="AO928" s="91"/>
      <c r="AP928" s="28"/>
      <c r="AQ928" s="28"/>
      <c r="AR928" s="237"/>
      <c r="AS928" s="28"/>
      <c r="AT928" s="304" t="str">
        <f t="shared" si="656"/>
        <v/>
      </c>
      <c r="AU928" s="304" t="str">
        <f t="shared" si="656"/>
        <v/>
      </c>
      <c r="AV928" s="28"/>
      <c r="AW928" s="304" t="str">
        <f t="shared" si="645"/>
        <v/>
      </c>
      <c r="AX928" s="304" t="str">
        <f t="shared" si="645"/>
        <v/>
      </c>
      <c r="AY928" s="28"/>
      <c r="AZ928" s="304" t="str">
        <f t="shared" si="646"/>
        <v/>
      </c>
      <c r="BA928" s="304" t="str">
        <f t="shared" si="646"/>
        <v/>
      </c>
      <c r="BB928" s="28"/>
      <c r="BC928" s="304" t="str">
        <f t="shared" si="647"/>
        <v/>
      </c>
      <c r="BD928" s="304" t="str">
        <f t="shared" si="647"/>
        <v/>
      </c>
      <c r="BE928" s="28"/>
      <c r="BF928" s="304">
        <f t="shared" si="648"/>
        <v>6.2350749999999996E-2</v>
      </c>
      <c r="BG928" s="304">
        <f t="shared" si="648"/>
        <v>6.2350749999999996E-2</v>
      </c>
      <c r="BH928" s="28"/>
      <c r="BI928" s="304" t="str">
        <f t="shared" si="649"/>
        <v/>
      </c>
      <c r="BJ928" s="304" t="str">
        <f t="shared" si="649"/>
        <v/>
      </c>
      <c r="BK928" s="28"/>
      <c r="BL928" s="304" t="str">
        <f t="shared" si="650"/>
        <v/>
      </c>
      <c r="BM928" s="304" t="str">
        <f t="shared" si="650"/>
        <v/>
      </c>
      <c r="BN928" s="28"/>
      <c r="BO928" s="304" t="str">
        <f t="shared" si="651"/>
        <v/>
      </c>
      <c r="BP928" s="304" t="str">
        <f t="shared" si="651"/>
        <v/>
      </c>
      <c r="BQ928" s="28"/>
      <c r="BR928" s="304" t="str">
        <f t="shared" si="652"/>
        <v/>
      </c>
      <c r="BS928" s="304" t="str">
        <f t="shared" si="652"/>
        <v/>
      </c>
      <c r="BT928" s="28"/>
      <c r="BU928" s="304" t="str">
        <f t="shared" si="653"/>
        <v/>
      </c>
      <c r="BV928" s="304" t="str">
        <f t="shared" si="653"/>
        <v/>
      </c>
      <c r="BW928" s="28"/>
      <c r="BX928" s="91"/>
    </row>
    <row r="929" spans="1:76" s="55" customFormat="1" x14ac:dyDescent="0.25">
      <c r="A929" s="195">
        <v>12</v>
      </c>
      <c r="B929" s="216" t="str">
        <f t="shared" si="642"/>
        <v>Middle East and Africa: FAO. 2017. Reducing Enteric Methane for improving food security and livelihoods</v>
      </c>
      <c r="C929" s="219" t="s">
        <v>488</v>
      </c>
      <c r="D929" s="379" t="s">
        <v>252</v>
      </c>
      <c r="E929" s="219" t="s">
        <v>99</v>
      </c>
      <c r="F929" s="330" t="s">
        <v>253</v>
      </c>
      <c r="G929" s="220" t="s">
        <v>26</v>
      </c>
      <c r="H929" s="221">
        <v>2017</v>
      </c>
      <c r="I929" s="240"/>
      <c r="J929" s="377">
        <v>7.1</v>
      </c>
      <c r="K929" s="382" t="s">
        <v>489</v>
      </c>
      <c r="L929" s="383">
        <f>J929*(1-0.106)*0.001*0.88/0.032</f>
        <v>0.17455349999999997</v>
      </c>
      <c r="M929" s="335" t="str">
        <f>'[1]Advanced Controls'!$I$158</f>
        <v>t CH4-CO2eq per kg of protein</v>
      </c>
      <c r="N929" s="238"/>
      <c r="O929" s="227" t="s">
        <v>550</v>
      </c>
      <c r="P929" s="122"/>
      <c r="Q929" s="228"/>
      <c r="R929" s="231">
        <f t="shared" si="654"/>
        <v>0.17455349999999997</v>
      </c>
      <c r="S929" s="230">
        <f t="shared" si="643"/>
        <v>0.17455349999999997</v>
      </c>
      <c r="T929" s="231">
        <f t="shared" si="655"/>
        <v>0</v>
      </c>
      <c r="U929" s="232" t="str">
        <f t="shared" si="644"/>
        <v>t CH4-CO2eq per kg of protein</v>
      </c>
      <c r="V929" s="28"/>
      <c r="W929" s="28"/>
      <c r="Y929" s="91"/>
      <c r="AO929" s="91"/>
      <c r="AP929" s="28"/>
      <c r="AQ929" s="28"/>
      <c r="AR929" s="237"/>
      <c r="AS929" s="28"/>
      <c r="AT929" s="304" t="str">
        <f t="shared" si="656"/>
        <v/>
      </c>
      <c r="AU929" s="304" t="str">
        <f t="shared" si="656"/>
        <v/>
      </c>
      <c r="AV929" s="28"/>
      <c r="AW929" s="304" t="str">
        <f t="shared" si="645"/>
        <v/>
      </c>
      <c r="AX929" s="304" t="str">
        <f t="shared" si="645"/>
        <v/>
      </c>
      <c r="AY929" s="28"/>
      <c r="AZ929" s="304" t="str">
        <f t="shared" si="646"/>
        <v/>
      </c>
      <c r="BA929" s="304" t="str">
        <f t="shared" si="646"/>
        <v/>
      </c>
      <c r="BB929" s="28"/>
      <c r="BC929" s="304" t="str">
        <f t="shared" si="647"/>
        <v/>
      </c>
      <c r="BD929" s="304" t="str">
        <f t="shared" si="647"/>
        <v/>
      </c>
      <c r="BE929" s="28"/>
      <c r="BF929" s="304">
        <f t="shared" si="648"/>
        <v>0.17455349999999997</v>
      </c>
      <c r="BG929" s="304">
        <f t="shared" si="648"/>
        <v>0.17455349999999997</v>
      </c>
      <c r="BH929" s="28"/>
      <c r="BI929" s="304" t="str">
        <f t="shared" si="649"/>
        <v/>
      </c>
      <c r="BJ929" s="304" t="str">
        <f t="shared" si="649"/>
        <v/>
      </c>
      <c r="BK929" s="28"/>
      <c r="BL929" s="304" t="str">
        <f t="shared" si="650"/>
        <v/>
      </c>
      <c r="BM929" s="304" t="str">
        <f t="shared" si="650"/>
        <v/>
      </c>
      <c r="BN929" s="28"/>
      <c r="BO929" s="304" t="str">
        <f t="shared" si="651"/>
        <v/>
      </c>
      <c r="BP929" s="304" t="str">
        <f t="shared" si="651"/>
        <v/>
      </c>
      <c r="BQ929" s="28"/>
      <c r="BR929" s="304" t="str">
        <f t="shared" si="652"/>
        <v/>
      </c>
      <c r="BS929" s="304" t="str">
        <f t="shared" si="652"/>
        <v/>
      </c>
      <c r="BT929" s="28"/>
      <c r="BU929" s="304" t="str">
        <f t="shared" si="653"/>
        <v/>
      </c>
      <c r="BV929" s="304" t="str">
        <f t="shared" si="653"/>
        <v/>
      </c>
      <c r="BW929" s="28"/>
      <c r="BX929" s="91"/>
    </row>
    <row r="930" spans="1:76" s="55" customFormat="1" x14ac:dyDescent="0.25">
      <c r="A930" s="195">
        <v>13</v>
      </c>
      <c r="B930" s="216" t="str">
        <f t="shared" si="642"/>
        <v>Middle East and Africa: FAO. 2017. Reducing Enteric Methane for improving food security and livelihoods</v>
      </c>
      <c r="C930" s="219" t="s">
        <v>488</v>
      </c>
      <c r="D930" s="379" t="s">
        <v>252</v>
      </c>
      <c r="E930" s="219" t="s">
        <v>99</v>
      </c>
      <c r="F930" s="330" t="s">
        <v>253</v>
      </c>
      <c r="G930" s="220" t="s">
        <v>26</v>
      </c>
      <c r="H930" s="221">
        <v>2017</v>
      </c>
      <c r="I930" s="240"/>
      <c r="J930" s="377">
        <v>4.0999999999999996</v>
      </c>
      <c r="K930" s="382" t="s">
        <v>489</v>
      </c>
      <c r="L930" s="383">
        <f>J930*(1-0.065)*0.001*0.88/0.032</f>
        <v>0.10542125000000001</v>
      </c>
      <c r="M930" s="335" t="str">
        <f>'[1]Advanced Controls'!$I$158</f>
        <v>t CH4-CO2eq per kg of protein</v>
      </c>
      <c r="N930" s="238"/>
      <c r="O930" s="227" t="s">
        <v>551</v>
      </c>
      <c r="P930" s="122"/>
      <c r="Q930" s="228"/>
      <c r="R930" s="231">
        <f t="shared" si="654"/>
        <v>0.10542125000000001</v>
      </c>
      <c r="S930" s="230">
        <f t="shared" si="643"/>
        <v>0.10542125000000001</v>
      </c>
      <c r="T930" s="231">
        <f t="shared" si="655"/>
        <v>0</v>
      </c>
      <c r="U930" s="232" t="str">
        <f t="shared" si="644"/>
        <v>t CH4-CO2eq per kg of protein</v>
      </c>
      <c r="V930" s="28"/>
      <c r="W930" s="28"/>
      <c r="Y930" s="91"/>
      <c r="AO930" s="91"/>
      <c r="AP930" s="28"/>
      <c r="AQ930" s="28"/>
      <c r="AR930" s="237"/>
      <c r="AS930" s="28"/>
      <c r="AT930" s="304" t="str">
        <f t="shared" si="656"/>
        <v/>
      </c>
      <c r="AU930" s="304" t="str">
        <f t="shared" si="656"/>
        <v/>
      </c>
      <c r="AV930" s="28"/>
      <c r="AW930" s="304" t="str">
        <f t="shared" si="645"/>
        <v/>
      </c>
      <c r="AX930" s="304" t="str">
        <f t="shared" si="645"/>
        <v/>
      </c>
      <c r="AY930" s="28"/>
      <c r="AZ930" s="304" t="str">
        <f t="shared" si="646"/>
        <v/>
      </c>
      <c r="BA930" s="304" t="str">
        <f t="shared" si="646"/>
        <v/>
      </c>
      <c r="BB930" s="28"/>
      <c r="BC930" s="304" t="str">
        <f t="shared" si="647"/>
        <v/>
      </c>
      <c r="BD930" s="304" t="str">
        <f t="shared" si="647"/>
        <v/>
      </c>
      <c r="BE930" s="28"/>
      <c r="BF930" s="304">
        <f t="shared" si="648"/>
        <v>0.10542125000000001</v>
      </c>
      <c r="BG930" s="304">
        <f t="shared" si="648"/>
        <v>0.10542125000000001</v>
      </c>
      <c r="BH930" s="28"/>
      <c r="BI930" s="304" t="str">
        <f t="shared" si="649"/>
        <v/>
      </c>
      <c r="BJ930" s="304" t="str">
        <f t="shared" si="649"/>
        <v/>
      </c>
      <c r="BK930" s="28"/>
      <c r="BL930" s="304" t="str">
        <f t="shared" si="650"/>
        <v/>
      </c>
      <c r="BM930" s="304" t="str">
        <f t="shared" si="650"/>
        <v/>
      </c>
      <c r="BN930" s="28"/>
      <c r="BO930" s="304" t="str">
        <f t="shared" si="651"/>
        <v/>
      </c>
      <c r="BP930" s="304" t="str">
        <f t="shared" si="651"/>
        <v/>
      </c>
      <c r="BQ930" s="28"/>
      <c r="BR930" s="304" t="str">
        <f t="shared" si="652"/>
        <v/>
      </c>
      <c r="BS930" s="304" t="str">
        <f t="shared" si="652"/>
        <v/>
      </c>
      <c r="BT930" s="28"/>
      <c r="BU930" s="304" t="str">
        <f t="shared" si="653"/>
        <v/>
      </c>
      <c r="BV930" s="304" t="str">
        <f t="shared" si="653"/>
        <v/>
      </c>
      <c r="BW930" s="28"/>
      <c r="BX930" s="91"/>
    </row>
    <row r="931" spans="1:76" s="55" customFormat="1" x14ac:dyDescent="0.25">
      <c r="A931" s="195">
        <v>14</v>
      </c>
      <c r="B931" s="216" t="str">
        <f t="shared" si="642"/>
        <v>Middle East and Africa: FAO. 2017. Reducing Enteric Methane for improving food security and livelihoods</v>
      </c>
      <c r="C931" s="219" t="s">
        <v>488</v>
      </c>
      <c r="D931" s="379" t="s">
        <v>252</v>
      </c>
      <c r="E931" s="219" t="s">
        <v>99</v>
      </c>
      <c r="F931" s="330" t="s">
        <v>253</v>
      </c>
      <c r="G931" s="220" t="s">
        <v>26</v>
      </c>
      <c r="H931" s="221">
        <v>2017</v>
      </c>
      <c r="I931" s="240"/>
      <c r="J931" s="377">
        <v>2.1</v>
      </c>
      <c r="K931" s="382" t="s">
        <v>489</v>
      </c>
      <c r="L931" s="383">
        <f>J931*(1-0.123)*0.001*0.88/0.032</f>
        <v>5.0646750000000004E-2</v>
      </c>
      <c r="M931" s="335" t="str">
        <f>'[1]Advanced Controls'!$I$158</f>
        <v>t CH4-CO2eq per kg of protein</v>
      </c>
      <c r="N931" s="238"/>
      <c r="O931" s="227" t="s">
        <v>552</v>
      </c>
      <c r="P931" s="122"/>
      <c r="Q931" s="228"/>
      <c r="R931" s="231">
        <f t="shared" si="654"/>
        <v>5.0646750000000004E-2</v>
      </c>
      <c r="S931" s="230">
        <f t="shared" si="643"/>
        <v>5.0646750000000004E-2</v>
      </c>
      <c r="T931" s="231">
        <f t="shared" si="655"/>
        <v>0</v>
      </c>
      <c r="U931" s="232" t="str">
        <f t="shared" si="644"/>
        <v>t CH4-CO2eq per kg of protein</v>
      </c>
      <c r="V931" s="28"/>
      <c r="W931" s="28"/>
      <c r="Y931" s="91"/>
      <c r="AO931" s="91"/>
      <c r="AP931" s="28"/>
      <c r="AQ931" s="28"/>
      <c r="AR931" s="237"/>
      <c r="AS931" s="28"/>
      <c r="AT931" s="304" t="str">
        <f t="shared" si="656"/>
        <v/>
      </c>
      <c r="AU931" s="304" t="str">
        <f t="shared" si="656"/>
        <v/>
      </c>
      <c r="AV931" s="28"/>
      <c r="AW931" s="304" t="str">
        <f t="shared" si="645"/>
        <v/>
      </c>
      <c r="AX931" s="304" t="str">
        <f t="shared" si="645"/>
        <v/>
      </c>
      <c r="AY931" s="28"/>
      <c r="AZ931" s="304" t="str">
        <f t="shared" si="646"/>
        <v/>
      </c>
      <c r="BA931" s="304" t="str">
        <f t="shared" si="646"/>
        <v/>
      </c>
      <c r="BB931" s="28"/>
      <c r="BC931" s="304" t="str">
        <f t="shared" si="647"/>
        <v/>
      </c>
      <c r="BD931" s="304" t="str">
        <f t="shared" si="647"/>
        <v/>
      </c>
      <c r="BE931" s="28"/>
      <c r="BF931" s="304">
        <f t="shared" si="648"/>
        <v>5.0646750000000004E-2</v>
      </c>
      <c r="BG931" s="304">
        <f t="shared" si="648"/>
        <v>5.0646750000000004E-2</v>
      </c>
      <c r="BH931" s="28"/>
      <c r="BI931" s="304" t="str">
        <f t="shared" si="649"/>
        <v/>
      </c>
      <c r="BJ931" s="304" t="str">
        <f t="shared" si="649"/>
        <v/>
      </c>
      <c r="BK931" s="28"/>
      <c r="BL931" s="304" t="str">
        <f t="shared" si="650"/>
        <v/>
      </c>
      <c r="BM931" s="304" t="str">
        <f t="shared" si="650"/>
        <v/>
      </c>
      <c r="BN931" s="28"/>
      <c r="BO931" s="304" t="str">
        <f t="shared" si="651"/>
        <v/>
      </c>
      <c r="BP931" s="304" t="str">
        <f t="shared" si="651"/>
        <v/>
      </c>
      <c r="BQ931" s="28"/>
      <c r="BR931" s="304" t="str">
        <f t="shared" si="652"/>
        <v/>
      </c>
      <c r="BS931" s="304" t="str">
        <f t="shared" si="652"/>
        <v/>
      </c>
      <c r="BT931" s="28"/>
      <c r="BU931" s="304" t="str">
        <f t="shared" si="653"/>
        <v/>
      </c>
      <c r="BV931" s="304" t="str">
        <f t="shared" si="653"/>
        <v/>
      </c>
      <c r="BW931" s="28"/>
      <c r="BX931" s="91"/>
    </row>
    <row r="932" spans="1:76" s="55" customFormat="1" x14ac:dyDescent="0.25">
      <c r="A932" s="195">
        <v>15</v>
      </c>
      <c r="B932" s="216" t="str">
        <f t="shared" si="642"/>
        <v>Middle East and Africa: FAO. 2017. Reducing Enteric Methane for improving food security and livelihoods</v>
      </c>
      <c r="C932" s="219" t="s">
        <v>488</v>
      </c>
      <c r="D932" s="379" t="s">
        <v>240</v>
      </c>
      <c r="E932" s="219" t="s">
        <v>99</v>
      </c>
      <c r="F932" s="330" t="s">
        <v>241</v>
      </c>
      <c r="G932" s="220" t="s">
        <v>26</v>
      </c>
      <c r="H932" s="221">
        <v>2017</v>
      </c>
      <c r="I932" s="240"/>
      <c r="J932" s="377">
        <v>44.6</v>
      </c>
      <c r="K932" s="382" t="s">
        <v>489</v>
      </c>
      <c r="L932" s="383">
        <f>J932*(1-0.276)*0.001*0.87/0.032</f>
        <v>0.8778952499999999</v>
      </c>
      <c r="M932" s="335" t="str">
        <f>'[1]Advanced Controls'!$I$158</f>
        <v>t CH4-CO2eq per kg of protein</v>
      </c>
      <c r="N932" s="238"/>
      <c r="O932" s="227" t="s">
        <v>553</v>
      </c>
      <c r="P932" s="122"/>
      <c r="Q932" s="228"/>
      <c r="R932" s="231">
        <f t="shared" si="654"/>
        <v>0.8778952499999999</v>
      </c>
      <c r="S932" s="230">
        <f t="shared" si="643"/>
        <v>0.8778952499999999</v>
      </c>
      <c r="T932" s="231">
        <f t="shared" si="655"/>
        <v>0</v>
      </c>
      <c r="U932" s="232" t="str">
        <f t="shared" si="644"/>
        <v>t CH4-CO2eq per kg of protein</v>
      </c>
      <c r="V932" s="28"/>
      <c r="W932" s="28"/>
      <c r="Y932" s="91"/>
      <c r="AO932" s="91"/>
      <c r="AP932" s="28"/>
      <c r="AQ932" s="28"/>
      <c r="AR932" s="237"/>
      <c r="AS932" s="28"/>
      <c r="AT932" s="304" t="str">
        <f t="shared" si="656"/>
        <v/>
      </c>
      <c r="AU932" s="304" t="str">
        <f t="shared" si="656"/>
        <v/>
      </c>
      <c r="AV932" s="28"/>
      <c r="AW932" s="304" t="str">
        <f t="shared" si="645"/>
        <v/>
      </c>
      <c r="AX932" s="304" t="str">
        <f t="shared" si="645"/>
        <v/>
      </c>
      <c r="AY932" s="28"/>
      <c r="AZ932" s="304" t="str">
        <f t="shared" si="646"/>
        <v/>
      </c>
      <c r="BA932" s="304" t="str">
        <f t="shared" si="646"/>
        <v/>
      </c>
      <c r="BB932" s="28"/>
      <c r="BC932" s="304" t="str">
        <f t="shared" si="647"/>
        <v/>
      </c>
      <c r="BD932" s="304" t="str">
        <f t="shared" si="647"/>
        <v/>
      </c>
      <c r="BE932" s="28"/>
      <c r="BF932" s="304">
        <f t="shared" si="648"/>
        <v>0.8778952499999999</v>
      </c>
      <c r="BG932" s="304">
        <f t="shared" si="648"/>
        <v>0.8778952499999999</v>
      </c>
      <c r="BH932" s="28"/>
      <c r="BI932" s="304" t="str">
        <f t="shared" si="649"/>
        <v/>
      </c>
      <c r="BJ932" s="304" t="str">
        <f t="shared" si="649"/>
        <v/>
      </c>
      <c r="BK932" s="28"/>
      <c r="BL932" s="304" t="str">
        <f t="shared" si="650"/>
        <v/>
      </c>
      <c r="BM932" s="304" t="str">
        <f t="shared" si="650"/>
        <v/>
      </c>
      <c r="BN932" s="28"/>
      <c r="BO932" s="304" t="str">
        <f t="shared" si="651"/>
        <v/>
      </c>
      <c r="BP932" s="304" t="str">
        <f t="shared" si="651"/>
        <v/>
      </c>
      <c r="BQ932" s="28"/>
      <c r="BR932" s="304" t="str">
        <f t="shared" si="652"/>
        <v/>
      </c>
      <c r="BS932" s="304" t="str">
        <f t="shared" si="652"/>
        <v/>
      </c>
      <c r="BT932" s="28"/>
      <c r="BU932" s="304" t="str">
        <f t="shared" si="653"/>
        <v/>
      </c>
      <c r="BV932" s="304" t="str">
        <f t="shared" si="653"/>
        <v/>
      </c>
      <c r="BW932" s="28"/>
      <c r="BX932" s="91"/>
    </row>
    <row r="933" spans="1:76" s="55" customFormat="1" ht="15.95" customHeight="1" x14ac:dyDescent="0.25">
      <c r="A933" s="195">
        <v>16</v>
      </c>
      <c r="B933" s="216" t="str">
        <f t="shared" si="642"/>
        <v>Middle East and Africa: FAO. 2017. Reducing Enteric Methane for improving food security and livelihoods</v>
      </c>
      <c r="C933" s="219" t="s">
        <v>488</v>
      </c>
      <c r="D933" s="379" t="s">
        <v>240</v>
      </c>
      <c r="E933" s="219" t="s">
        <v>99</v>
      </c>
      <c r="F933" s="330" t="s">
        <v>241</v>
      </c>
      <c r="G933" s="220" t="s">
        <v>26</v>
      </c>
      <c r="H933" s="221">
        <v>2017</v>
      </c>
      <c r="I933" s="240"/>
      <c r="J933" s="377">
        <v>18.899999999999999</v>
      </c>
      <c r="K933" s="382" t="s">
        <v>489</v>
      </c>
      <c r="L933" s="383">
        <f>J933*(1-0.203)*0.001*0.87/0.032</f>
        <v>0.40953346874999991</v>
      </c>
      <c r="M933" s="335" t="str">
        <f>'[1]Advanced Controls'!$I$158</f>
        <v>t CH4-CO2eq per kg of protein</v>
      </c>
      <c r="N933" s="238"/>
      <c r="O933" s="227" t="s">
        <v>554</v>
      </c>
      <c r="P933" s="122"/>
      <c r="Q933" s="228"/>
      <c r="R933" s="231">
        <f t="shared" si="654"/>
        <v>0.40953346874999991</v>
      </c>
      <c r="S933" s="230">
        <f t="shared" si="643"/>
        <v>0.40953346874999991</v>
      </c>
      <c r="T933" s="231">
        <f t="shared" si="655"/>
        <v>0</v>
      </c>
      <c r="U933" s="232" t="str">
        <f t="shared" si="644"/>
        <v>t CH4-CO2eq per kg of protein</v>
      </c>
      <c r="V933" s="28"/>
      <c r="W933" s="28"/>
      <c r="Y933" s="91"/>
      <c r="AO933" s="91"/>
      <c r="AP933" s="28"/>
      <c r="AQ933" s="28"/>
      <c r="AR933" s="237"/>
      <c r="AS933" s="28"/>
      <c r="AT933" s="304" t="str">
        <f t="shared" si="656"/>
        <v/>
      </c>
      <c r="AU933" s="304" t="str">
        <f t="shared" si="656"/>
        <v/>
      </c>
      <c r="AV933" s="28"/>
      <c r="AW933" s="304" t="str">
        <f t="shared" si="645"/>
        <v/>
      </c>
      <c r="AX933" s="304" t="str">
        <f t="shared" si="645"/>
        <v/>
      </c>
      <c r="AY933" s="28"/>
      <c r="AZ933" s="304" t="str">
        <f t="shared" si="646"/>
        <v/>
      </c>
      <c r="BA933" s="304" t="str">
        <f t="shared" si="646"/>
        <v/>
      </c>
      <c r="BB933" s="28"/>
      <c r="BC933" s="304" t="str">
        <f t="shared" si="647"/>
        <v/>
      </c>
      <c r="BD933" s="304" t="str">
        <f t="shared" si="647"/>
        <v/>
      </c>
      <c r="BE933" s="28"/>
      <c r="BF933" s="304">
        <f t="shared" si="648"/>
        <v>0.40953346874999991</v>
      </c>
      <c r="BG933" s="304">
        <f t="shared" si="648"/>
        <v>0.40953346874999991</v>
      </c>
      <c r="BH933" s="28"/>
      <c r="BI933" s="304" t="str">
        <f t="shared" si="649"/>
        <v/>
      </c>
      <c r="BJ933" s="304" t="str">
        <f t="shared" si="649"/>
        <v/>
      </c>
      <c r="BK933" s="28"/>
      <c r="BL933" s="304" t="str">
        <f t="shared" si="650"/>
        <v/>
      </c>
      <c r="BM933" s="304" t="str">
        <f t="shared" si="650"/>
        <v/>
      </c>
      <c r="BN933" s="28"/>
      <c r="BO933" s="304" t="str">
        <f t="shared" si="651"/>
        <v/>
      </c>
      <c r="BP933" s="304" t="str">
        <f t="shared" si="651"/>
        <v/>
      </c>
      <c r="BQ933" s="28"/>
      <c r="BR933" s="304" t="str">
        <f t="shared" si="652"/>
        <v/>
      </c>
      <c r="BS933" s="304" t="str">
        <f t="shared" si="652"/>
        <v/>
      </c>
      <c r="BT933" s="28"/>
      <c r="BU933" s="304" t="str">
        <f t="shared" si="653"/>
        <v/>
      </c>
      <c r="BV933" s="304" t="str">
        <f t="shared" si="653"/>
        <v/>
      </c>
      <c r="BW933" s="28"/>
      <c r="BX933" s="91"/>
    </row>
    <row r="934" spans="1:76" s="55" customFormat="1" x14ac:dyDescent="0.25">
      <c r="A934" s="195">
        <v>17</v>
      </c>
      <c r="B934" s="216" t="str">
        <f t="shared" si="642"/>
        <v>Middle East and Africa: FAO. 2017. Reducing Enteric Methane for improving food security and livelihoods</v>
      </c>
      <c r="C934" s="219" t="s">
        <v>488</v>
      </c>
      <c r="D934" s="379" t="s">
        <v>240</v>
      </c>
      <c r="E934" s="219" t="s">
        <v>99</v>
      </c>
      <c r="F934" s="330" t="s">
        <v>241</v>
      </c>
      <c r="G934" s="220" t="s">
        <v>26</v>
      </c>
      <c r="H934" s="221">
        <v>2017</v>
      </c>
      <c r="I934" s="240"/>
      <c r="J934" s="377">
        <v>44.6</v>
      </c>
      <c r="K934" s="382" t="s">
        <v>489</v>
      </c>
      <c r="L934" s="383">
        <f>J934*(1-0.436)*0.001*0.87/0.032</f>
        <v>0.68388525</v>
      </c>
      <c r="M934" s="335" t="str">
        <f>'[1]Advanced Controls'!$I$158</f>
        <v>t CH4-CO2eq per kg of protein</v>
      </c>
      <c r="N934" s="238"/>
      <c r="O934" s="227" t="s">
        <v>555</v>
      </c>
      <c r="P934" s="122"/>
      <c r="Q934" s="228"/>
      <c r="R934" s="231">
        <f t="shared" si="654"/>
        <v>0.68388525</v>
      </c>
      <c r="S934" s="230">
        <f t="shared" si="643"/>
        <v>0.68388525</v>
      </c>
      <c r="T934" s="231">
        <f t="shared" si="655"/>
        <v>0</v>
      </c>
      <c r="U934" s="232" t="str">
        <f t="shared" si="644"/>
        <v>t CH4-CO2eq per kg of protein</v>
      </c>
      <c r="V934" s="28"/>
      <c r="W934" s="28"/>
      <c r="Y934" s="91"/>
      <c r="AO934" s="91"/>
      <c r="AP934" s="28"/>
      <c r="AQ934" s="28"/>
      <c r="AR934" s="237"/>
      <c r="AS934" s="28"/>
      <c r="AT934" s="304" t="str">
        <f t="shared" si="656"/>
        <v/>
      </c>
      <c r="AU934" s="304" t="str">
        <f t="shared" si="656"/>
        <v/>
      </c>
      <c r="AV934" s="28"/>
      <c r="AW934" s="304" t="str">
        <f t="shared" si="645"/>
        <v/>
      </c>
      <c r="AX934" s="304" t="str">
        <f t="shared" si="645"/>
        <v/>
      </c>
      <c r="AY934" s="28"/>
      <c r="AZ934" s="304" t="str">
        <f t="shared" si="646"/>
        <v/>
      </c>
      <c r="BA934" s="304" t="str">
        <f t="shared" si="646"/>
        <v/>
      </c>
      <c r="BB934" s="28"/>
      <c r="BC934" s="304" t="str">
        <f t="shared" si="647"/>
        <v/>
      </c>
      <c r="BD934" s="304" t="str">
        <f t="shared" si="647"/>
        <v/>
      </c>
      <c r="BE934" s="28"/>
      <c r="BF934" s="304">
        <f t="shared" si="648"/>
        <v>0.68388525</v>
      </c>
      <c r="BG934" s="304">
        <f t="shared" si="648"/>
        <v>0.68388525</v>
      </c>
      <c r="BH934" s="28"/>
      <c r="BI934" s="304" t="str">
        <f t="shared" si="649"/>
        <v/>
      </c>
      <c r="BJ934" s="304" t="str">
        <f t="shared" si="649"/>
        <v/>
      </c>
      <c r="BK934" s="28"/>
      <c r="BL934" s="304" t="str">
        <f t="shared" si="650"/>
        <v/>
      </c>
      <c r="BM934" s="304" t="str">
        <f t="shared" si="650"/>
        <v/>
      </c>
      <c r="BN934" s="28"/>
      <c r="BO934" s="304" t="str">
        <f t="shared" si="651"/>
        <v/>
      </c>
      <c r="BP934" s="304" t="str">
        <f t="shared" si="651"/>
        <v/>
      </c>
      <c r="BQ934" s="28"/>
      <c r="BR934" s="304" t="str">
        <f t="shared" si="652"/>
        <v/>
      </c>
      <c r="BS934" s="304" t="str">
        <f t="shared" si="652"/>
        <v/>
      </c>
      <c r="BT934" s="28"/>
      <c r="BU934" s="304" t="str">
        <f t="shared" si="653"/>
        <v/>
      </c>
      <c r="BV934" s="304" t="str">
        <f t="shared" si="653"/>
        <v/>
      </c>
      <c r="BW934" s="28"/>
      <c r="BX934" s="91"/>
    </row>
    <row r="935" spans="1:76" s="55" customFormat="1" x14ac:dyDescent="0.25">
      <c r="A935" s="195">
        <v>18</v>
      </c>
      <c r="B935" s="216" t="str">
        <f t="shared" si="642"/>
        <v>Middle East and Africa: FAO. 2017. Reducing Enteric Methane for improving food security and livelihoods</v>
      </c>
      <c r="C935" s="219" t="s">
        <v>488</v>
      </c>
      <c r="D935" s="379" t="s">
        <v>240</v>
      </c>
      <c r="E935" s="219" t="s">
        <v>99</v>
      </c>
      <c r="F935" s="330" t="s">
        <v>241</v>
      </c>
      <c r="G935" s="220" t="s">
        <v>26</v>
      </c>
      <c r="H935" s="221">
        <v>2017</v>
      </c>
      <c r="I935" s="240"/>
      <c r="J935" s="377">
        <v>8.6999999999999993</v>
      </c>
      <c r="K935" s="382" t="s">
        <v>489</v>
      </c>
      <c r="L935" s="383">
        <f>J935*(1-0.266)*0.001*0.87/0.032</f>
        <v>0.17361393750000001</v>
      </c>
      <c r="M935" s="335" t="str">
        <f>'[1]Advanced Controls'!$I$158</f>
        <v>t CH4-CO2eq per kg of protein</v>
      </c>
      <c r="N935" s="238"/>
      <c r="O935" s="227" t="s">
        <v>556</v>
      </c>
      <c r="P935" s="122"/>
      <c r="Q935" s="228"/>
      <c r="R935" s="231">
        <f t="shared" si="654"/>
        <v>0.17361393750000001</v>
      </c>
      <c r="S935" s="230">
        <f t="shared" si="643"/>
        <v>0.17361393750000001</v>
      </c>
      <c r="T935" s="231">
        <f t="shared" si="655"/>
        <v>0</v>
      </c>
      <c r="U935" s="232" t="str">
        <f t="shared" si="644"/>
        <v>t CH4-CO2eq per kg of protein</v>
      </c>
      <c r="V935" s="28"/>
      <c r="W935" s="28"/>
      <c r="Y935" s="91"/>
      <c r="AO935" s="91"/>
      <c r="AP935" s="28"/>
      <c r="AQ935" s="28"/>
      <c r="AR935" s="237"/>
      <c r="AS935" s="28"/>
      <c r="AT935" s="304" t="str">
        <f t="shared" si="656"/>
        <v/>
      </c>
      <c r="AU935" s="304" t="str">
        <f t="shared" si="656"/>
        <v/>
      </c>
      <c r="AV935" s="28"/>
      <c r="AW935" s="304" t="str">
        <f t="shared" si="645"/>
        <v/>
      </c>
      <c r="AX935" s="304" t="str">
        <f t="shared" si="645"/>
        <v/>
      </c>
      <c r="AY935" s="28"/>
      <c r="AZ935" s="304" t="str">
        <f t="shared" si="646"/>
        <v/>
      </c>
      <c r="BA935" s="304" t="str">
        <f t="shared" si="646"/>
        <v/>
      </c>
      <c r="BB935" s="28"/>
      <c r="BC935" s="304" t="str">
        <f t="shared" si="647"/>
        <v/>
      </c>
      <c r="BD935" s="304" t="str">
        <f t="shared" si="647"/>
        <v/>
      </c>
      <c r="BE935" s="28"/>
      <c r="BF935" s="304">
        <f t="shared" si="648"/>
        <v>0.17361393750000001</v>
      </c>
      <c r="BG935" s="304">
        <f t="shared" si="648"/>
        <v>0.17361393750000001</v>
      </c>
      <c r="BH935" s="28"/>
      <c r="BI935" s="304" t="str">
        <f t="shared" si="649"/>
        <v/>
      </c>
      <c r="BJ935" s="304" t="str">
        <f t="shared" si="649"/>
        <v/>
      </c>
      <c r="BK935" s="28"/>
      <c r="BL935" s="304" t="str">
        <f t="shared" si="650"/>
        <v/>
      </c>
      <c r="BM935" s="304" t="str">
        <f t="shared" si="650"/>
        <v/>
      </c>
      <c r="BN935" s="28"/>
      <c r="BO935" s="304" t="str">
        <f t="shared" si="651"/>
        <v/>
      </c>
      <c r="BP935" s="304" t="str">
        <f t="shared" si="651"/>
        <v/>
      </c>
      <c r="BQ935" s="28"/>
      <c r="BR935" s="304" t="str">
        <f t="shared" si="652"/>
        <v/>
      </c>
      <c r="BS935" s="304" t="str">
        <f t="shared" si="652"/>
        <v/>
      </c>
      <c r="BT935" s="28"/>
      <c r="BU935" s="304" t="str">
        <f t="shared" si="653"/>
        <v/>
      </c>
      <c r="BV935" s="304" t="str">
        <f t="shared" si="653"/>
        <v/>
      </c>
      <c r="BW935" s="28"/>
      <c r="BX935" s="91"/>
    </row>
    <row r="936" spans="1:76" s="55" customFormat="1" x14ac:dyDescent="0.25">
      <c r="A936" s="195">
        <v>19</v>
      </c>
      <c r="B936" s="216" t="str">
        <f t="shared" si="642"/>
        <v>Middle East and Africa: FAO. 2017. Reducing Enteric Methane for improving food security and livelihoods</v>
      </c>
      <c r="C936" s="219" t="s">
        <v>488</v>
      </c>
      <c r="D936" s="379" t="s">
        <v>240</v>
      </c>
      <c r="E936" s="219" t="s">
        <v>99</v>
      </c>
      <c r="F936" s="330" t="s">
        <v>241</v>
      </c>
      <c r="G936" s="220" t="s">
        <v>26</v>
      </c>
      <c r="H936" s="221">
        <v>2017</v>
      </c>
      <c r="I936" s="240"/>
      <c r="J936" s="377">
        <v>3.8</v>
      </c>
      <c r="K936" s="382" t="s">
        <v>489</v>
      </c>
      <c r="L936" s="383">
        <f>J936*(1-0.159)*0.001*0.87/0.032</f>
        <v>8.6885812499999993E-2</v>
      </c>
      <c r="M936" s="335" t="str">
        <f>'[1]Advanced Controls'!$I$158</f>
        <v>t CH4-CO2eq per kg of protein</v>
      </c>
      <c r="N936" s="238"/>
      <c r="O936" s="227" t="s">
        <v>557</v>
      </c>
      <c r="P936" s="122"/>
      <c r="Q936" s="228"/>
      <c r="R936" s="231">
        <f t="shared" si="654"/>
        <v>8.6885812499999993E-2</v>
      </c>
      <c r="S936" s="230">
        <f t="shared" si="643"/>
        <v>8.6885812499999993E-2</v>
      </c>
      <c r="T936" s="231">
        <f t="shared" si="655"/>
        <v>0</v>
      </c>
      <c r="U936" s="232" t="str">
        <f t="shared" si="644"/>
        <v>t CH4-CO2eq per kg of protein</v>
      </c>
      <c r="V936" s="28"/>
      <c r="W936" s="28"/>
      <c r="Y936" s="91"/>
      <c r="AO936" s="91"/>
      <c r="AP936" s="28"/>
      <c r="AQ936" s="28"/>
      <c r="AR936" s="237"/>
      <c r="AS936" s="28"/>
      <c r="AT936" s="304" t="str">
        <f t="shared" si="656"/>
        <v/>
      </c>
      <c r="AU936" s="304" t="str">
        <f t="shared" si="656"/>
        <v/>
      </c>
      <c r="AV936" s="28"/>
      <c r="AW936" s="304" t="str">
        <f t="shared" si="645"/>
        <v/>
      </c>
      <c r="AX936" s="304" t="str">
        <f t="shared" si="645"/>
        <v/>
      </c>
      <c r="AY936" s="28"/>
      <c r="AZ936" s="304" t="str">
        <f t="shared" si="646"/>
        <v/>
      </c>
      <c r="BA936" s="304" t="str">
        <f t="shared" si="646"/>
        <v/>
      </c>
      <c r="BB936" s="28"/>
      <c r="BC936" s="304" t="str">
        <f t="shared" si="647"/>
        <v/>
      </c>
      <c r="BD936" s="304" t="str">
        <f t="shared" si="647"/>
        <v/>
      </c>
      <c r="BE936" s="28"/>
      <c r="BF936" s="304">
        <f t="shared" si="648"/>
        <v>8.6885812499999993E-2</v>
      </c>
      <c r="BG936" s="304">
        <f t="shared" si="648"/>
        <v>8.6885812499999993E-2</v>
      </c>
      <c r="BH936" s="28"/>
      <c r="BI936" s="304" t="str">
        <f t="shared" si="649"/>
        <v/>
      </c>
      <c r="BJ936" s="304" t="str">
        <f t="shared" si="649"/>
        <v/>
      </c>
      <c r="BK936" s="28"/>
      <c r="BL936" s="304" t="str">
        <f t="shared" si="650"/>
        <v/>
      </c>
      <c r="BM936" s="304" t="str">
        <f t="shared" si="650"/>
        <v/>
      </c>
      <c r="BN936" s="28"/>
      <c r="BO936" s="304" t="str">
        <f t="shared" si="651"/>
        <v/>
      </c>
      <c r="BP936" s="304" t="str">
        <f t="shared" si="651"/>
        <v/>
      </c>
      <c r="BQ936" s="28"/>
      <c r="BR936" s="304" t="str">
        <f t="shared" si="652"/>
        <v/>
      </c>
      <c r="BS936" s="304" t="str">
        <f t="shared" si="652"/>
        <v/>
      </c>
      <c r="BT936" s="28"/>
      <c r="BU936" s="304" t="str">
        <f t="shared" si="653"/>
        <v/>
      </c>
      <c r="BV936" s="304" t="str">
        <f t="shared" si="653"/>
        <v/>
      </c>
      <c r="BW936" s="28"/>
      <c r="BX936" s="91"/>
    </row>
    <row r="937" spans="1:76" s="55" customFormat="1" x14ac:dyDescent="0.25">
      <c r="A937" s="195">
        <v>20</v>
      </c>
      <c r="B937" s="216" t="str">
        <f t="shared" si="642"/>
        <v>Middle East and Africa: FAO. 2017. Reducing Enteric Methane for improving food security and livelihoods</v>
      </c>
      <c r="C937" s="219" t="s">
        <v>488</v>
      </c>
      <c r="D937" s="379" t="s">
        <v>279</v>
      </c>
      <c r="E937" s="219" t="s">
        <v>99</v>
      </c>
      <c r="F937" s="330" t="s">
        <v>280</v>
      </c>
      <c r="G937" s="220" t="s">
        <v>26</v>
      </c>
      <c r="H937" s="221">
        <v>2017</v>
      </c>
      <c r="I937" s="240"/>
      <c r="J937" s="377">
        <v>28.8</v>
      </c>
      <c r="K937" s="382" t="s">
        <v>489</v>
      </c>
      <c r="L937" s="383">
        <f>J937*(1-0.302)*0.001*0.91/0.032</f>
        <v>0.571662</v>
      </c>
      <c r="M937" s="335" t="str">
        <f>'[1]Advanced Controls'!$I$158</f>
        <v>t CH4-CO2eq per kg of protein</v>
      </c>
      <c r="N937" s="238"/>
      <c r="O937" s="227" t="s">
        <v>558</v>
      </c>
      <c r="P937" s="122"/>
      <c r="Q937" s="228"/>
      <c r="R937" s="231">
        <f t="shared" si="654"/>
        <v>0.571662</v>
      </c>
      <c r="S937" s="230">
        <f t="shared" si="643"/>
        <v>0.571662</v>
      </c>
      <c r="T937" s="231">
        <f t="shared" si="655"/>
        <v>0</v>
      </c>
      <c r="U937" s="232" t="str">
        <f t="shared" si="644"/>
        <v>t CH4-CO2eq per kg of protein</v>
      </c>
      <c r="V937" s="28"/>
      <c r="W937" s="28"/>
      <c r="Y937" s="91"/>
      <c r="AO937" s="91"/>
      <c r="AP937" s="28"/>
      <c r="AQ937" s="28"/>
      <c r="AR937" s="237"/>
      <c r="AS937" s="28"/>
      <c r="AT937" s="304" t="str">
        <f t="shared" si="656"/>
        <v/>
      </c>
      <c r="AU937" s="304" t="str">
        <f t="shared" si="656"/>
        <v/>
      </c>
      <c r="AV937" s="28"/>
      <c r="AW937" s="304" t="str">
        <f t="shared" si="645"/>
        <v/>
      </c>
      <c r="AX937" s="304" t="str">
        <f t="shared" si="645"/>
        <v/>
      </c>
      <c r="AY937" s="28"/>
      <c r="AZ937" s="304" t="str">
        <f t="shared" si="646"/>
        <v/>
      </c>
      <c r="BA937" s="304" t="str">
        <f t="shared" si="646"/>
        <v/>
      </c>
      <c r="BB937" s="28"/>
      <c r="BC937" s="304" t="str">
        <f t="shared" si="647"/>
        <v/>
      </c>
      <c r="BD937" s="304" t="str">
        <f t="shared" si="647"/>
        <v/>
      </c>
      <c r="BE937" s="28"/>
      <c r="BF937" s="304">
        <f t="shared" si="648"/>
        <v>0.571662</v>
      </c>
      <c r="BG937" s="304">
        <f t="shared" si="648"/>
        <v>0.571662</v>
      </c>
      <c r="BH937" s="28"/>
      <c r="BI937" s="304" t="str">
        <f t="shared" si="649"/>
        <v/>
      </c>
      <c r="BJ937" s="304" t="str">
        <f t="shared" si="649"/>
        <v/>
      </c>
      <c r="BK937" s="28"/>
      <c r="BL937" s="304" t="str">
        <f t="shared" si="650"/>
        <v/>
      </c>
      <c r="BM937" s="304" t="str">
        <f t="shared" si="650"/>
        <v/>
      </c>
      <c r="BN937" s="28"/>
      <c r="BO937" s="304" t="str">
        <f t="shared" si="651"/>
        <v/>
      </c>
      <c r="BP937" s="304" t="str">
        <f t="shared" si="651"/>
        <v/>
      </c>
      <c r="BQ937" s="28"/>
      <c r="BR937" s="304" t="str">
        <f t="shared" si="652"/>
        <v/>
      </c>
      <c r="BS937" s="304" t="str">
        <f t="shared" si="652"/>
        <v/>
      </c>
      <c r="BT937" s="28"/>
      <c r="BU937" s="304" t="str">
        <f t="shared" si="653"/>
        <v/>
      </c>
      <c r="BV937" s="304" t="str">
        <f t="shared" si="653"/>
        <v/>
      </c>
      <c r="BW937" s="28"/>
      <c r="BX937" s="91"/>
    </row>
    <row r="938" spans="1:76" s="55" customFormat="1" x14ac:dyDescent="0.25">
      <c r="A938" s="195">
        <v>21</v>
      </c>
      <c r="B938" s="216" t="str">
        <f t="shared" si="642"/>
        <v>Middle East and Africa: FAO. 2017. Reducing Enteric Methane for improving food security and livelihoods</v>
      </c>
      <c r="C938" s="219" t="s">
        <v>488</v>
      </c>
      <c r="D938" s="379" t="s">
        <v>279</v>
      </c>
      <c r="E938" s="219" t="s">
        <v>99</v>
      </c>
      <c r="F938" s="330" t="s">
        <v>280</v>
      </c>
      <c r="G938" s="220" t="s">
        <v>26</v>
      </c>
      <c r="H938" s="221">
        <v>2017</v>
      </c>
      <c r="I938" s="240"/>
      <c r="J938" s="377">
        <v>2.2000000000000002</v>
      </c>
      <c r="K938" s="382" t="s">
        <v>489</v>
      </c>
      <c r="L938" s="383">
        <f>J938*(1-0.132)*0.001*0.91/0.032</f>
        <v>5.4304250000000012E-2</v>
      </c>
      <c r="M938" s="335" t="str">
        <f>'[1]Advanced Controls'!$I$158</f>
        <v>t CH4-CO2eq per kg of protein</v>
      </c>
      <c r="N938" s="238"/>
      <c r="O938" s="227" t="s">
        <v>559</v>
      </c>
      <c r="P938" s="122"/>
      <c r="Q938" s="228"/>
      <c r="R938" s="231">
        <f t="shared" si="654"/>
        <v>5.4304250000000012E-2</v>
      </c>
      <c r="S938" s="230">
        <f t="shared" si="643"/>
        <v>5.4304250000000012E-2</v>
      </c>
      <c r="T938" s="231">
        <f t="shared" si="655"/>
        <v>0</v>
      </c>
      <c r="U938" s="232" t="str">
        <f t="shared" si="644"/>
        <v>t CH4-CO2eq per kg of protein</v>
      </c>
      <c r="V938" s="28"/>
      <c r="W938" s="28"/>
      <c r="Y938" s="91"/>
      <c r="AO938" s="91"/>
      <c r="AP938" s="28"/>
      <c r="AQ938" s="28"/>
      <c r="AR938" s="237"/>
      <c r="AS938" s="28"/>
      <c r="AT938" s="304" t="str">
        <f t="shared" si="656"/>
        <v/>
      </c>
      <c r="AU938" s="304" t="str">
        <f t="shared" si="656"/>
        <v/>
      </c>
      <c r="AV938" s="28"/>
      <c r="AW938" s="304" t="str">
        <f t="shared" si="645"/>
        <v/>
      </c>
      <c r="AX938" s="304" t="str">
        <f t="shared" si="645"/>
        <v/>
      </c>
      <c r="AY938" s="28"/>
      <c r="AZ938" s="304" t="str">
        <f t="shared" si="646"/>
        <v/>
      </c>
      <c r="BA938" s="304" t="str">
        <f t="shared" si="646"/>
        <v/>
      </c>
      <c r="BB938" s="28"/>
      <c r="BC938" s="304" t="str">
        <f t="shared" si="647"/>
        <v/>
      </c>
      <c r="BD938" s="304" t="str">
        <f t="shared" si="647"/>
        <v/>
      </c>
      <c r="BE938" s="28"/>
      <c r="BF938" s="304">
        <f t="shared" si="648"/>
        <v>5.4304250000000012E-2</v>
      </c>
      <c r="BG938" s="304">
        <f t="shared" si="648"/>
        <v>5.4304250000000012E-2</v>
      </c>
      <c r="BH938" s="28"/>
      <c r="BI938" s="304" t="str">
        <f t="shared" si="649"/>
        <v/>
      </c>
      <c r="BJ938" s="304" t="str">
        <f t="shared" si="649"/>
        <v/>
      </c>
      <c r="BK938" s="28"/>
      <c r="BL938" s="304" t="str">
        <f t="shared" si="650"/>
        <v/>
      </c>
      <c r="BM938" s="304" t="str">
        <f t="shared" si="650"/>
        <v/>
      </c>
      <c r="BN938" s="28"/>
      <c r="BO938" s="304" t="str">
        <f t="shared" si="651"/>
        <v/>
      </c>
      <c r="BP938" s="304" t="str">
        <f t="shared" si="651"/>
        <v/>
      </c>
      <c r="BQ938" s="28"/>
      <c r="BR938" s="304" t="str">
        <f t="shared" si="652"/>
        <v/>
      </c>
      <c r="BS938" s="304" t="str">
        <f t="shared" si="652"/>
        <v/>
      </c>
      <c r="BT938" s="28"/>
      <c r="BU938" s="304" t="str">
        <f t="shared" si="653"/>
        <v/>
      </c>
      <c r="BV938" s="304" t="str">
        <f t="shared" si="653"/>
        <v/>
      </c>
      <c r="BW938" s="28"/>
      <c r="BX938" s="91"/>
    </row>
    <row r="939" spans="1:76" s="55" customFormat="1" x14ac:dyDescent="0.25">
      <c r="A939" s="195">
        <v>22</v>
      </c>
      <c r="B939" s="216" t="str">
        <f t="shared" si="642"/>
        <v>Middle East and Africa: FAO. 2017. Reducing Enteric Methane for improving food security and livelihoods</v>
      </c>
      <c r="C939" s="219" t="s">
        <v>488</v>
      </c>
      <c r="D939" s="379" t="s">
        <v>279</v>
      </c>
      <c r="E939" s="219" t="s">
        <v>99</v>
      </c>
      <c r="F939" s="330" t="s">
        <v>280</v>
      </c>
      <c r="G939" s="220" t="s">
        <v>26</v>
      </c>
      <c r="H939" s="221">
        <v>2017</v>
      </c>
      <c r="I939" s="240"/>
      <c r="J939" s="377">
        <v>28.8</v>
      </c>
      <c r="K939" s="382" t="s">
        <v>489</v>
      </c>
      <c r="L939" s="383">
        <f>J939*(1-0.278)*0.001*0.91/0.032</f>
        <v>0.59131800000000001</v>
      </c>
      <c r="M939" s="335" t="str">
        <f>'[1]Advanced Controls'!$I$158</f>
        <v>t CH4-CO2eq per kg of protein</v>
      </c>
      <c r="N939" s="238"/>
      <c r="O939" s="227" t="s">
        <v>560</v>
      </c>
      <c r="P939" s="122"/>
      <c r="Q939" s="228"/>
      <c r="R939" s="231">
        <f t="shared" si="654"/>
        <v>0.59131800000000001</v>
      </c>
      <c r="S939" s="230">
        <f t="shared" si="643"/>
        <v>0.59131800000000001</v>
      </c>
      <c r="T939" s="231">
        <f t="shared" si="655"/>
        <v>0</v>
      </c>
      <c r="U939" s="232" t="str">
        <f t="shared" si="644"/>
        <v>t CH4-CO2eq per kg of protein</v>
      </c>
      <c r="V939" s="28"/>
      <c r="W939" s="28"/>
      <c r="Y939" s="91"/>
      <c r="AO939" s="91"/>
      <c r="AP939" s="28"/>
      <c r="AQ939" s="28"/>
      <c r="AR939" s="237"/>
      <c r="AS939" s="28"/>
      <c r="AT939" s="304" t="str">
        <f t="shared" si="656"/>
        <v/>
      </c>
      <c r="AU939" s="304" t="str">
        <f t="shared" si="656"/>
        <v/>
      </c>
      <c r="AV939" s="28"/>
      <c r="AW939" s="304" t="str">
        <f t="shared" si="645"/>
        <v/>
      </c>
      <c r="AX939" s="304" t="str">
        <f t="shared" si="645"/>
        <v/>
      </c>
      <c r="AY939" s="28"/>
      <c r="AZ939" s="304" t="str">
        <f t="shared" si="646"/>
        <v/>
      </c>
      <c r="BA939" s="304" t="str">
        <f t="shared" si="646"/>
        <v/>
      </c>
      <c r="BB939" s="28"/>
      <c r="BC939" s="304" t="str">
        <f t="shared" si="647"/>
        <v/>
      </c>
      <c r="BD939" s="304" t="str">
        <f t="shared" si="647"/>
        <v/>
      </c>
      <c r="BE939" s="28"/>
      <c r="BF939" s="304">
        <f t="shared" si="648"/>
        <v>0.59131800000000001</v>
      </c>
      <c r="BG939" s="304">
        <f t="shared" si="648"/>
        <v>0.59131800000000001</v>
      </c>
      <c r="BH939" s="28"/>
      <c r="BI939" s="304" t="str">
        <f t="shared" si="649"/>
        <v/>
      </c>
      <c r="BJ939" s="304" t="str">
        <f t="shared" si="649"/>
        <v/>
      </c>
      <c r="BK939" s="28"/>
      <c r="BL939" s="304" t="str">
        <f t="shared" si="650"/>
        <v/>
      </c>
      <c r="BM939" s="304" t="str">
        <f t="shared" si="650"/>
        <v/>
      </c>
      <c r="BN939" s="28"/>
      <c r="BO939" s="304" t="str">
        <f t="shared" si="651"/>
        <v/>
      </c>
      <c r="BP939" s="304" t="str">
        <f t="shared" si="651"/>
        <v/>
      </c>
      <c r="BQ939" s="28"/>
      <c r="BR939" s="304" t="str">
        <f t="shared" si="652"/>
        <v/>
      </c>
      <c r="BS939" s="304" t="str">
        <f t="shared" si="652"/>
        <v/>
      </c>
      <c r="BT939" s="28"/>
      <c r="BU939" s="304" t="str">
        <f t="shared" si="653"/>
        <v/>
      </c>
      <c r="BV939" s="304" t="str">
        <f t="shared" si="653"/>
        <v/>
      </c>
      <c r="BW939" s="28"/>
      <c r="BX939" s="91"/>
    </row>
    <row r="940" spans="1:76" s="55" customFormat="1" x14ac:dyDescent="0.25">
      <c r="A940" s="195">
        <v>23</v>
      </c>
      <c r="B940" s="216" t="str">
        <f t="shared" si="642"/>
        <v>Middle East and Africa: FAO. 2017. Reducing Enteric Methane for improving food security and livelihoods</v>
      </c>
      <c r="C940" s="219" t="s">
        <v>488</v>
      </c>
      <c r="D940" s="379" t="s">
        <v>279</v>
      </c>
      <c r="E940" s="219" t="s">
        <v>99</v>
      </c>
      <c r="F940" s="330" t="s">
        <v>280</v>
      </c>
      <c r="G940" s="220" t="s">
        <v>26</v>
      </c>
      <c r="H940" s="221">
        <v>2017</v>
      </c>
      <c r="I940" s="240"/>
      <c r="J940" s="377">
        <v>2.2000000000000002</v>
      </c>
      <c r="K940" s="382" t="s">
        <v>489</v>
      </c>
      <c r="L940" s="383">
        <f>J940*(1-0.119)*0.001*0.79/0.032</f>
        <v>4.7849312500000005E-2</v>
      </c>
      <c r="M940" s="335" t="str">
        <f>'[1]Advanced Controls'!$I$158</f>
        <v>t CH4-CO2eq per kg of protein</v>
      </c>
      <c r="N940" s="238"/>
      <c r="O940" s="227" t="s">
        <v>561</v>
      </c>
      <c r="P940" s="122"/>
      <c r="Q940" s="228"/>
      <c r="R940" s="231">
        <f t="shared" si="654"/>
        <v>4.7849312500000005E-2</v>
      </c>
      <c r="S940" s="230">
        <f t="shared" si="643"/>
        <v>4.7849312500000005E-2</v>
      </c>
      <c r="T940" s="231">
        <f t="shared" si="655"/>
        <v>0</v>
      </c>
      <c r="U940" s="232" t="str">
        <f t="shared" si="644"/>
        <v>t CH4-CO2eq per kg of protein</v>
      </c>
      <c r="V940" s="28"/>
      <c r="W940" s="28"/>
      <c r="Y940" s="91"/>
      <c r="AO940" s="91"/>
      <c r="AP940" s="28"/>
      <c r="AQ940" s="28"/>
      <c r="AR940" s="237"/>
      <c r="AS940" s="28"/>
      <c r="AT940" s="304" t="str">
        <f t="shared" si="656"/>
        <v/>
      </c>
      <c r="AU940" s="304" t="str">
        <f t="shared" si="656"/>
        <v/>
      </c>
      <c r="AV940" s="28"/>
      <c r="AW940" s="304" t="str">
        <f t="shared" si="645"/>
        <v/>
      </c>
      <c r="AX940" s="304" t="str">
        <f t="shared" si="645"/>
        <v/>
      </c>
      <c r="AY940" s="28"/>
      <c r="AZ940" s="304" t="str">
        <f t="shared" si="646"/>
        <v/>
      </c>
      <c r="BA940" s="304" t="str">
        <f t="shared" si="646"/>
        <v/>
      </c>
      <c r="BB940" s="28"/>
      <c r="BC940" s="304" t="str">
        <f t="shared" si="647"/>
        <v/>
      </c>
      <c r="BD940" s="304" t="str">
        <f t="shared" si="647"/>
        <v/>
      </c>
      <c r="BE940" s="28"/>
      <c r="BF940" s="304">
        <f t="shared" si="648"/>
        <v>4.7849312500000005E-2</v>
      </c>
      <c r="BG940" s="304">
        <f t="shared" si="648"/>
        <v>4.7849312500000005E-2</v>
      </c>
      <c r="BH940" s="28"/>
      <c r="BI940" s="304" t="str">
        <f t="shared" si="649"/>
        <v/>
      </c>
      <c r="BJ940" s="304" t="str">
        <f t="shared" si="649"/>
        <v/>
      </c>
      <c r="BK940" s="28"/>
      <c r="BL940" s="304" t="str">
        <f t="shared" si="650"/>
        <v/>
      </c>
      <c r="BM940" s="304" t="str">
        <f t="shared" si="650"/>
        <v/>
      </c>
      <c r="BN940" s="28"/>
      <c r="BO940" s="304" t="str">
        <f t="shared" si="651"/>
        <v/>
      </c>
      <c r="BP940" s="304" t="str">
        <f t="shared" si="651"/>
        <v/>
      </c>
      <c r="BQ940" s="28"/>
      <c r="BR940" s="304" t="str">
        <f t="shared" si="652"/>
        <v/>
      </c>
      <c r="BS940" s="304" t="str">
        <f t="shared" si="652"/>
        <v/>
      </c>
      <c r="BT940" s="28"/>
      <c r="BU940" s="304" t="str">
        <f t="shared" si="653"/>
        <v/>
      </c>
      <c r="BV940" s="304" t="str">
        <f t="shared" si="653"/>
        <v/>
      </c>
      <c r="BW940" s="28"/>
      <c r="BX940" s="91"/>
    </row>
    <row r="941" spans="1:76" s="55" customFormat="1" x14ac:dyDescent="0.25">
      <c r="A941" s="195">
        <v>24</v>
      </c>
      <c r="B941" s="216" t="str">
        <f t="shared" si="642"/>
        <v>Middle East and Africa: FAO. 2017. Reducing Enteric Methane for improving food security and livelihoods</v>
      </c>
      <c r="C941" s="219" t="s">
        <v>488</v>
      </c>
      <c r="D941" s="379" t="s">
        <v>287</v>
      </c>
      <c r="E941" s="219" t="s">
        <v>99</v>
      </c>
      <c r="F941" s="330" t="s">
        <v>288</v>
      </c>
      <c r="G941" s="220" t="s">
        <v>26</v>
      </c>
      <c r="H941" s="221">
        <v>2017</v>
      </c>
      <c r="I941" s="240"/>
      <c r="J941" s="377">
        <v>4.7</v>
      </c>
      <c r="K941" s="382" t="s">
        <v>489</v>
      </c>
      <c r="L941" s="383">
        <f>J941*(1-0.05)*0.001*0.79/0.032</f>
        <v>0.11022968750000001</v>
      </c>
      <c r="M941" s="335" t="str">
        <f>'[1]Advanced Controls'!$I$158</f>
        <v>t CH4-CO2eq per kg of protein</v>
      </c>
      <c r="N941" s="238"/>
      <c r="O941" s="227" t="s">
        <v>562</v>
      </c>
      <c r="P941" s="122"/>
      <c r="Q941" s="228"/>
      <c r="R941" s="231">
        <f t="shared" si="654"/>
        <v>0.11022968750000001</v>
      </c>
      <c r="S941" s="230">
        <f t="shared" si="643"/>
        <v>0.11022968750000001</v>
      </c>
      <c r="T941" s="231">
        <f t="shared" si="655"/>
        <v>0</v>
      </c>
      <c r="U941" s="232" t="str">
        <f t="shared" si="644"/>
        <v>t CH4-CO2eq per kg of protein</v>
      </c>
      <c r="V941" s="28"/>
      <c r="W941" s="28"/>
      <c r="Y941" s="91"/>
      <c r="AO941" s="91"/>
      <c r="AP941" s="28"/>
      <c r="AQ941" s="28"/>
      <c r="AR941" s="237"/>
      <c r="AS941" s="28"/>
      <c r="AT941" s="304" t="str">
        <f t="shared" si="656"/>
        <v/>
      </c>
      <c r="AU941" s="304" t="str">
        <f t="shared" si="656"/>
        <v/>
      </c>
      <c r="AV941" s="28"/>
      <c r="AW941" s="304" t="str">
        <f t="shared" si="645"/>
        <v/>
      </c>
      <c r="AX941" s="304" t="str">
        <f t="shared" si="645"/>
        <v/>
      </c>
      <c r="AY941" s="28"/>
      <c r="AZ941" s="304" t="str">
        <f t="shared" si="646"/>
        <v/>
      </c>
      <c r="BA941" s="304" t="str">
        <f t="shared" si="646"/>
        <v/>
      </c>
      <c r="BB941" s="28"/>
      <c r="BC941" s="304" t="str">
        <f t="shared" si="647"/>
        <v/>
      </c>
      <c r="BD941" s="304" t="str">
        <f t="shared" si="647"/>
        <v/>
      </c>
      <c r="BE941" s="28"/>
      <c r="BF941" s="304">
        <f t="shared" si="648"/>
        <v>0.11022968750000001</v>
      </c>
      <c r="BG941" s="304">
        <f t="shared" si="648"/>
        <v>0.11022968750000001</v>
      </c>
      <c r="BH941" s="28"/>
      <c r="BI941" s="304" t="str">
        <f t="shared" si="649"/>
        <v/>
      </c>
      <c r="BJ941" s="304" t="str">
        <f t="shared" si="649"/>
        <v/>
      </c>
      <c r="BK941" s="28"/>
      <c r="BL941" s="304" t="str">
        <f t="shared" si="650"/>
        <v/>
      </c>
      <c r="BM941" s="304" t="str">
        <f t="shared" si="650"/>
        <v/>
      </c>
      <c r="BN941" s="28"/>
      <c r="BO941" s="304" t="str">
        <f t="shared" si="651"/>
        <v/>
      </c>
      <c r="BP941" s="304" t="str">
        <f t="shared" si="651"/>
        <v/>
      </c>
      <c r="BQ941" s="28"/>
      <c r="BR941" s="304" t="str">
        <f t="shared" si="652"/>
        <v/>
      </c>
      <c r="BS941" s="304" t="str">
        <f t="shared" si="652"/>
        <v/>
      </c>
      <c r="BT941" s="28"/>
      <c r="BU941" s="304" t="str">
        <f t="shared" si="653"/>
        <v/>
      </c>
      <c r="BV941" s="304" t="str">
        <f t="shared" si="653"/>
        <v/>
      </c>
      <c r="BW941" s="28"/>
      <c r="BX941" s="91"/>
    </row>
    <row r="942" spans="1:76" s="55" customFormat="1" x14ac:dyDescent="0.25">
      <c r="A942" s="195">
        <v>25</v>
      </c>
      <c r="B942" s="216" t="str">
        <f t="shared" si="642"/>
        <v>Middle East and Africa: FAO. 2017. Reducing Enteric Methane for improving food security and livelihoods</v>
      </c>
      <c r="C942" s="219" t="s">
        <v>488</v>
      </c>
      <c r="D942" s="379" t="s">
        <v>287</v>
      </c>
      <c r="E942" s="219" t="s">
        <v>99</v>
      </c>
      <c r="F942" s="330" t="s">
        <v>288</v>
      </c>
      <c r="G942" s="220" t="s">
        <v>26</v>
      </c>
      <c r="H942" s="221">
        <v>2017</v>
      </c>
      <c r="I942" s="240"/>
      <c r="J942" s="377">
        <v>1.6</v>
      </c>
      <c r="K942" s="382" t="s">
        <v>489</v>
      </c>
      <c r="L942" s="383">
        <f>J942*(1-0.014)*0.001*0.79/0.032</f>
        <v>3.8947000000000002E-2</v>
      </c>
      <c r="M942" s="335" t="str">
        <f>'[1]Advanced Controls'!$I$158</f>
        <v>t CH4-CO2eq per kg of protein</v>
      </c>
      <c r="N942" s="238"/>
      <c r="O942" s="227" t="s">
        <v>563</v>
      </c>
      <c r="P942" s="122"/>
      <c r="Q942" s="228"/>
      <c r="R942" s="231">
        <f t="shared" si="654"/>
        <v>3.8947000000000002E-2</v>
      </c>
      <c r="S942" s="230">
        <f t="shared" si="643"/>
        <v>3.8947000000000002E-2</v>
      </c>
      <c r="T942" s="231">
        <f t="shared" si="655"/>
        <v>0</v>
      </c>
      <c r="U942" s="232" t="str">
        <f t="shared" si="644"/>
        <v>t CH4-CO2eq per kg of protein</v>
      </c>
      <c r="V942" s="28"/>
      <c r="W942" s="28"/>
      <c r="Y942" s="91"/>
      <c r="AO942" s="91"/>
      <c r="AP942" s="28"/>
      <c r="AQ942" s="28"/>
      <c r="AR942" s="237"/>
      <c r="AS942" s="28"/>
      <c r="AT942" s="304" t="str">
        <f t="shared" si="656"/>
        <v/>
      </c>
      <c r="AU942" s="304" t="str">
        <f t="shared" si="656"/>
        <v/>
      </c>
      <c r="AV942" s="28"/>
      <c r="AW942" s="304" t="str">
        <f t="shared" si="645"/>
        <v/>
      </c>
      <c r="AX942" s="304" t="str">
        <f t="shared" si="645"/>
        <v/>
      </c>
      <c r="AY942" s="28"/>
      <c r="AZ942" s="304" t="str">
        <f t="shared" si="646"/>
        <v/>
      </c>
      <c r="BA942" s="304" t="str">
        <f t="shared" si="646"/>
        <v/>
      </c>
      <c r="BB942" s="28"/>
      <c r="BC942" s="304" t="str">
        <f t="shared" si="647"/>
        <v/>
      </c>
      <c r="BD942" s="304" t="str">
        <f t="shared" si="647"/>
        <v/>
      </c>
      <c r="BE942" s="28"/>
      <c r="BF942" s="304">
        <f t="shared" si="648"/>
        <v>3.8947000000000002E-2</v>
      </c>
      <c r="BG942" s="304">
        <f t="shared" si="648"/>
        <v>3.8947000000000002E-2</v>
      </c>
      <c r="BH942" s="28"/>
      <c r="BI942" s="304" t="str">
        <f t="shared" si="649"/>
        <v/>
      </c>
      <c r="BJ942" s="304" t="str">
        <f t="shared" si="649"/>
        <v/>
      </c>
      <c r="BK942" s="28"/>
      <c r="BL942" s="304" t="str">
        <f t="shared" si="650"/>
        <v/>
      </c>
      <c r="BM942" s="304" t="str">
        <f t="shared" si="650"/>
        <v/>
      </c>
      <c r="BN942" s="28"/>
      <c r="BO942" s="304" t="str">
        <f t="shared" si="651"/>
        <v/>
      </c>
      <c r="BP942" s="304" t="str">
        <f t="shared" si="651"/>
        <v/>
      </c>
      <c r="BQ942" s="28"/>
      <c r="BR942" s="304" t="str">
        <f t="shared" si="652"/>
        <v/>
      </c>
      <c r="BS942" s="304" t="str">
        <f t="shared" si="652"/>
        <v/>
      </c>
      <c r="BT942" s="28"/>
      <c r="BU942" s="304" t="str">
        <f t="shared" si="653"/>
        <v/>
      </c>
      <c r="BV942" s="304" t="str">
        <f t="shared" si="653"/>
        <v/>
      </c>
      <c r="BW942" s="28"/>
      <c r="BX942" s="91"/>
    </row>
    <row r="943" spans="1:76" s="55" customFormat="1" x14ac:dyDescent="0.25">
      <c r="A943" s="195">
        <v>26</v>
      </c>
      <c r="B943" s="216" t="str">
        <f t="shared" si="642"/>
        <v>Middle East and Africa: FAO. 2017. Reducing Enteric Methane for improving food security and livelihoods</v>
      </c>
      <c r="C943" s="219" t="s">
        <v>488</v>
      </c>
      <c r="D943" s="379" t="s">
        <v>287</v>
      </c>
      <c r="E943" s="219" t="s">
        <v>99</v>
      </c>
      <c r="F943" s="330" t="s">
        <v>288</v>
      </c>
      <c r="G943" s="220" t="s">
        <v>26</v>
      </c>
      <c r="H943" s="221">
        <v>2017</v>
      </c>
      <c r="I943" s="240"/>
      <c r="J943" s="377">
        <v>1.7</v>
      </c>
      <c r="K943" s="382" t="s">
        <v>489</v>
      </c>
      <c r="L943" s="383">
        <f>J943*(1-0.122)*0.001*0.79/0.032</f>
        <v>3.6848562500000001E-2</v>
      </c>
      <c r="M943" s="335" t="str">
        <f>'[1]Advanced Controls'!$I$158</f>
        <v>t CH4-CO2eq per kg of protein</v>
      </c>
      <c r="N943" s="238"/>
      <c r="O943" s="227" t="s">
        <v>564</v>
      </c>
      <c r="P943" s="122"/>
      <c r="Q943" s="228"/>
      <c r="R943" s="231">
        <f t="shared" si="654"/>
        <v>3.6848562500000001E-2</v>
      </c>
      <c r="S943" s="230">
        <f t="shared" si="643"/>
        <v>3.6848562500000001E-2</v>
      </c>
      <c r="T943" s="231">
        <f t="shared" si="655"/>
        <v>0</v>
      </c>
      <c r="U943" s="232" t="str">
        <f t="shared" si="644"/>
        <v>t CH4-CO2eq per kg of protein</v>
      </c>
      <c r="V943" s="28"/>
      <c r="W943" s="28"/>
      <c r="Y943" s="91"/>
      <c r="AO943" s="91"/>
      <c r="AP943" s="28"/>
      <c r="AQ943" s="28"/>
      <c r="AR943" s="237"/>
      <c r="AS943" s="28"/>
      <c r="AT943" s="304" t="str">
        <f t="shared" si="656"/>
        <v/>
      </c>
      <c r="AU943" s="304" t="str">
        <f t="shared" si="656"/>
        <v/>
      </c>
      <c r="AV943" s="28"/>
      <c r="AW943" s="304" t="str">
        <f t="shared" si="645"/>
        <v/>
      </c>
      <c r="AX943" s="304" t="str">
        <f t="shared" si="645"/>
        <v/>
      </c>
      <c r="AY943" s="28"/>
      <c r="AZ943" s="304" t="str">
        <f t="shared" si="646"/>
        <v/>
      </c>
      <c r="BA943" s="304" t="str">
        <f t="shared" si="646"/>
        <v/>
      </c>
      <c r="BB943" s="28"/>
      <c r="BC943" s="304" t="str">
        <f t="shared" si="647"/>
        <v/>
      </c>
      <c r="BD943" s="304" t="str">
        <f t="shared" si="647"/>
        <v/>
      </c>
      <c r="BE943" s="28"/>
      <c r="BF943" s="304">
        <f t="shared" si="648"/>
        <v>3.6848562500000001E-2</v>
      </c>
      <c r="BG943" s="304">
        <f t="shared" si="648"/>
        <v>3.6848562500000001E-2</v>
      </c>
      <c r="BH943" s="28"/>
      <c r="BI943" s="304" t="str">
        <f t="shared" si="649"/>
        <v/>
      </c>
      <c r="BJ943" s="304" t="str">
        <f t="shared" si="649"/>
        <v/>
      </c>
      <c r="BK943" s="28"/>
      <c r="BL943" s="304" t="str">
        <f t="shared" si="650"/>
        <v/>
      </c>
      <c r="BM943" s="304" t="str">
        <f t="shared" si="650"/>
        <v/>
      </c>
      <c r="BN943" s="28"/>
      <c r="BO943" s="304" t="str">
        <f t="shared" si="651"/>
        <v/>
      </c>
      <c r="BP943" s="304" t="str">
        <f t="shared" si="651"/>
        <v/>
      </c>
      <c r="BQ943" s="28"/>
      <c r="BR943" s="304" t="str">
        <f t="shared" si="652"/>
        <v/>
      </c>
      <c r="BS943" s="304" t="str">
        <f t="shared" si="652"/>
        <v/>
      </c>
      <c r="BT943" s="28"/>
      <c r="BU943" s="304" t="str">
        <f t="shared" si="653"/>
        <v/>
      </c>
      <c r="BV943" s="304" t="str">
        <f t="shared" si="653"/>
        <v/>
      </c>
      <c r="BW943" s="28"/>
      <c r="BX943" s="91"/>
    </row>
    <row r="944" spans="1:76" s="55" customFormat="1" x14ac:dyDescent="0.25">
      <c r="A944" s="195">
        <v>27</v>
      </c>
      <c r="B944" s="216" t="str">
        <f t="shared" si="642"/>
        <v>Middle East and Africa: FAO. 2017. Reducing Enteric Methane for improving food security and livelihoods</v>
      </c>
      <c r="C944" s="219" t="s">
        <v>488</v>
      </c>
      <c r="D944" s="379" t="s">
        <v>287</v>
      </c>
      <c r="E944" s="219" t="s">
        <v>99</v>
      </c>
      <c r="F944" s="330" t="s">
        <v>288</v>
      </c>
      <c r="G944" s="220" t="s">
        <v>26</v>
      </c>
      <c r="H944" s="221">
        <v>2017</v>
      </c>
      <c r="I944" s="240"/>
      <c r="J944" s="377">
        <v>1.7</v>
      </c>
      <c r="K944" s="382" t="s">
        <v>489</v>
      </c>
      <c r="L944" s="383">
        <f>J944*(1-0.181)*0.001*0.79/0.032</f>
        <v>3.4372406250000001E-2</v>
      </c>
      <c r="M944" s="335" t="str">
        <f>'[1]Advanced Controls'!$I$158</f>
        <v>t CH4-CO2eq per kg of protein</v>
      </c>
      <c r="N944" s="238"/>
      <c r="O944" s="227" t="s">
        <v>565</v>
      </c>
      <c r="P944" s="122"/>
      <c r="Q944" s="228"/>
      <c r="R944" s="231">
        <f t="shared" si="654"/>
        <v>3.4372406250000001E-2</v>
      </c>
      <c r="S944" s="230">
        <f t="shared" si="643"/>
        <v>3.4372406250000001E-2</v>
      </c>
      <c r="T944" s="231">
        <f t="shared" si="655"/>
        <v>0</v>
      </c>
      <c r="U944" s="232" t="str">
        <f t="shared" si="644"/>
        <v>t CH4-CO2eq per kg of protein</v>
      </c>
      <c r="V944" s="28"/>
      <c r="W944" s="28"/>
      <c r="Y944" s="91"/>
      <c r="AO944" s="91"/>
      <c r="AP944" s="28"/>
      <c r="AQ944" s="28"/>
      <c r="AR944" s="237"/>
      <c r="AS944" s="28"/>
      <c r="AT944" s="304" t="str">
        <f t="shared" si="656"/>
        <v/>
      </c>
      <c r="AU944" s="304" t="str">
        <f t="shared" si="656"/>
        <v/>
      </c>
      <c r="AV944" s="28"/>
      <c r="AW944" s="304" t="str">
        <f t="shared" si="645"/>
        <v/>
      </c>
      <c r="AX944" s="304" t="str">
        <f t="shared" si="645"/>
        <v/>
      </c>
      <c r="AY944" s="28"/>
      <c r="AZ944" s="304" t="str">
        <f t="shared" si="646"/>
        <v/>
      </c>
      <c r="BA944" s="304" t="str">
        <f t="shared" si="646"/>
        <v/>
      </c>
      <c r="BB944" s="28"/>
      <c r="BC944" s="304" t="str">
        <f t="shared" si="647"/>
        <v/>
      </c>
      <c r="BD944" s="304" t="str">
        <f t="shared" si="647"/>
        <v/>
      </c>
      <c r="BE944" s="28"/>
      <c r="BF944" s="304">
        <f t="shared" si="648"/>
        <v>3.4372406250000001E-2</v>
      </c>
      <c r="BG944" s="304">
        <f t="shared" si="648"/>
        <v>3.4372406250000001E-2</v>
      </c>
      <c r="BH944" s="28"/>
      <c r="BI944" s="304" t="str">
        <f t="shared" si="649"/>
        <v/>
      </c>
      <c r="BJ944" s="304" t="str">
        <f t="shared" si="649"/>
        <v/>
      </c>
      <c r="BK944" s="28"/>
      <c r="BL944" s="304" t="str">
        <f t="shared" si="650"/>
        <v/>
      </c>
      <c r="BM944" s="304" t="str">
        <f t="shared" si="650"/>
        <v/>
      </c>
      <c r="BN944" s="28"/>
      <c r="BO944" s="304" t="str">
        <f t="shared" si="651"/>
        <v/>
      </c>
      <c r="BP944" s="304" t="str">
        <f t="shared" si="651"/>
        <v/>
      </c>
      <c r="BQ944" s="28"/>
      <c r="BR944" s="304" t="str">
        <f t="shared" si="652"/>
        <v/>
      </c>
      <c r="BS944" s="304" t="str">
        <f t="shared" si="652"/>
        <v/>
      </c>
      <c r="BT944" s="28"/>
      <c r="BU944" s="304" t="str">
        <f t="shared" si="653"/>
        <v/>
      </c>
      <c r="BV944" s="304" t="str">
        <f t="shared" si="653"/>
        <v/>
      </c>
      <c r="BW944" s="28"/>
      <c r="BX944" s="91"/>
    </row>
    <row r="945" spans="1:76" s="55" customFormat="1" x14ac:dyDescent="0.25">
      <c r="A945" s="195">
        <v>28</v>
      </c>
      <c r="B945" s="216" t="str">
        <f t="shared" si="642"/>
        <v>Middle East and Africa: FAO. 2017. Reducing Enteric Methane for improving food security and livelihoods</v>
      </c>
      <c r="C945" s="219" t="s">
        <v>488</v>
      </c>
      <c r="D945" s="379" t="s">
        <v>287</v>
      </c>
      <c r="E945" s="219" t="s">
        <v>99</v>
      </c>
      <c r="F945" s="330" t="s">
        <v>288</v>
      </c>
      <c r="G945" s="220" t="s">
        <v>26</v>
      </c>
      <c r="H945" s="221">
        <v>2017</v>
      </c>
      <c r="I945" s="240"/>
      <c r="J945" s="377">
        <v>6.2</v>
      </c>
      <c r="K945" s="382" t="s">
        <v>489</v>
      </c>
      <c r="L945" s="383">
        <f>J945*(1-0.113)*0.001*0.79/0.032</f>
        <v>0.1357664375</v>
      </c>
      <c r="M945" s="335" t="str">
        <f>'[1]Advanced Controls'!$I$158</f>
        <v>t CH4-CO2eq per kg of protein</v>
      </c>
      <c r="N945" s="238"/>
      <c r="O945" s="227" t="s">
        <v>566</v>
      </c>
      <c r="P945" s="122"/>
      <c r="Q945" s="228"/>
      <c r="R945" s="231">
        <f t="shared" si="654"/>
        <v>0.1357664375</v>
      </c>
      <c r="S945" s="230">
        <f t="shared" si="643"/>
        <v>0.1357664375</v>
      </c>
      <c r="T945" s="231">
        <f t="shared" si="655"/>
        <v>0</v>
      </c>
      <c r="U945" s="232" t="str">
        <f t="shared" si="644"/>
        <v>t CH4-CO2eq per kg of protein</v>
      </c>
      <c r="V945" s="28"/>
      <c r="W945" s="28"/>
      <c r="Y945" s="91"/>
      <c r="AO945" s="91"/>
      <c r="AP945" s="28"/>
      <c r="AQ945" s="28"/>
      <c r="AR945" s="237"/>
      <c r="AS945" s="28"/>
      <c r="AT945" s="304" t="str">
        <f t="shared" si="656"/>
        <v/>
      </c>
      <c r="AU945" s="304" t="str">
        <f t="shared" si="656"/>
        <v/>
      </c>
      <c r="AV945" s="28"/>
      <c r="AW945" s="304" t="str">
        <f t="shared" si="645"/>
        <v/>
      </c>
      <c r="AX945" s="304" t="str">
        <f t="shared" si="645"/>
        <v/>
      </c>
      <c r="AY945" s="28"/>
      <c r="AZ945" s="304" t="str">
        <f t="shared" si="646"/>
        <v/>
      </c>
      <c r="BA945" s="304" t="str">
        <f t="shared" si="646"/>
        <v/>
      </c>
      <c r="BB945" s="28"/>
      <c r="BC945" s="304" t="str">
        <f t="shared" si="647"/>
        <v/>
      </c>
      <c r="BD945" s="304" t="str">
        <f t="shared" si="647"/>
        <v/>
      </c>
      <c r="BE945" s="28"/>
      <c r="BF945" s="304">
        <f t="shared" si="648"/>
        <v>0.1357664375</v>
      </c>
      <c r="BG945" s="304">
        <f t="shared" si="648"/>
        <v>0.1357664375</v>
      </c>
      <c r="BH945" s="28"/>
      <c r="BI945" s="304" t="str">
        <f t="shared" si="649"/>
        <v/>
      </c>
      <c r="BJ945" s="304" t="str">
        <f t="shared" si="649"/>
        <v/>
      </c>
      <c r="BK945" s="28"/>
      <c r="BL945" s="304" t="str">
        <f t="shared" si="650"/>
        <v/>
      </c>
      <c r="BM945" s="304" t="str">
        <f t="shared" si="650"/>
        <v/>
      </c>
      <c r="BN945" s="28"/>
      <c r="BO945" s="304" t="str">
        <f t="shared" si="651"/>
        <v/>
      </c>
      <c r="BP945" s="304" t="str">
        <f t="shared" si="651"/>
        <v/>
      </c>
      <c r="BQ945" s="28"/>
      <c r="BR945" s="304" t="str">
        <f t="shared" si="652"/>
        <v/>
      </c>
      <c r="BS945" s="304" t="str">
        <f t="shared" si="652"/>
        <v/>
      </c>
      <c r="BT945" s="28"/>
      <c r="BU945" s="304" t="str">
        <f t="shared" si="653"/>
        <v/>
      </c>
      <c r="BV945" s="304" t="str">
        <f t="shared" si="653"/>
        <v/>
      </c>
      <c r="BW945" s="28"/>
      <c r="BX945" s="91"/>
    </row>
    <row r="946" spans="1:76" s="55" customFormat="1" x14ac:dyDescent="0.25">
      <c r="A946" s="195">
        <v>29</v>
      </c>
      <c r="B946" s="216" t="str">
        <f t="shared" si="642"/>
        <v>Middle East and Africa: FAO. 2017. Reducing Enteric Methane for improving food security and livelihoods</v>
      </c>
      <c r="C946" s="219" t="s">
        <v>488</v>
      </c>
      <c r="D946" s="379" t="s">
        <v>287</v>
      </c>
      <c r="E946" s="219" t="s">
        <v>99</v>
      </c>
      <c r="F946" s="330" t="s">
        <v>288</v>
      </c>
      <c r="G946" s="220" t="s">
        <v>26</v>
      </c>
      <c r="H946" s="221">
        <v>2017</v>
      </c>
      <c r="I946" s="240"/>
      <c r="J946" s="377">
        <v>6.2</v>
      </c>
      <c r="K946" s="382" t="s">
        <v>489</v>
      </c>
      <c r="L946" s="383">
        <f>J946*(1-0.182)*0.001*0.79/0.032</f>
        <v>0.125205125</v>
      </c>
      <c r="M946" s="335" t="str">
        <f>'[1]Advanced Controls'!$I$158</f>
        <v>t CH4-CO2eq per kg of protein</v>
      </c>
      <c r="N946" s="238"/>
      <c r="O946" s="227" t="s">
        <v>567</v>
      </c>
      <c r="P946" s="122"/>
      <c r="Q946" s="228"/>
      <c r="R946" s="231">
        <f t="shared" si="654"/>
        <v>0.125205125</v>
      </c>
      <c r="S946" s="230">
        <f t="shared" si="643"/>
        <v>0.125205125</v>
      </c>
      <c r="T946" s="231">
        <f t="shared" si="655"/>
        <v>0</v>
      </c>
      <c r="U946" s="232" t="str">
        <f t="shared" si="644"/>
        <v>t CH4-CO2eq per kg of protein</v>
      </c>
      <c r="V946" s="28"/>
      <c r="W946" s="28"/>
      <c r="Y946" s="91"/>
      <c r="AO946" s="91"/>
      <c r="AP946" s="28"/>
      <c r="AQ946" s="28"/>
      <c r="AR946" s="237"/>
      <c r="AS946" s="28"/>
      <c r="AT946" s="304" t="str">
        <f t="shared" si="656"/>
        <v/>
      </c>
      <c r="AU946" s="304" t="str">
        <f t="shared" si="656"/>
        <v/>
      </c>
      <c r="AV946" s="28"/>
      <c r="AW946" s="304" t="str">
        <f t="shared" si="645"/>
        <v/>
      </c>
      <c r="AX946" s="304" t="str">
        <f t="shared" si="645"/>
        <v/>
      </c>
      <c r="AY946" s="28"/>
      <c r="AZ946" s="304" t="str">
        <f t="shared" si="646"/>
        <v/>
      </c>
      <c r="BA946" s="304" t="str">
        <f t="shared" si="646"/>
        <v/>
      </c>
      <c r="BB946" s="28"/>
      <c r="BC946" s="304" t="str">
        <f t="shared" si="647"/>
        <v/>
      </c>
      <c r="BD946" s="304" t="str">
        <f t="shared" si="647"/>
        <v/>
      </c>
      <c r="BE946" s="28"/>
      <c r="BF946" s="304">
        <f t="shared" si="648"/>
        <v>0.125205125</v>
      </c>
      <c r="BG946" s="304">
        <f t="shared" si="648"/>
        <v>0.125205125</v>
      </c>
      <c r="BH946" s="28"/>
      <c r="BI946" s="304" t="str">
        <f t="shared" si="649"/>
        <v/>
      </c>
      <c r="BJ946" s="304" t="str">
        <f t="shared" si="649"/>
        <v/>
      </c>
      <c r="BK946" s="28"/>
      <c r="BL946" s="304" t="str">
        <f t="shared" si="650"/>
        <v/>
      </c>
      <c r="BM946" s="304" t="str">
        <f t="shared" si="650"/>
        <v/>
      </c>
      <c r="BN946" s="28"/>
      <c r="BO946" s="304" t="str">
        <f t="shared" si="651"/>
        <v/>
      </c>
      <c r="BP946" s="304" t="str">
        <f t="shared" si="651"/>
        <v/>
      </c>
      <c r="BQ946" s="28"/>
      <c r="BR946" s="304" t="str">
        <f t="shared" si="652"/>
        <v/>
      </c>
      <c r="BS946" s="304" t="str">
        <f t="shared" si="652"/>
        <v/>
      </c>
      <c r="BT946" s="28"/>
      <c r="BU946" s="304" t="str">
        <f t="shared" si="653"/>
        <v/>
      </c>
      <c r="BV946" s="304" t="str">
        <f t="shared" si="653"/>
        <v/>
      </c>
      <c r="BW946" s="28"/>
      <c r="BX946" s="91"/>
    </row>
    <row r="947" spans="1:76" s="55" customFormat="1" x14ac:dyDescent="0.25">
      <c r="A947" s="195">
        <v>30</v>
      </c>
      <c r="B947" s="216" t="str">
        <f t="shared" si="642"/>
        <v>Middle East and Africa: FAO. 2017. Reducing Enteric Methane for improving food security and livelihoods</v>
      </c>
      <c r="C947" s="219" t="s">
        <v>488</v>
      </c>
      <c r="D947" s="379" t="s">
        <v>287</v>
      </c>
      <c r="E947" s="219" t="s">
        <v>99</v>
      </c>
      <c r="F947" s="330" t="s">
        <v>288</v>
      </c>
      <c r="G947" s="220" t="s">
        <v>26</v>
      </c>
      <c r="H947" s="221">
        <v>2017</v>
      </c>
      <c r="I947" s="240"/>
      <c r="J947" s="377">
        <v>6.2</v>
      </c>
      <c r="K947" s="382" t="s">
        <v>489</v>
      </c>
      <c r="L947" s="383">
        <f>J947*(1-0.025)*0.001*0.79/0.032</f>
        <v>0.1492359375</v>
      </c>
      <c r="M947" s="335" t="str">
        <f>'[1]Advanced Controls'!$I$158</f>
        <v>t CH4-CO2eq per kg of protein</v>
      </c>
      <c r="N947" s="238"/>
      <c r="O947" s="227" t="s">
        <v>568</v>
      </c>
      <c r="P947" s="122"/>
      <c r="Q947" s="228"/>
      <c r="R947" s="231">
        <f t="shared" si="654"/>
        <v>0.1492359375</v>
      </c>
      <c r="S947" s="230">
        <f t="shared" si="643"/>
        <v>0.1492359375</v>
      </c>
      <c r="T947" s="231">
        <f t="shared" si="655"/>
        <v>0</v>
      </c>
      <c r="U947" s="232" t="str">
        <f t="shared" si="644"/>
        <v>t CH4-CO2eq per kg of protein</v>
      </c>
      <c r="V947" s="28"/>
      <c r="W947" s="28"/>
      <c r="Y947" s="91"/>
      <c r="AO947" s="91"/>
      <c r="AP947" s="28"/>
      <c r="AQ947" s="28"/>
      <c r="AR947" s="237"/>
      <c r="AS947" s="28"/>
      <c r="AT947" s="304" t="str">
        <f t="shared" si="656"/>
        <v/>
      </c>
      <c r="AU947" s="304" t="str">
        <f t="shared" si="656"/>
        <v/>
      </c>
      <c r="AV947" s="28"/>
      <c r="AW947" s="304" t="str">
        <f t="shared" si="645"/>
        <v/>
      </c>
      <c r="AX947" s="304" t="str">
        <f t="shared" si="645"/>
        <v/>
      </c>
      <c r="AY947" s="28"/>
      <c r="AZ947" s="304" t="str">
        <f t="shared" si="646"/>
        <v/>
      </c>
      <c r="BA947" s="304" t="str">
        <f t="shared" si="646"/>
        <v/>
      </c>
      <c r="BB947" s="28"/>
      <c r="BC947" s="304" t="str">
        <f t="shared" si="647"/>
        <v/>
      </c>
      <c r="BD947" s="304" t="str">
        <f t="shared" si="647"/>
        <v/>
      </c>
      <c r="BE947" s="28"/>
      <c r="BF947" s="304">
        <f t="shared" si="648"/>
        <v>0.1492359375</v>
      </c>
      <c r="BG947" s="304">
        <f t="shared" si="648"/>
        <v>0.1492359375</v>
      </c>
      <c r="BH947" s="28"/>
      <c r="BI947" s="304" t="str">
        <f t="shared" si="649"/>
        <v/>
      </c>
      <c r="BJ947" s="304" t="str">
        <f t="shared" si="649"/>
        <v/>
      </c>
      <c r="BK947" s="28"/>
      <c r="BL947" s="304" t="str">
        <f t="shared" si="650"/>
        <v/>
      </c>
      <c r="BM947" s="304" t="str">
        <f t="shared" si="650"/>
        <v/>
      </c>
      <c r="BN947" s="28"/>
      <c r="BO947" s="304" t="str">
        <f t="shared" si="651"/>
        <v/>
      </c>
      <c r="BP947" s="304" t="str">
        <f t="shared" si="651"/>
        <v/>
      </c>
      <c r="BQ947" s="28"/>
      <c r="BR947" s="304" t="str">
        <f t="shared" si="652"/>
        <v/>
      </c>
      <c r="BS947" s="304" t="str">
        <f t="shared" si="652"/>
        <v/>
      </c>
      <c r="BT947" s="28"/>
      <c r="BU947" s="304" t="str">
        <f t="shared" si="653"/>
        <v/>
      </c>
      <c r="BV947" s="304" t="str">
        <f t="shared" si="653"/>
        <v/>
      </c>
      <c r="BW947" s="28"/>
      <c r="BX947" s="91"/>
    </row>
    <row r="948" spans="1:76" s="55" customFormat="1" x14ac:dyDescent="0.25">
      <c r="A948" s="195">
        <v>31</v>
      </c>
      <c r="B948" s="216" t="str">
        <f t="shared" si="642"/>
        <v>Middle East and Africa: FAO. 2017. Reducing Enteric Methane for improving food security and livelihoods</v>
      </c>
      <c r="C948" s="219" t="s">
        <v>488</v>
      </c>
      <c r="D948" s="379" t="s">
        <v>287</v>
      </c>
      <c r="E948" s="219" t="s">
        <v>99</v>
      </c>
      <c r="F948" s="330" t="s">
        <v>288</v>
      </c>
      <c r="G948" s="220" t="s">
        <v>26</v>
      </c>
      <c r="H948" s="221">
        <v>2017</v>
      </c>
      <c r="I948" s="240"/>
      <c r="J948" s="377">
        <v>13</v>
      </c>
      <c r="K948" s="382" t="s">
        <v>489</v>
      </c>
      <c r="L948" s="383">
        <f>J948*(1-0.18)*0.001*0.79/0.032</f>
        <v>0.26316875000000001</v>
      </c>
      <c r="M948" s="335" t="str">
        <f>'[1]Advanced Controls'!$I$158</f>
        <v>t CH4-CO2eq per kg of protein</v>
      </c>
      <c r="N948" s="238"/>
      <c r="O948" s="227" t="s">
        <v>569</v>
      </c>
      <c r="P948" s="122"/>
      <c r="Q948" s="228"/>
      <c r="R948" s="231">
        <f t="shared" si="654"/>
        <v>0.26316875000000001</v>
      </c>
      <c r="S948" s="230">
        <f t="shared" si="643"/>
        <v>0.26316875000000001</v>
      </c>
      <c r="T948" s="231">
        <f t="shared" si="655"/>
        <v>0</v>
      </c>
      <c r="U948" s="232" t="str">
        <f t="shared" si="644"/>
        <v>t CH4-CO2eq per kg of protein</v>
      </c>
      <c r="V948" s="28"/>
      <c r="W948" s="28"/>
      <c r="Y948" s="91"/>
      <c r="AO948" s="91"/>
      <c r="AP948" s="28"/>
      <c r="AQ948" s="28"/>
      <c r="AR948" s="237"/>
      <c r="AS948" s="28"/>
      <c r="AT948" s="304" t="str">
        <f t="shared" si="656"/>
        <v/>
      </c>
      <c r="AU948" s="304" t="str">
        <f t="shared" si="656"/>
        <v/>
      </c>
      <c r="AV948" s="28"/>
      <c r="AW948" s="304" t="str">
        <f t="shared" si="645"/>
        <v/>
      </c>
      <c r="AX948" s="304" t="str">
        <f t="shared" si="645"/>
        <v/>
      </c>
      <c r="AY948" s="28"/>
      <c r="AZ948" s="304" t="str">
        <f t="shared" si="646"/>
        <v/>
      </c>
      <c r="BA948" s="304" t="str">
        <f t="shared" si="646"/>
        <v/>
      </c>
      <c r="BB948" s="28"/>
      <c r="BC948" s="304" t="str">
        <f t="shared" si="647"/>
        <v/>
      </c>
      <c r="BD948" s="304" t="str">
        <f t="shared" si="647"/>
        <v/>
      </c>
      <c r="BE948" s="28"/>
      <c r="BF948" s="304">
        <f t="shared" si="648"/>
        <v>0.26316875000000001</v>
      </c>
      <c r="BG948" s="304">
        <f t="shared" si="648"/>
        <v>0.26316875000000001</v>
      </c>
      <c r="BH948" s="28"/>
      <c r="BI948" s="304" t="str">
        <f t="shared" si="649"/>
        <v/>
      </c>
      <c r="BJ948" s="304" t="str">
        <f t="shared" si="649"/>
        <v/>
      </c>
      <c r="BK948" s="28"/>
      <c r="BL948" s="304" t="str">
        <f t="shared" si="650"/>
        <v/>
      </c>
      <c r="BM948" s="304" t="str">
        <f t="shared" si="650"/>
        <v/>
      </c>
      <c r="BN948" s="28"/>
      <c r="BO948" s="304" t="str">
        <f t="shared" si="651"/>
        <v/>
      </c>
      <c r="BP948" s="304" t="str">
        <f t="shared" si="651"/>
        <v/>
      </c>
      <c r="BQ948" s="28"/>
      <c r="BR948" s="304" t="str">
        <f t="shared" si="652"/>
        <v/>
      </c>
      <c r="BS948" s="304" t="str">
        <f t="shared" si="652"/>
        <v/>
      </c>
      <c r="BT948" s="28"/>
      <c r="BU948" s="304" t="str">
        <f t="shared" si="653"/>
        <v/>
      </c>
      <c r="BV948" s="304" t="str">
        <f t="shared" si="653"/>
        <v/>
      </c>
      <c r="BW948" s="28"/>
      <c r="BX948" s="91"/>
    </row>
    <row r="949" spans="1:76" s="55" customFormat="1" x14ac:dyDescent="0.25">
      <c r="A949" s="195">
        <v>32</v>
      </c>
      <c r="B949" s="216" t="str">
        <f t="shared" si="642"/>
        <v>Middle East and Africa: FAO. 2017. Reducing Enteric Methane for improving food security and livelihoods</v>
      </c>
      <c r="C949" s="219" t="s">
        <v>488</v>
      </c>
      <c r="D949" s="379" t="s">
        <v>287</v>
      </c>
      <c r="E949" s="219" t="s">
        <v>99</v>
      </c>
      <c r="F949" s="330" t="s">
        <v>288</v>
      </c>
      <c r="G949" s="220" t="s">
        <v>26</v>
      </c>
      <c r="H949" s="221">
        <v>2017</v>
      </c>
      <c r="I949" s="240"/>
      <c r="J949" s="377">
        <v>13</v>
      </c>
      <c r="K949" s="382" t="s">
        <v>489</v>
      </c>
      <c r="L949" s="383">
        <f>J949*(1-0.162)*0.001*0.79/0.032</f>
        <v>0.26894562500000002</v>
      </c>
      <c r="M949" s="335" t="str">
        <f>'[1]Advanced Controls'!$I$158</f>
        <v>t CH4-CO2eq per kg of protein</v>
      </c>
      <c r="N949" s="238"/>
      <c r="O949" s="227" t="s">
        <v>570</v>
      </c>
      <c r="P949" s="122"/>
      <c r="Q949" s="228"/>
      <c r="R949" s="231">
        <f t="shared" si="654"/>
        <v>0.26894562500000002</v>
      </c>
      <c r="S949" s="230">
        <f t="shared" si="643"/>
        <v>0.26894562500000002</v>
      </c>
      <c r="T949" s="231">
        <f t="shared" si="655"/>
        <v>0</v>
      </c>
      <c r="U949" s="232" t="str">
        <f t="shared" si="644"/>
        <v>t CH4-CO2eq per kg of protein</v>
      </c>
      <c r="V949" s="28"/>
      <c r="W949" s="28"/>
      <c r="Y949" s="91"/>
      <c r="AO949" s="91"/>
      <c r="AP949" s="28"/>
      <c r="AQ949" s="28"/>
      <c r="AR949" s="237"/>
      <c r="AS949" s="28"/>
      <c r="AT949" s="304" t="str">
        <f t="shared" si="656"/>
        <v/>
      </c>
      <c r="AU949" s="304" t="str">
        <f t="shared" si="656"/>
        <v/>
      </c>
      <c r="AV949" s="28"/>
      <c r="AW949" s="304" t="str">
        <f t="shared" si="645"/>
        <v/>
      </c>
      <c r="AX949" s="304" t="str">
        <f t="shared" si="645"/>
        <v/>
      </c>
      <c r="AY949" s="28"/>
      <c r="AZ949" s="304" t="str">
        <f t="shared" si="646"/>
        <v/>
      </c>
      <c r="BA949" s="304" t="str">
        <f t="shared" si="646"/>
        <v/>
      </c>
      <c r="BB949" s="28"/>
      <c r="BC949" s="304" t="str">
        <f t="shared" si="647"/>
        <v/>
      </c>
      <c r="BD949" s="304" t="str">
        <f t="shared" si="647"/>
        <v/>
      </c>
      <c r="BE949" s="28"/>
      <c r="BF949" s="304">
        <f t="shared" si="648"/>
        <v>0.26894562500000002</v>
      </c>
      <c r="BG949" s="304">
        <f t="shared" si="648"/>
        <v>0.26894562500000002</v>
      </c>
      <c r="BH949" s="28"/>
      <c r="BI949" s="304" t="str">
        <f t="shared" si="649"/>
        <v/>
      </c>
      <c r="BJ949" s="304" t="str">
        <f t="shared" si="649"/>
        <v/>
      </c>
      <c r="BK949" s="28"/>
      <c r="BL949" s="304" t="str">
        <f t="shared" si="650"/>
        <v/>
      </c>
      <c r="BM949" s="304" t="str">
        <f t="shared" si="650"/>
        <v/>
      </c>
      <c r="BN949" s="28"/>
      <c r="BO949" s="304" t="str">
        <f t="shared" si="651"/>
        <v/>
      </c>
      <c r="BP949" s="304" t="str">
        <f t="shared" si="651"/>
        <v/>
      </c>
      <c r="BQ949" s="28"/>
      <c r="BR949" s="304" t="str">
        <f t="shared" si="652"/>
        <v/>
      </c>
      <c r="BS949" s="304" t="str">
        <f t="shared" si="652"/>
        <v/>
      </c>
      <c r="BT949" s="28"/>
      <c r="BU949" s="304" t="str">
        <f t="shared" si="653"/>
        <v/>
      </c>
      <c r="BV949" s="304" t="str">
        <f t="shared" si="653"/>
        <v/>
      </c>
      <c r="BW949" s="28"/>
      <c r="BX949" s="91"/>
    </row>
    <row r="950" spans="1:76" s="55" customFormat="1" x14ac:dyDescent="0.25">
      <c r="A950" s="195">
        <v>33</v>
      </c>
      <c r="B950" s="216" t="str">
        <f t="shared" si="642"/>
        <v>Middle East and Africa: FAO. 2017. Reducing Enteric Methane for improving food security and livelihoods</v>
      </c>
      <c r="C950" s="219" t="s">
        <v>488</v>
      </c>
      <c r="D950" s="379" t="s">
        <v>516</v>
      </c>
      <c r="E950" s="219" t="s">
        <v>99</v>
      </c>
      <c r="F950" s="330" t="s">
        <v>517</v>
      </c>
      <c r="G950" s="220" t="s">
        <v>26</v>
      </c>
      <c r="H950" s="221">
        <v>2017</v>
      </c>
      <c r="I950" s="240"/>
      <c r="J950" s="377">
        <v>18.2</v>
      </c>
      <c r="K950" s="382" t="s">
        <v>489</v>
      </c>
      <c r="L950" s="383">
        <f>J950*(1-0.162)*0.001*0.93/0.032</f>
        <v>0.44324962499999998</v>
      </c>
      <c r="M950" s="335" t="str">
        <f>'[1]Advanced Controls'!$I$158</f>
        <v>t CH4-CO2eq per kg of protein</v>
      </c>
      <c r="N950" s="238"/>
      <c r="O950" s="227" t="s">
        <v>571</v>
      </c>
      <c r="P950" s="122"/>
      <c r="Q950" s="228"/>
      <c r="R950" s="231">
        <f t="shared" si="654"/>
        <v>0.44324962499999998</v>
      </c>
      <c r="S950" s="230">
        <f t="shared" si="643"/>
        <v>0.44324962499999998</v>
      </c>
      <c r="T950" s="231">
        <f t="shared" si="655"/>
        <v>0</v>
      </c>
      <c r="U950" s="232" t="str">
        <f t="shared" si="644"/>
        <v>t CH4-CO2eq per kg of protein</v>
      </c>
      <c r="V950" s="28"/>
      <c r="W950" s="28"/>
      <c r="Y950" s="91"/>
      <c r="AO950" s="91"/>
      <c r="AP950" s="28"/>
      <c r="AQ950" s="28"/>
      <c r="AR950" s="237"/>
      <c r="AS950" s="28"/>
      <c r="AT950" s="304" t="str">
        <f t="shared" si="656"/>
        <v/>
      </c>
      <c r="AU950" s="304" t="str">
        <f t="shared" si="656"/>
        <v/>
      </c>
      <c r="AV950" s="28"/>
      <c r="AW950" s="304" t="str">
        <f t="shared" si="645"/>
        <v/>
      </c>
      <c r="AX950" s="304" t="str">
        <f t="shared" si="645"/>
        <v/>
      </c>
      <c r="AY950" s="28"/>
      <c r="AZ950" s="304" t="str">
        <f t="shared" si="646"/>
        <v/>
      </c>
      <c r="BA950" s="304" t="str">
        <f t="shared" si="646"/>
        <v/>
      </c>
      <c r="BB950" s="28"/>
      <c r="BC950" s="304" t="str">
        <f t="shared" si="647"/>
        <v/>
      </c>
      <c r="BD950" s="304" t="str">
        <f t="shared" si="647"/>
        <v/>
      </c>
      <c r="BE950" s="28"/>
      <c r="BF950" s="304">
        <f t="shared" si="648"/>
        <v>0.44324962499999998</v>
      </c>
      <c r="BG950" s="304">
        <f t="shared" si="648"/>
        <v>0.44324962499999998</v>
      </c>
      <c r="BH950" s="28"/>
      <c r="BI950" s="304" t="str">
        <f t="shared" si="649"/>
        <v/>
      </c>
      <c r="BJ950" s="304" t="str">
        <f t="shared" si="649"/>
        <v/>
      </c>
      <c r="BK950" s="28"/>
      <c r="BL950" s="304" t="str">
        <f t="shared" si="650"/>
        <v/>
      </c>
      <c r="BM950" s="304" t="str">
        <f t="shared" si="650"/>
        <v/>
      </c>
      <c r="BN950" s="28"/>
      <c r="BO950" s="304" t="str">
        <f t="shared" si="651"/>
        <v/>
      </c>
      <c r="BP950" s="304" t="str">
        <f t="shared" si="651"/>
        <v/>
      </c>
      <c r="BQ950" s="28"/>
      <c r="BR950" s="304" t="str">
        <f t="shared" si="652"/>
        <v/>
      </c>
      <c r="BS950" s="304" t="str">
        <f t="shared" si="652"/>
        <v/>
      </c>
      <c r="BT950" s="28"/>
      <c r="BU950" s="304" t="str">
        <f t="shared" si="653"/>
        <v/>
      </c>
      <c r="BV950" s="304" t="str">
        <f t="shared" si="653"/>
        <v/>
      </c>
      <c r="BW950" s="28"/>
      <c r="BX950" s="91"/>
    </row>
    <row r="951" spans="1:76" s="55" customFormat="1" x14ac:dyDescent="0.25">
      <c r="A951" s="195">
        <v>34</v>
      </c>
      <c r="B951" s="216" t="str">
        <f t="shared" si="642"/>
        <v>Middle East and Africa: FAO. 2017. Reducing Enteric Methane for improving food security and livelihoods</v>
      </c>
      <c r="C951" s="219" t="s">
        <v>488</v>
      </c>
      <c r="D951" s="379" t="s">
        <v>516</v>
      </c>
      <c r="E951" s="219" t="s">
        <v>99</v>
      </c>
      <c r="F951" s="330" t="s">
        <v>517</v>
      </c>
      <c r="G951" s="220" t="s">
        <v>26</v>
      </c>
      <c r="H951" s="221">
        <v>2017</v>
      </c>
      <c r="I951" s="240"/>
      <c r="J951" s="377">
        <v>55</v>
      </c>
      <c r="K951" s="382" t="s">
        <v>489</v>
      </c>
      <c r="L951" s="383">
        <f>J951*(1-0.173)*0.001*0.93/0.032</f>
        <v>1.3219078124999999</v>
      </c>
      <c r="M951" s="335" t="str">
        <f>'[1]Advanced Controls'!$I$158</f>
        <v>t CH4-CO2eq per kg of protein</v>
      </c>
      <c r="N951" s="238"/>
      <c r="O951" s="227" t="s">
        <v>572</v>
      </c>
      <c r="P951" s="122"/>
      <c r="Q951" s="228"/>
      <c r="R951" s="231">
        <f t="shared" si="654"/>
        <v>1.3219078124999999</v>
      </c>
      <c r="S951" s="230">
        <f t="shared" si="643"/>
        <v>1.3219078124999999</v>
      </c>
      <c r="T951" s="231">
        <f t="shared" si="655"/>
        <v>0</v>
      </c>
      <c r="U951" s="232" t="str">
        <f t="shared" si="644"/>
        <v>t CH4-CO2eq per kg of protein</v>
      </c>
      <c r="V951" s="28"/>
      <c r="W951" s="28"/>
      <c r="Y951" s="91"/>
      <c r="AO951" s="91"/>
      <c r="AP951" s="28"/>
      <c r="AQ951" s="28"/>
      <c r="AR951" s="237"/>
      <c r="AS951" s="28"/>
      <c r="AT951" s="304" t="str">
        <f t="shared" si="656"/>
        <v/>
      </c>
      <c r="AU951" s="304" t="str">
        <f t="shared" si="656"/>
        <v/>
      </c>
      <c r="AV951" s="28"/>
      <c r="AW951" s="304" t="str">
        <f t="shared" si="645"/>
        <v/>
      </c>
      <c r="AX951" s="304" t="str">
        <f t="shared" si="645"/>
        <v/>
      </c>
      <c r="AY951" s="28"/>
      <c r="AZ951" s="304" t="str">
        <f t="shared" si="646"/>
        <v/>
      </c>
      <c r="BA951" s="304" t="str">
        <f t="shared" si="646"/>
        <v/>
      </c>
      <c r="BB951" s="28"/>
      <c r="BC951" s="304" t="str">
        <f t="shared" si="647"/>
        <v/>
      </c>
      <c r="BD951" s="304" t="str">
        <f t="shared" si="647"/>
        <v/>
      </c>
      <c r="BE951" s="28"/>
      <c r="BF951" s="304">
        <f t="shared" si="648"/>
        <v>1.3219078124999999</v>
      </c>
      <c r="BG951" s="304">
        <f t="shared" si="648"/>
        <v>1.3219078124999999</v>
      </c>
      <c r="BH951" s="28"/>
      <c r="BI951" s="304" t="str">
        <f t="shared" si="649"/>
        <v/>
      </c>
      <c r="BJ951" s="304" t="str">
        <f t="shared" si="649"/>
        <v/>
      </c>
      <c r="BK951" s="28"/>
      <c r="BL951" s="304" t="str">
        <f t="shared" si="650"/>
        <v/>
      </c>
      <c r="BM951" s="304" t="str">
        <f t="shared" si="650"/>
        <v/>
      </c>
      <c r="BN951" s="28"/>
      <c r="BO951" s="304" t="str">
        <f t="shared" si="651"/>
        <v/>
      </c>
      <c r="BP951" s="304" t="str">
        <f t="shared" si="651"/>
        <v/>
      </c>
      <c r="BQ951" s="28"/>
      <c r="BR951" s="304" t="str">
        <f t="shared" si="652"/>
        <v/>
      </c>
      <c r="BS951" s="304" t="str">
        <f t="shared" si="652"/>
        <v/>
      </c>
      <c r="BT951" s="28"/>
      <c r="BU951" s="304" t="str">
        <f t="shared" si="653"/>
        <v/>
      </c>
      <c r="BV951" s="304" t="str">
        <f t="shared" si="653"/>
        <v/>
      </c>
      <c r="BW951" s="28"/>
      <c r="BX951" s="91"/>
    </row>
    <row r="952" spans="1:76" s="55" customFormat="1" x14ac:dyDescent="0.25">
      <c r="A952" s="195">
        <v>35</v>
      </c>
      <c r="B952" s="216" t="str">
        <f t="shared" si="642"/>
        <v>Middle East and Africa: FAO. 2017. Reducing Enteric Methane for improving food security and livelihoods</v>
      </c>
      <c r="C952" s="219" t="s">
        <v>488</v>
      </c>
      <c r="D952" s="379" t="s">
        <v>516</v>
      </c>
      <c r="E952" s="219" t="s">
        <v>99</v>
      </c>
      <c r="F952" s="330" t="s">
        <v>517</v>
      </c>
      <c r="G952" s="220" t="s">
        <v>26</v>
      </c>
      <c r="H952" s="221">
        <v>2017</v>
      </c>
      <c r="I952" s="240"/>
      <c r="J952" s="377">
        <v>18.2</v>
      </c>
      <c r="K952" s="382" t="s">
        <v>489</v>
      </c>
      <c r="L952" s="383">
        <f>J952*(1-0.129)*0.001*0.93/0.032</f>
        <v>0.46070456250000003</v>
      </c>
      <c r="M952" s="335" t="str">
        <f>'[1]Advanced Controls'!$I$158</f>
        <v>t CH4-CO2eq per kg of protein</v>
      </c>
      <c r="N952" s="238"/>
      <c r="O952" s="227" t="s">
        <v>573</v>
      </c>
      <c r="P952" s="122"/>
      <c r="Q952" s="228"/>
      <c r="R952" s="231">
        <f t="shared" si="654"/>
        <v>0.46070456250000003</v>
      </c>
      <c r="S952" s="230">
        <f t="shared" si="643"/>
        <v>0.46070456250000003</v>
      </c>
      <c r="T952" s="231">
        <f t="shared" si="655"/>
        <v>0</v>
      </c>
      <c r="U952" s="232" t="str">
        <f t="shared" si="644"/>
        <v>t CH4-CO2eq per kg of protein</v>
      </c>
      <c r="V952" s="28"/>
      <c r="W952" s="28"/>
      <c r="Y952" s="91"/>
      <c r="AO952" s="91"/>
      <c r="AP952" s="28"/>
      <c r="AQ952" s="28"/>
      <c r="AR952" s="237"/>
      <c r="AS952" s="28"/>
      <c r="AT952" s="304" t="str">
        <f t="shared" si="656"/>
        <v/>
      </c>
      <c r="AU952" s="304" t="str">
        <f t="shared" si="656"/>
        <v/>
      </c>
      <c r="AV952" s="28"/>
      <c r="AW952" s="304" t="str">
        <f t="shared" si="645"/>
        <v/>
      </c>
      <c r="AX952" s="304" t="str">
        <f t="shared" si="645"/>
        <v/>
      </c>
      <c r="AY952" s="28"/>
      <c r="AZ952" s="304" t="str">
        <f t="shared" si="646"/>
        <v/>
      </c>
      <c r="BA952" s="304" t="str">
        <f t="shared" si="646"/>
        <v/>
      </c>
      <c r="BB952" s="28"/>
      <c r="BC952" s="304" t="str">
        <f t="shared" si="647"/>
        <v/>
      </c>
      <c r="BD952" s="304" t="str">
        <f t="shared" si="647"/>
        <v/>
      </c>
      <c r="BE952" s="28"/>
      <c r="BF952" s="304">
        <f t="shared" si="648"/>
        <v>0.46070456250000003</v>
      </c>
      <c r="BG952" s="304">
        <f t="shared" si="648"/>
        <v>0.46070456250000003</v>
      </c>
      <c r="BH952" s="28"/>
      <c r="BI952" s="304" t="str">
        <f t="shared" si="649"/>
        <v/>
      </c>
      <c r="BJ952" s="304" t="str">
        <f t="shared" si="649"/>
        <v/>
      </c>
      <c r="BK952" s="28"/>
      <c r="BL952" s="304" t="str">
        <f t="shared" si="650"/>
        <v/>
      </c>
      <c r="BM952" s="304" t="str">
        <f t="shared" si="650"/>
        <v/>
      </c>
      <c r="BN952" s="28"/>
      <c r="BO952" s="304" t="str">
        <f t="shared" si="651"/>
        <v/>
      </c>
      <c r="BP952" s="304" t="str">
        <f t="shared" si="651"/>
        <v/>
      </c>
      <c r="BQ952" s="28"/>
      <c r="BR952" s="304" t="str">
        <f t="shared" si="652"/>
        <v/>
      </c>
      <c r="BS952" s="304" t="str">
        <f t="shared" si="652"/>
        <v/>
      </c>
      <c r="BT952" s="28"/>
      <c r="BU952" s="304" t="str">
        <f t="shared" si="653"/>
        <v/>
      </c>
      <c r="BV952" s="304" t="str">
        <f t="shared" si="653"/>
        <v/>
      </c>
      <c r="BW952" s="28"/>
      <c r="BX952" s="91"/>
    </row>
    <row r="953" spans="1:76" s="55" customFormat="1" x14ac:dyDescent="0.25">
      <c r="A953" s="195">
        <v>36</v>
      </c>
      <c r="B953" s="216" t="str">
        <f t="shared" si="642"/>
        <v>Middle East and Africa: FAO. 2017. Reducing Enteric Methane for improving food security and livelihoods</v>
      </c>
      <c r="C953" s="219" t="s">
        <v>488</v>
      </c>
      <c r="D953" s="379" t="s">
        <v>516</v>
      </c>
      <c r="E953" s="219" t="s">
        <v>99</v>
      </c>
      <c r="F953" s="330" t="s">
        <v>517</v>
      </c>
      <c r="G953" s="220" t="s">
        <v>26</v>
      </c>
      <c r="H953" s="221">
        <v>2017</v>
      </c>
      <c r="I953" s="240"/>
      <c r="J953" s="377">
        <v>55</v>
      </c>
      <c r="K953" s="382" t="s">
        <v>489</v>
      </c>
      <c r="L953" s="383">
        <f>J953*(1-0.142)*0.001*0.93/0.032</f>
        <v>1.3714593749999999</v>
      </c>
      <c r="M953" s="335" t="str">
        <f>'[1]Advanced Controls'!$I$158</f>
        <v>t CH4-CO2eq per kg of protein</v>
      </c>
      <c r="N953" s="238"/>
      <c r="O953" s="227" t="s">
        <v>574</v>
      </c>
      <c r="P953" s="122"/>
      <c r="Q953" s="228"/>
      <c r="R953" s="231">
        <f t="shared" si="654"/>
        <v>1.3714593749999999</v>
      </c>
      <c r="S953" s="230">
        <f t="shared" si="643"/>
        <v>1.3714593749999999</v>
      </c>
      <c r="T953" s="231">
        <f t="shared" si="655"/>
        <v>0</v>
      </c>
      <c r="U953" s="232" t="str">
        <f t="shared" si="644"/>
        <v>t CH4-CO2eq per kg of protein</v>
      </c>
      <c r="V953" s="28"/>
      <c r="W953" s="28"/>
      <c r="Y953" s="91"/>
      <c r="AO953" s="91"/>
      <c r="AP953" s="28"/>
      <c r="AQ953" s="28"/>
      <c r="AR953" s="237"/>
      <c r="AS953" s="28"/>
      <c r="AT953" s="304" t="str">
        <f t="shared" si="656"/>
        <v/>
      </c>
      <c r="AU953" s="304" t="str">
        <f t="shared" si="656"/>
        <v/>
      </c>
      <c r="AV953" s="28"/>
      <c r="AW953" s="304" t="str">
        <f t="shared" si="645"/>
        <v/>
      </c>
      <c r="AX953" s="304" t="str">
        <f t="shared" si="645"/>
        <v/>
      </c>
      <c r="AY953" s="28"/>
      <c r="AZ953" s="304" t="str">
        <f t="shared" si="646"/>
        <v/>
      </c>
      <c r="BA953" s="304" t="str">
        <f t="shared" si="646"/>
        <v/>
      </c>
      <c r="BB953" s="28"/>
      <c r="BC953" s="304" t="str">
        <f t="shared" si="647"/>
        <v/>
      </c>
      <c r="BD953" s="304" t="str">
        <f t="shared" si="647"/>
        <v/>
      </c>
      <c r="BE953" s="28"/>
      <c r="BF953" s="304">
        <f t="shared" si="648"/>
        <v>1.3714593749999999</v>
      </c>
      <c r="BG953" s="304">
        <f t="shared" si="648"/>
        <v>1.3714593749999999</v>
      </c>
      <c r="BH953" s="28"/>
      <c r="BI953" s="304" t="str">
        <f t="shared" si="649"/>
        <v/>
      </c>
      <c r="BJ953" s="304" t="str">
        <f t="shared" si="649"/>
        <v/>
      </c>
      <c r="BK953" s="28"/>
      <c r="BL953" s="304" t="str">
        <f t="shared" si="650"/>
        <v/>
      </c>
      <c r="BM953" s="304" t="str">
        <f t="shared" si="650"/>
        <v/>
      </c>
      <c r="BN953" s="28"/>
      <c r="BO953" s="304" t="str">
        <f t="shared" si="651"/>
        <v/>
      </c>
      <c r="BP953" s="304" t="str">
        <f t="shared" si="651"/>
        <v/>
      </c>
      <c r="BQ953" s="28"/>
      <c r="BR953" s="304" t="str">
        <f t="shared" si="652"/>
        <v/>
      </c>
      <c r="BS953" s="304" t="str">
        <f t="shared" si="652"/>
        <v/>
      </c>
      <c r="BT953" s="28"/>
      <c r="BU953" s="304" t="str">
        <f t="shared" si="653"/>
        <v/>
      </c>
      <c r="BV953" s="304" t="str">
        <f t="shared" si="653"/>
        <v/>
      </c>
      <c r="BW953" s="28"/>
      <c r="BX953" s="91"/>
    </row>
    <row r="954" spans="1:76" s="55" customFormat="1" x14ac:dyDescent="0.25">
      <c r="A954" s="195">
        <v>37</v>
      </c>
      <c r="B954" s="216" t="str">
        <f t="shared" si="642"/>
        <v>Middle East and Africa: FAO. 2017. Reducing Enteric Methane for improving food security and livelihoods</v>
      </c>
      <c r="C954" s="219" t="s">
        <v>488</v>
      </c>
      <c r="D954" s="379" t="s">
        <v>520</v>
      </c>
      <c r="E954" s="219" t="s">
        <v>99</v>
      </c>
      <c r="F954" s="330" t="s">
        <v>521</v>
      </c>
      <c r="G954" s="220" t="s">
        <v>26</v>
      </c>
      <c r="H954" s="221">
        <v>2017</v>
      </c>
      <c r="I954" s="240"/>
      <c r="J954" s="377">
        <v>61.8</v>
      </c>
      <c r="K954" s="382" t="s">
        <v>489</v>
      </c>
      <c r="L954" s="383">
        <f>J954*(1-0.182)*0.001*0.93/0.032</f>
        <v>1.4691791250000001</v>
      </c>
      <c r="M954" s="335" t="str">
        <f>'[1]Advanced Controls'!$I$158</f>
        <v>t CH4-CO2eq per kg of protein</v>
      </c>
      <c r="N954" s="238"/>
      <c r="O954" s="227" t="s">
        <v>571</v>
      </c>
      <c r="P954" s="122"/>
      <c r="Q954" s="228"/>
      <c r="R954" s="231">
        <f t="shared" si="654"/>
        <v>1.4691791250000001</v>
      </c>
      <c r="S954" s="230">
        <f t="shared" si="643"/>
        <v>1.4691791250000001</v>
      </c>
      <c r="T954" s="231" t="str">
        <f t="shared" si="655"/>
        <v/>
      </c>
      <c r="U954" s="232" t="str">
        <f t="shared" si="644"/>
        <v>t CH4-CO2eq per kg of protein</v>
      </c>
      <c r="V954" s="28"/>
      <c r="W954" s="28"/>
      <c r="Y954" s="91"/>
      <c r="AO954" s="91"/>
      <c r="AP954" s="28"/>
      <c r="AQ954" s="28"/>
      <c r="AR954" s="237"/>
      <c r="AS954" s="28"/>
      <c r="AT954" s="304" t="str">
        <f t="shared" si="656"/>
        <v/>
      </c>
      <c r="AU954" s="304" t="str">
        <f t="shared" si="656"/>
        <v/>
      </c>
      <c r="AV954" s="28"/>
      <c r="AW954" s="304" t="str">
        <f t="shared" si="645"/>
        <v/>
      </c>
      <c r="AX954" s="304" t="str">
        <f t="shared" si="645"/>
        <v/>
      </c>
      <c r="AY954" s="28"/>
      <c r="AZ954" s="304" t="str">
        <f t="shared" si="646"/>
        <v/>
      </c>
      <c r="BA954" s="304" t="str">
        <f t="shared" si="646"/>
        <v/>
      </c>
      <c r="BB954" s="28"/>
      <c r="BC954" s="304" t="str">
        <f t="shared" si="647"/>
        <v/>
      </c>
      <c r="BD954" s="304" t="str">
        <f t="shared" si="647"/>
        <v/>
      </c>
      <c r="BE954" s="28"/>
      <c r="BF954" s="304">
        <f t="shared" si="648"/>
        <v>1.4691791250000001</v>
      </c>
      <c r="BG954" s="304">
        <f t="shared" si="648"/>
        <v>1.4691791250000001</v>
      </c>
      <c r="BH954" s="28"/>
      <c r="BI954" s="304" t="str">
        <f t="shared" si="649"/>
        <v/>
      </c>
      <c r="BJ954" s="304" t="str">
        <f t="shared" si="649"/>
        <v/>
      </c>
      <c r="BK954" s="28"/>
      <c r="BL954" s="304" t="str">
        <f t="shared" si="650"/>
        <v/>
      </c>
      <c r="BM954" s="304" t="str">
        <f t="shared" si="650"/>
        <v/>
      </c>
      <c r="BN954" s="28"/>
      <c r="BO954" s="304" t="str">
        <f t="shared" si="651"/>
        <v/>
      </c>
      <c r="BP954" s="304" t="str">
        <f t="shared" si="651"/>
        <v/>
      </c>
      <c r="BQ954" s="28"/>
      <c r="BR954" s="304" t="str">
        <f t="shared" si="652"/>
        <v/>
      </c>
      <c r="BS954" s="304" t="str">
        <f t="shared" si="652"/>
        <v/>
      </c>
      <c r="BT954" s="28"/>
      <c r="BU954" s="304" t="str">
        <f t="shared" si="653"/>
        <v/>
      </c>
      <c r="BV954" s="304" t="str">
        <f t="shared" si="653"/>
        <v/>
      </c>
      <c r="BW954" s="28"/>
      <c r="BX954" s="91"/>
    </row>
    <row r="955" spans="1:76" s="55" customFormat="1" x14ac:dyDescent="0.25">
      <c r="A955" s="195">
        <v>38</v>
      </c>
      <c r="B955" s="216" t="str">
        <f t="shared" si="642"/>
        <v>Middle East and Africa: FAO. 2017. Reducing Enteric Methane for improving food security and livelihoods</v>
      </c>
      <c r="C955" s="219" t="s">
        <v>488</v>
      </c>
      <c r="D955" s="379" t="s">
        <v>520</v>
      </c>
      <c r="E955" s="219" t="s">
        <v>99</v>
      </c>
      <c r="F955" s="330" t="s">
        <v>521</v>
      </c>
      <c r="G955" s="220" t="s">
        <v>26</v>
      </c>
      <c r="H955" s="221">
        <v>2017</v>
      </c>
      <c r="I955" s="240"/>
      <c r="J955" s="377">
        <v>124.7</v>
      </c>
      <c r="K955" s="382" t="s">
        <v>489</v>
      </c>
      <c r="L955" s="383">
        <f>J955*(1-0.202)*0.001*0.93/0.032</f>
        <v>2.8920268125000006</v>
      </c>
      <c r="M955" s="335" t="str">
        <f>'[1]Advanced Controls'!$I$158</f>
        <v>t CH4-CO2eq per kg of protein</v>
      </c>
      <c r="N955" s="238"/>
      <c r="O955" s="227" t="s">
        <v>572</v>
      </c>
      <c r="P955" s="122"/>
      <c r="Q955" s="228"/>
      <c r="R955" s="231">
        <f t="shared" si="654"/>
        <v>2.8920268125000006</v>
      </c>
      <c r="S955" s="230" t="str">
        <f t="shared" si="643"/>
        <v/>
      </c>
      <c r="T955" s="231" t="str">
        <f t="shared" si="655"/>
        <v/>
      </c>
      <c r="U955" s="232" t="str">
        <f t="shared" si="644"/>
        <v>t CH4-CO2eq per kg of protein</v>
      </c>
      <c r="V955" s="28"/>
      <c r="W955" s="28"/>
      <c r="Y955" s="91"/>
      <c r="AO955" s="91"/>
      <c r="AP955" s="28"/>
      <c r="AQ955" s="28"/>
      <c r="AR955" s="237"/>
      <c r="AS955" s="28"/>
      <c r="AT955" s="304" t="str">
        <f t="shared" si="656"/>
        <v/>
      </c>
      <c r="AU955" s="304" t="str">
        <f t="shared" si="656"/>
        <v/>
      </c>
      <c r="AV955" s="28"/>
      <c r="AW955" s="304" t="str">
        <f t="shared" si="645"/>
        <v/>
      </c>
      <c r="AX955" s="304" t="str">
        <f t="shared" si="645"/>
        <v/>
      </c>
      <c r="AY955" s="28"/>
      <c r="AZ955" s="304" t="str">
        <f t="shared" si="646"/>
        <v/>
      </c>
      <c r="BA955" s="304" t="str">
        <f t="shared" si="646"/>
        <v/>
      </c>
      <c r="BB955" s="28"/>
      <c r="BC955" s="304" t="str">
        <f t="shared" si="647"/>
        <v/>
      </c>
      <c r="BD955" s="304" t="str">
        <f t="shared" si="647"/>
        <v/>
      </c>
      <c r="BE955" s="28"/>
      <c r="BF955" s="304">
        <f t="shared" si="648"/>
        <v>2.8920268125000006</v>
      </c>
      <c r="BG955" s="304" t="str">
        <f t="shared" si="648"/>
        <v/>
      </c>
      <c r="BH955" s="28"/>
      <c r="BI955" s="304" t="str">
        <f t="shared" si="649"/>
        <v/>
      </c>
      <c r="BJ955" s="304" t="str">
        <f t="shared" si="649"/>
        <v/>
      </c>
      <c r="BK955" s="28"/>
      <c r="BL955" s="304" t="str">
        <f t="shared" si="650"/>
        <v/>
      </c>
      <c r="BM955" s="304" t="str">
        <f t="shared" si="650"/>
        <v/>
      </c>
      <c r="BN955" s="28"/>
      <c r="BO955" s="304" t="str">
        <f t="shared" si="651"/>
        <v/>
      </c>
      <c r="BP955" s="304" t="str">
        <f t="shared" si="651"/>
        <v/>
      </c>
      <c r="BQ955" s="28"/>
      <c r="BR955" s="304" t="str">
        <f t="shared" si="652"/>
        <v/>
      </c>
      <c r="BS955" s="304" t="str">
        <f t="shared" si="652"/>
        <v/>
      </c>
      <c r="BT955" s="28"/>
      <c r="BU955" s="304" t="str">
        <f t="shared" si="653"/>
        <v/>
      </c>
      <c r="BV955" s="304" t="str">
        <f t="shared" si="653"/>
        <v/>
      </c>
      <c r="BW955" s="28"/>
      <c r="BX955" s="91"/>
    </row>
    <row r="956" spans="1:76" s="55" customFormat="1" x14ac:dyDescent="0.25">
      <c r="A956" s="195">
        <v>39</v>
      </c>
      <c r="B956" s="216" t="str">
        <f t="shared" si="642"/>
        <v>Middle East and Africa: FAO. 2017. Reducing Enteric Methane for improving food security and livelihoods</v>
      </c>
      <c r="C956" s="219" t="s">
        <v>488</v>
      </c>
      <c r="D956" s="379" t="s">
        <v>520</v>
      </c>
      <c r="E956" s="219" t="s">
        <v>99</v>
      </c>
      <c r="F956" s="330" t="s">
        <v>521</v>
      </c>
      <c r="G956" s="220" t="s">
        <v>26</v>
      </c>
      <c r="H956" s="221">
        <v>2017</v>
      </c>
      <c r="I956" s="240"/>
      <c r="J956" s="377">
        <v>61.8</v>
      </c>
      <c r="K956" s="382" t="s">
        <v>489</v>
      </c>
      <c r="L956" s="383">
        <f>J956*(1-0.163)*0.001*0.93/0.032</f>
        <v>1.5033043125000001</v>
      </c>
      <c r="M956" s="335" t="str">
        <f>'[1]Advanced Controls'!$I$158</f>
        <v>t CH4-CO2eq per kg of protein</v>
      </c>
      <c r="N956" s="238"/>
      <c r="O956" s="227" t="s">
        <v>573</v>
      </c>
      <c r="P956" s="122"/>
      <c r="Q956" s="228"/>
      <c r="R956" s="231">
        <f t="shared" si="654"/>
        <v>1.5033043125000001</v>
      </c>
      <c r="S956" s="230">
        <f t="shared" si="643"/>
        <v>1.5033043125000001</v>
      </c>
      <c r="T956" s="231" t="str">
        <f t="shared" si="655"/>
        <v/>
      </c>
      <c r="U956" s="232" t="str">
        <f t="shared" si="644"/>
        <v>t CH4-CO2eq per kg of protein</v>
      </c>
      <c r="V956" s="28"/>
      <c r="W956" s="28"/>
      <c r="Y956" s="91"/>
      <c r="AO956" s="91"/>
      <c r="AP956" s="28"/>
      <c r="AQ956" s="28"/>
      <c r="AR956" s="237"/>
      <c r="AS956" s="28"/>
      <c r="AT956" s="304" t="str">
        <f t="shared" si="656"/>
        <v/>
      </c>
      <c r="AU956" s="304" t="str">
        <f t="shared" si="656"/>
        <v/>
      </c>
      <c r="AV956" s="28"/>
      <c r="AW956" s="304" t="str">
        <f t="shared" si="645"/>
        <v/>
      </c>
      <c r="AX956" s="304" t="str">
        <f t="shared" si="645"/>
        <v/>
      </c>
      <c r="AY956" s="28"/>
      <c r="AZ956" s="304" t="str">
        <f t="shared" si="646"/>
        <v/>
      </c>
      <c r="BA956" s="304" t="str">
        <f t="shared" si="646"/>
        <v/>
      </c>
      <c r="BB956" s="28"/>
      <c r="BC956" s="304" t="str">
        <f t="shared" si="647"/>
        <v/>
      </c>
      <c r="BD956" s="304" t="str">
        <f t="shared" si="647"/>
        <v/>
      </c>
      <c r="BE956" s="28"/>
      <c r="BF956" s="304">
        <f t="shared" si="648"/>
        <v>1.5033043125000001</v>
      </c>
      <c r="BG956" s="304">
        <f t="shared" si="648"/>
        <v>1.5033043125000001</v>
      </c>
      <c r="BH956" s="28"/>
      <c r="BI956" s="304" t="str">
        <f t="shared" si="649"/>
        <v/>
      </c>
      <c r="BJ956" s="304" t="str">
        <f t="shared" si="649"/>
        <v/>
      </c>
      <c r="BK956" s="28"/>
      <c r="BL956" s="304" t="str">
        <f t="shared" si="650"/>
        <v/>
      </c>
      <c r="BM956" s="304" t="str">
        <f t="shared" si="650"/>
        <v/>
      </c>
      <c r="BN956" s="28"/>
      <c r="BO956" s="304" t="str">
        <f t="shared" si="651"/>
        <v/>
      </c>
      <c r="BP956" s="304" t="str">
        <f t="shared" si="651"/>
        <v/>
      </c>
      <c r="BQ956" s="28"/>
      <c r="BR956" s="304" t="str">
        <f t="shared" si="652"/>
        <v/>
      </c>
      <c r="BS956" s="304" t="str">
        <f t="shared" si="652"/>
        <v/>
      </c>
      <c r="BT956" s="28"/>
      <c r="BU956" s="304" t="str">
        <f t="shared" si="653"/>
        <v/>
      </c>
      <c r="BV956" s="304" t="str">
        <f t="shared" si="653"/>
        <v/>
      </c>
      <c r="BW956" s="28"/>
      <c r="BX956" s="91"/>
    </row>
    <row r="957" spans="1:76" s="55" customFormat="1" x14ac:dyDescent="0.25">
      <c r="A957" s="195">
        <v>40</v>
      </c>
      <c r="B957" s="216" t="str">
        <f t="shared" si="642"/>
        <v>Middle East and Africa: FAO. 2017. Reducing Enteric Methane for improving food security and livelihoods</v>
      </c>
      <c r="C957" s="219" t="s">
        <v>488</v>
      </c>
      <c r="D957" s="379" t="s">
        <v>520</v>
      </c>
      <c r="E957" s="219" t="s">
        <v>99</v>
      </c>
      <c r="F957" s="330" t="s">
        <v>521</v>
      </c>
      <c r="G957" s="220" t="s">
        <v>26</v>
      </c>
      <c r="H957" s="221">
        <v>2017</v>
      </c>
      <c r="I957" s="240"/>
      <c r="J957" s="377">
        <v>124.7</v>
      </c>
      <c r="K957" s="382" t="s">
        <v>489</v>
      </c>
      <c r="L957" s="383">
        <f>J957*(1-0.189)*0.001*0.93/0.032</f>
        <v>2.9391400312499996</v>
      </c>
      <c r="M957" s="335" t="str">
        <f>'[1]Advanced Controls'!$I$158</f>
        <v>t CH4-CO2eq per kg of protein</v>
      </c>
      <c r="N957" s="238"/>
      <c r="O957" s="227" t="s">
        <v>574</v>
      </c>
      <c r="P957" s="122"/>
      <c r="Q957" s="228"/>
      <c r="R957" s="231">
        <f t="shared" si="654"/>
        <v>2.9391400312499996</v>
      </c>
      <c r="S957" s="230" t="str">
        <f t="shared" si="643"/>
        <v/>
      </c>
      <c r="T957" s="231" t="str">
        <f t="shared" si="655"/>
        <v/>
      </c>
      <c r="U957" s="232" t="str">
        <f t="shared" si="644"/>
        <v>t CH4-CO2eq per kg of protein</v>
      </c>
      <c r="V957" s="28"/>
      <c r="W957" s="28"/>
      <c r="Y957" s="91"/>
      <c r="AO957" s="91"/>
      <c r="AP957" s="28"/>
      <c r="AQ957" s="28"/>
      <c r="AR957" s="237"/>
      <c r="AS957" s="28"/>
      <c r="AT957" s="304" t="str">
        <f t="shared" si="656"/>
        <v/>
      </c>
      <c r="AU957" s="304" t="str">
        <f t="shared" si="656"/>
        <v/>
      </c>
      <c r="AV957" s="28"/>
      <c r="AW957" s="304" t="str">
        <f t="shared" si="645"/>
        <v/>
      </c>
      <c r="AX957" s="304" t="str">
        <f t="shared" si="645"/>
        <v/>
      </c>
      <c r="AY957" s="28"/>
      <c r="AZ957" s="304" t="str">
        <f t="shared" si="646"/>
        <v/>
      </c>
      <c r="BA957" s="304" t="str">
        <f t="shared" si="646"/>
        <v/>
      </c>
      <c r="BB957" s="28"/>
      <c r="BC957" s="304" t="str">
        <f t="shared" si="647"/>
        <v/>
      </c>
      <c r="BD957" s="304" t="str">
        <f t="shared" si="647"/>
        <v/>
      </c>
      <c r="BE957" s="28"/>
      <c r="BF957" s="304">
        <f t="shared" si="648"/>
        <v>2.9391400312499996</v>
      </c>
      <c r="BG957" s="304" t="str">
        <f t="shared" si="648"/>
        <v/>
      </c>
      <c r="BH957" s="28"/>
      <c r="BI957" s="304" t="str">
        <f t="shared" si="649"/>
        <v/>
      </c>
      <c r="BJ957" s="304" t="str">
        <f t="shared" si="649"/>
        <v/>
      </c>
      <c r="BK957" s="28"/>
      <c r="BL957" s="304" t="str">
        <f t="shared" si="650"/>
        <v/>
      </c>
      <c r="BM957" s="304" t="str">
        <f t="shared" si="650"/>
        <v/>
      </c>
      <c r="BN957" s="28"/>
      <c r="BO957" s="304" t="str">
        <f t="shared" si="651"/>
        <v/>
      </c>
      <c r="BP957" s="304" t="str">
        <f t="shared" si="651"/>
        <v/>
      </c>
      <c r="BQ957" s="28"/>
      <c r="BR957" s="304" t="str">
        <f t="shared" si="652"/>
        <v/>
      </c>
      <c r="BS957" s="304" t="str">
        <f t="shared" si="652"/>
        <v/>
      </c>
      <c r="BT957" s="28"/>
      <c r="BU957" s="304" t="str">
        <f t="shared" si="653"/>
        <v/>
      </c>
      <c r="BV957" s="304" t="str">
        <f t="shared" si="653"/>
        <v/>
      </c>
      <c r="BW957" s="28"/>
      <c r="BX957" s="91"/>
    </row>
    <row r="958" spans="1:76" s="55" customFormat="1" x14ac:dyDescent="0.25">
      <c r="A958" s="195">
        <v>41</v>
      </c>
      <c r="B958" s="216" t="str">
        <f t="shared" si="642"/>
        <v>Middle East and Africa: FAO. 2017. Reducing Enteric Methane for improving food security and livelihoods</v>
      </c>
      <c r="C958" s="219" t="s">
        <v>488</v>
      </c>
      <c r="D958" s="379" t="s">
        <v>520</v>
      </c>
      <c r="E958" s="219" t="s">
        <v>99</v>
      </c>
      <c r="F958" s="330" t="s">
        <v>521</v>
      </c>
      <c r="G958" s="220" t="s">
        <v>26</v>
      </c>
      <c r="H958" s="221">
        <v>2017</v>
      </c>
      <c r="I958" s="240"/>
      <c r="J958" s="377">
        <v>61.8</v>
      </c>
      <c r="K958" s="382" t="s">
        <v>489</v>
      </c>
      <c r="L958" s="383">
        <f>J958*(1-0.258)*0.001*0.93/0.032</f>
        <v>1.332678375</v>
      </c>
      <c r="M958" s="335" t="str">
        <f>'[1]Advanced Controls'!$I$158</f>
        <v>t CH4-CO2eq per kg of protein</v>
      </c>
      <c r="N958" s="238"/>
      <c r="O958" s="227" t="s">
        <v>575</v>
      </c>
      <c r="P958" s="122"/>
      <c r="Q958" s="228"/>
      <c r="R958" s="231">
        <f t="shared" si="654"/>
        <v>1.332678375</v>
      </c>
      <c r="S958" s="230">
        <f t="shared" si="643"/>
        <v>1.332678375</v>
      </c>
      <c r="T958" s="231" t="str">
        <f t="shared" si="655"/>
        <v/>
      </c>
      <c r="U958" s="232" t="str">
        <f t="shared" si="644"/>
        <v>t CH4-CO2eq per kg of protein</v>
      </c>
      <c r="V958" s="28"/>
      <c r="W958" s="28"/>
      <c r="Y958" s="91"/>
      <c r="AO958" s="91"/>
      <c r="AP958" s="28"/>
      <c r="AQ958" s="28"/>
      <c r="AR958" s="237"/>
      <c r="AS958" s="28"/>
      <c r="AT958" s="304" t="str">
        <f t="shared" si="656"/>
        <v/>
      </c>
      <c r="AU958" s="304" t="str">
        <f t="shared" si="656"/>
        <v/>
      </c>
      <c r="AV958" s="28"/>
      <c r="AW958" s="304" t="str">
        <f t="shared" si="645"/>
        <v/>
      </c>
      <c r="AX958" s="304" t="str">
        <f t="shared" si="645"/>
        <v/>
      </c>
      <c r="AY958" s="28"/>
      <c r="AZ958" s="304" t="str">
        <f t="shared" si="646"/>
        <v/>
      </c>
      <c r="BA958" s="304" t="str">
        <f t="shared" si="646"/>
        <v/>
      </c>
      <c r="BB958" s="28"/>
      <c r="BC958" s="304" t="str">
        <f t="shared" si="647"/>
        <v/>
      </c>
      <c r="BD958" s="304" t="str">
        <f t="shared" si="647"/>
        <v/>
      </c>
      <c r="BE958" s="28"/>
      <c r="BF958" s="304">
        <f t="shared" si="648"/>
        <v>1.332678375</v>
      </c>
      <c r="BG958" s="304">
        <f t="shared" si="648"/>
        <v>1.332678375</v>
      </c>
      <c r="BH958" s="28"/>
      <c r="BI958" s="304" t="str">
        <f t="shared" si="649"/>
        <v/>
      </c>
      <c r="BJ958" s="304" t="str">
        <f t="shared" si="649"/>
        <v/>
      </c>
      <c r="BK958" s="28"/>
      <c r="BL958" s="304" t="str">
        <f t="shared" si="650"/>
        <v/>
      </c>
      <c r="BM958" s="304" t="str">
        <f t="shared" si="650"/>
        <v/>
      </c>
      <c r="BN958" s="28"/>
      <c r="BO958" s="304" t="str">
        <f t="shared" si="651"/>
        <v/>
      </c>
      <c r="BP958" s="304" t="str">
        <f t="shared" si="651"/>
        <v/>
      </c>
      <c r="BQ958" s="28"/>
      <c r="BR958" s="304" t="str">
        <f t="shared" si="652"/>
        <v/>
      </c>
      <c r="BS958" s="304" t="str">
        <f t="shared" si="652"/>
        <v/>
      </c>
      <c r="BT958" s="28"/>
      <c r="BU958" s="304" t="str">
        <f t="shared" si="653"/>
        <v/>
      </c>
      <c r="BV958" s="304" t="str">
        <f t="shared" si="653"/>
        <v/>
      </c>
      <c r="BW958" s="28"/>
      <c r="BX958" s="91"/>
    </row>
    <row r="959" spans="1:76" s="55" customFormat="1" x14ac:dyDescent="0.25">
      <c r="A959" s="195">
        <v>42</v>
      </c>
      <c r="B959" s="216" t="str">
        <f t="shared" si="642"/>
        <v>Middle East and Africa: FAO. 2017. Reducing Enteric Methane for improving food security and livelihoods</v>
      </c>
      <c r="C959" s="219" t="s">
        <v>488</v>
      </c>
      <c r="D959" s="379" t="s">
        <v>522</v>
      </c>
      <c r="E959" s="219" t="s">
        <v>99</v>
      </c>
      <c r="F959" s="330" t="s">
        <v>523</v>
      </c>
      <c r="G959" s="220" t="s">
        <v>26</v>
      </c>
      <c r="H959" s="221">
        <v>2017</v>
      </c>
      <c r="I959" s="240"/>
      <c r="J959" s="377">
        <v>51</v>
      </c>
      <c r="K959" s="382" t="s">
        <v>489</v>
      </c>
      <c r="L959" s="383">
        <f>J959*(1-0.152)*0.001*0.93/0.032</f>
        <v>1.2568950000000001</v>
      </c>
      <c r="M959" s="335" t="str">
        <f>'[1]Advanced Controls'!$I$158</f>
        <v>t CH4-CO2eq per kg of protein</v>
      </c>
      <c r="N959" s="238"/>
      <c r="O959" s="227" t="s">
        <v>571</v>
      </c>
      <c r="P959" s="122"/>
      <c r="Q959" s="228"/>
      <c r="R959" s="231">
        <f t="shared" si="654"/>
        <v>1.2568950000000001</v>
      </c>
      <c r="S959" s="230">
        <f t="shared" si="643"/>
        <v>1.2568950000000001</v>
      </c>
      <c r="T959" s="231">
        <f t="shared" si="655"/>
        <v>0</v>
      </c>
      <c r="U959" s="232" t="str">
        <f t="shared" si="644"/>
        <v>t CH4-CO2eq per kg of protein</v>
      </c>
      <c r="V959" s="28"/>
      <c r="W959" s="28"/>
      <c r="Y959" s="91"/>
      <c r="AO959" s="91"/>
      <c r="AP959" s="28"/>
      <c r="AQ959" s="28"/>
      <c r="AR959" s="237"/>
      <c r="AS959" s="28"/>
      <c r="AT959" s="304" t="str">
        <f t="shared" si="656"/>
        <v/>
      </c>
      <c r="AU959" s="304" t="str">
        <f t="shared" si="656"/>
        <v/>
      </c>
      <c r="AV959" s="28"/>
      <c r="AW959" s="304" t="str">
        <f t="shared" si="645"/>
        <v/>
      </c>
      <c r="AX959" s="304" t="str">
        <f t="shared" si="645"/>
        <v/>
      </c>
      <c r="AY959" s="28"/>
      <c r="AZ959" s="304" t="str">
        <f t="shared" si="646"/>
        <v/>
      </c>
      <c r="BA959" s="304" t="str">
        <f t="shared" si="646"/>
        <v/>
      </c>
      <c r="BB959" s="28"/>
      <c r="BC959" s="304" t="str">
        <f t="shared" si="647"/>
        <v/>
      </c>
      <c r="BD959" s="304" t="str">
        <f t="shared" si="647"/>
        <v/>
      </c>
      <c r="BE959" s="28"/>
      <c r="BF959" s="304">
        <f t="shared" si="648"/>
        <v>1.2568950000000001</v>
      </c>
      <c r="BG959" s="304">
        <f t="shared" si="648"/>
        <v>1.2568950000000001</v>
      </c>
      <c r="BH959" s="28"/>
      <c r="BI959" s="304" t="str">
        <f t="shared" si="649"/>
        <v/>
      </c>
      <c r="BJ959" s="304" t="str">
        <f t="shared" si="649"/>
        <v/>
      </c>
      <c r="BK959" s="28"/>
      <c r="BL959" s="304" t="str">
        <f t="shared" si="650"/>
        <v/>
      </c>
      <c r="BM959" s="304" t="str">
        <f t="shared" si="650"/>
        <v/>
      </c>
      <c r="BN959" s="28"/>
      <c r="BO959" s="304" t="str">
        <f t="shared" si="651"/>
        <v/>
      </c>
      <c r="BP959" s="304" t="str">
        <f t="shared" si="651"/>
        <v/>
      </c>
      <c r="BQ959" s="28"/>
      <c r="BR959" s="304" t="str">
        <f t="shared" si="652"/>
        <v/>
      </c>
      <c r="BS959" s="304" t="str">
        <f t="shared" si="652"/>
        <v/>
      </c>
      <c r="BT959" s="28"/>
      <c r="BU959" s="304" t="str">
        <f t="shared" si="653"/>
        <v/>
      </c>
      <c r="BV959" s="304" t="str">
        <f t="shared" si="653"/>
        <v/>
      </c>
      <c r="BW959" s="28"/>
      <c r="BX959" s="91"/>
    </row>
    <row r="960" spans="1:76" s="55" customFormat="1" x14ac:dyDescent="0.25">
      <c r="A960" s="195">
        <v>43</v>
      </c>
      <c r="B960" s="216" t="str">
        <f t="shared" si="642"/>
        <v>Middle East and Africa: FAO. 2017. Reducing Enteric Methane for improving food security and livelihoods</v>
      </c>
      <c r="C960" s="219" t="s">
        <v>488</v>
      </c>
      <c r="D960" s="379" t="s">
        <v>522</v>
      </c>
      <c r="E960" s="219" t="s">
        <v>99</v>
      </c>
      <c r="F960" s="330" t="s">
        <v>523</v>
      </c>
      <c r="G960" s="220" t="s">
        <v>26</v>
      </c>
      <c r="H960" s="221">
        <v>2017</v>
      </c>
      <c r="I960" s="240"/>
      <c r="J960" s="377">
        <v>35.1</v>
      </c>
      <c r="K960" s="382" t="s">
        <v>489</v>
      </c>
      <c r="L960" s="383">
        <f>J960*(1-0.185)*0.001*0.93/0.032</f>
        <v>0.83137640624999998</v>
      </c>
      <c r="M960" s="335" t="str">
        <f>'[1]Advanced Controls'!$I$158</f>
        <v>t CH4-CO2eq per kg of protein</v>
      </c>
      <c r="N960" s="238"/>
      <c r="O960" s="227" t="s">
        <v>572</v>
      </c>
      <c r="P960" s="122"/>
      <c r="Q960" s="228"/>
      <c r="R960" s="231">
        <f t="shared" si="654"/>
        <v>0.83137640624999998</v>
      </c>
      <c r="S960" s="230">
        <f t="shared" si="643"/>
        <v>0.83137640624999998</v>
      </c>
      <c r="T960" s="231" t="str">
        <f t="shared" si="655"/>
        <v/>
      </c>
      <c r="U960" s="232" t="str">
        <f t="shared" si="644"/>
        <v>t CH4-CO2eq per kg of protein</v>
      </c>
      <c r="V960" s="28"/>
      <c r="W960" s="28"/>
      <c r="Y960" s="91"/>
      <c r="AO960" s="91"/>
      <c r="AP960" s="28"/>
      <c r="AQ960" s="28"/>
      <c r="AR960" s="237"/>
      <c r="AS960" s="28"/>
      <c r="AT960" s="304" t="str">
        <f t="shared" si="656"/>
        <v/>
      </c>
      <c r="AU960" s="304" t="str">
        <f t="shared" si="656"/>
        <v/>
      </c>
      <c r="AV960" s="28"/>
      <c r="AW960" s="304" t="str">
        <f t="shared" si="645"/>
        <v/>
      </c>
      <c r="AX960" s="304" t="str">
        <f t="shared" si="645"/>
        <v/>
      </c>
      <c r="AY960" s="28"/>
      <c r="AZ960" s="304" t="str">
        <f t="shared" si="646"/>
        <v/>
      </c>
      <c r="BA960" s="304" t="str">
        <f t="shared" si="646"/>
        <v/>
      </c>
      <c r="BB960" s="28"/>
      <c r="BC960" s="304" t="str">
        <f t="shared" si="647"/>
        <v/>
      </c>
      <c r="BD960" s="304" t="str">
        <f t="shared" si="647"/>
        <v/>
      </c>
      <c r="BE960" s="28"/>
      <c r="BF960" s="304">
        <f t="shared" si="648"/>
        <v>0.83137640624999998</v>
      </c>
      <c r="BG960" s="304">
        <f t="shared" si="648"/>
        <v>0.83137640624999998</v>
      </c>
      <c r="BH960" s="28"/>
      <c r="BI960" s="304" t="str">
        <f t="shared" si="649"/>
        <v/>
      </c>
      <c r="BJ960" s="304" t="str">
        <f t="shared" si="649"/>
        <v/>
      </c>
      <c r="BK960" s="28"/>
      <c r="BL960" s="304" t="str">
        <f t="shared" si="650"/>
        <v/>
      </c>
      <c r="BM960" s="304" t="str">
        <f t="shared" si="650"/>
        <v/>
      </c>
      <c r="BN960" s="28"/>
      <c r="BO960" s="304" t="str">
        <f t="shared" si="651"/>
        <v/>
      </c>
      <c r="BP960" s="304" t="str">
        <f t="shared" si="651"/>
        <v/>
      </c>
      <c r="BQ960" s="28"/>
      <c r="BR960" s="304" t="str">
        <f t="shared" si="652"/>
        <v/>
      </c>
      <c r="BS960" s="304" t="str">
        <f t="shared" si="652"/>
        <v/>
      </c>
      <c r="BT960" s="28"/>
      <c r="BU960" s="304" t="str">
        <f t="shared" si="653"/>
        <v/>
      </c>
      <c r="BV960" s="304" t="str">
        <f t="shared" si="653"/>
        <v/>
      </c>
      <c r="BW960" s="28"/>
      <c r="BX960" s="91"/>
    </row>
    <row r="961" spans="1:76" s="55" customFormat="1" x14ac:dyDescent="0.25">
      <c r="A961" s="195">
        <v>44</v>
      </c>
      <c r="B961" s="216" t="str">
        <f t="shared" si="642"/>
        <v>Middle East and Africa: FAO. 2017. Reducing Enteric Methane for improving food security and livelihoods</v>
      </c>
      <c r="C961" s="219" t="s">
        <v>488</v>
      </c>
      <c r="D961" s="379" t="s">
        <v>522</v>
      </c>
      <c r="E961" s="219" t="s">
        <v>99</v>
      </c>
      <c r="F961" s="330" t="s">
        <v>523</v>
      </c>
      <c r="G961" s="220" t="s">
        <v>26</v>
      </c>
      <c r="H961" s="221">
        <v>2017</v>
      </c>
      <c r="I961" s="240"/>
      <c r="J961" s="377">
        <v>51</v>
      </c>
      <c r="K961" s="382" t="s">
        <v>489</v>
      </c>
      <c r="L961" s="383">
        <f>J961*(1-0.142)*0.001*0.93/0.032</f>
        <v>1.2717168750000001</v>
      </c>
      <c r="M961" s="335" t="str">
        <f>'[1]Advanced Controls'!$I$158</f>
        <v>t CH4-CO2eq per kg of protein</v>
      </c>
      <c r="N961" s="238"/>
      <c r="O961" s="227" t="s">
        <v>573</v>
      </c>
      <c r="P961" s="122"/>
      <c r="Q961" s="228"/>
      <c r="R961" s="231">
        <f t="shared" si="654"/>
        <v>1.2717168750000001</v>
      </c>
      <c r="S961" s="230">
        <f t="shared" si="643"/>
        <v>1.2717168750000001</v>
      </c>
      <c r="T961" s="231" t="str">
        <f t="shared" si="655"/>
        <v/>
      </c>
      <c r="U961" s="232" t="str">
        <f t="shared" si="644"/>
        <v>t CH4-CO2eq per kg of protein</v>
      </c>
      <c r="V961" s="28"/>
      <c r="W961" s="28"/>
      <c r="Y961" s="91"/>
      <c r="AO961" s="91"/>
      <c r="AP961" s="28"/>
      <c r="AQ961" s="28"/>
      <c r="AR961" s="237"/>
      <c r="AS961" s="28"/>
      <c r="AT961" s="304" t="str">
        <f t="shared" si="656"/>
        <v/>
      </c>
      <c r="AU961" s="304" t="str">
        <f t="shared" si="656"/>
        <v/>
      </c>
      <c r="AV961" s="28"/>
      <c r="AW961" s="304" t="str">
        <f t="shared" si="645"/>
        <v/>
      </c>
      <c r="AX961" s="304" t="str">
        <f t="shared" si="645"/>
        <v/>
      </c>
      <c r="AY961" s="28"/>
      <c r="AZ961" s="304" t="str">
        <f t="shared" si="646"/>
        <v/>
      </c>
      <c r="BA961" s="304" t="str">
        <f t="shared" si="646"/>
        <v/>
      </c>
      <c r="BB961" s="28"/>
      <c r="BC961" s="304" t="str">
        <f t="shared" si="647"/>
        <v/>
      </c>
      <c r="BD961" s="304" t="str">
        <f t="shared" si="647"/>
        <v/>
      </c>
      <c r="BE961" s="28"/>
      <c r="BF961" s="304">
        <f t="shared" si="648"/>
        <v>1.2717168750000001</v>
      </c>
      <c r="BG961" s="304">
        <f t="shared" si="648"/>
        <v>1.2717168750000001</v>
      </c>
      <c r="BH961" s="28"/>
      <c r="BI961" s="304" t="str">
        <f t="shared" si="649"/>
        <v/>
      </c>
      <c r="BJ961" s="304" t="str">
        <f t="shared" si="649"/>
        <v/>
      </c>
      <c r="BK961" s="28"/>
      <c r="BL961" s="304" t="str">
        <f t="shared" si="650"/>
        <v/>
      </c>
      <c r="BM961" s="304" t="str">
        <f t="shared" si="650"/>
        <v/>
      </c>
      <c r="BN961" s="28"/>
      <c r="BO961" s="304" t="str">
        <f t="shared" si="651"/>
        <v/>
      </c>
      <c r="BP961" s="304" t="str">
        <f t="shared" si="651"/>
        <v/>
      </c>
      <c r="BQ961" s="28"/>
      <c r="BR961" s="304" t="str">
        <f t="shared" si="652"/>
        <v/>
      </c>
      <c r="BS961" s="304" t="str">
        <f t="shared" si="652"/>
        <v/>
      </c>
      <c r="BT961" s="28"/>
      <c r="BU961" s="304" t="str">
        <f t="shared" si="653"/>
        <v/>
      </c>
      <c r="BV961" s="304" t="str">
        <f t="shared" si="653"/>
        <v/>
      </c>
      <c r="BW961" s="28"/>
      <c r="BX961" s="91"/>
    </row>
    <row r="962" spans="1:76" s="55" customFormat="1" x14ac:dyDescent="0.25">
      <c r="A962" s="195">
        <v>45</v>
      </c>
      <c r="B962" s="216" t="str">
        <f t="shared" si="642"/>
        <v>Middle East and Africa: FAO. 2017. Reducing Enteric Methane for improving food security and livelihoods</v>
      </c>
      <c r="C962" s="219" t="s">
        <v>488</v>
      </c>
      <c r="D962" s="379" t="s">
        <v>522</v>
      </c>
      <c r="E962" s="219" t="s">
        <v>99</v>
      </c>
      <c r="F962" s="330" t="s">
        <v>523</v>
      </c>
      <c r="G962" s="220" t="s">
        <v>26</v>
      </c>
      <c r="H962" s="221">
        <v>2017</v>
      </c>
      <c r="I962" s="240"/>
      <c r="J962" s="377">
        <v>35.1</v>
      </c>
      <c r="K962" s="382" t="s">
        <v>489</v>
      </c>
      <c r="L962" s="383">
        <f>J962*(1-0.158)*0.001*0.93/0.032</f>
        <v>0.85891893750000015</v>
      </c>
      <c r="M962" s="335" t="str">
        <f>'[1]Advanced Controls'!$I$158</f>
        <v>t CH4-CO2eq per kg of protein</v>
      </c>
      <c r="N962" s="238"/>
      <c r="O962" s="227" t="s">
        <v>574</v>
      </c>
      <c r="P962" s="122"/>
      <c r="Q962" s="228"/>
      <c r="R962" s="231">
        <f t="shared" si="654"/>
        <v>0.85891893750000015</v>
      </c>
      <c r="S962" s="230">
        <f t="shared" si="643"/>
        <v>0.85891893750000015</v>
      </c>
      <c r="T962" s="231" t="str">
        <f t="shared" si="655"/>
        <v/>
      </c>
      <c r="U962" s="232" t="str">
        <f t="shared" si="644"/>
        <v>t CH4-CO2eq per kg of protein</v>
      </c>
      <c r="V962" s="28"/>
      <c r="W962" s="28"/>
      <c r="Y962" s="91"/>
      <c r="AO962" s="91"/>
      <c r="AP962" s="28"/>
      <c r="AQ962" s="28"/>
      <c r="AR962" s="237"/>
      <c r="AS962" s="28"/>
      <c r="AT962" s="304" t="str">
        <f t="shared" si="656"/>
        <v/>
      </c>
      <c r="AU962" s="304" t="str">
        <f t="shared" si="656"/>
        <v/>
      </c>
      <c r="AV962" s="28"/>
      <c r="AW962" s="304" t="str">
        <f t="shared" si="645"/>
        <v/>
      </c>
      <c r="AX962" s="304" t="str">
        <f t="shared" si="645"/>
        <v/>
      </c>
      <c r="AY962" s="28"/>
      <c r="AZ962" s="304" t="str">
        <f t="shared" si="646"/>
        <v/>
      </c>
      <c r="BA962" s="304" t="str">
        <f t="shared" si="646"/>
        <v/>
      </c>
      <c r="BB962" s="28"/>
      <c r="BC962" s="304" t="str">
        <f t="shared" si="647"/>
        <v/>
      </c>
      <c r="BD962" s="304" t="str">
        <f t="shared" si="647"/>
        <v/>
      </c>
      <c r="BE962" s="28"/>
      <c r="BF962" s="304">
        <f t="shared" si="648"/>
        <v>0.85891893750000015</v>
      </c>
      <c r="BG962" s="304">
        <f t="shared" si="648"/>
        <v>0.85891893750000015</v>
      </c>
      <c r="BH962" s="28"/>
      <c r="BI962" s="304" t="str">
        <f t="shared" si="649"/>
        <v/>
      </c>
      <c r="BJ962" s="304" t="str">
        <f t="shared" si="649"/>
        <v/>
      </c>
      <c r="BK962" s="28"/>
      <c r="BL962" s="304" t="str">
        <f t="shared" si="650"/>
        <v/>
      </c>
      <c r="BM962" s="304" t="str">
        <f t="shared" si="650"/>
        <v/>
      </c>
      <c r="BN962" s="28"/>
      <c r="BO962" s="304" t="str">
        <f t="shared" si="651"/>
        <v/>
      </c>
      <c r="BP962" s="304" t="str">
        <f t="shared" si="651"/>
        <v/>
      </c>
      <c r="BQ962" s="28"/>
      <c r="BR962" s="304" t="str">
        <f t="shared" si="652"/>
        <v/>
      </c>
      <c r="BS962" s="304" t="str">
        <f t="shared" si="652"/>
        <v/>
      </c>
      <c r="BT962" s="28"/>
      <c r="BU962" s="304" t="str">
        <f t="shared" si="653"/>
        <v/>
      </c>
      <c r="BV962" s="304" t="str">
        <f t="shared" si="653"/>
        <v/>
      </c>
      <c r="BW962" s="28"/>
      <c r="BX962" s="91"/>
    </row>
    <row r="963" spans="1:76" s="55" customFormat="1" x14ac:dyDescent="0.25">
      <c r="A963" s="195">
        <v>46</v>
      </c>
      <c r="B963" s="216" t="str">
        <f t="shared" si="642"/>
        <v>Middle East and Africa: FAO. 2017. Reducing Enteric Methane for improving food security and livelihoods</v>
      </c>
      <c r="C963" s="219" t="s">
        <v>488</v>
      </c>
      <c r="D963" s="379" t="s">
        <v>522</v>
      </c>
      <c r="E963" s="219" t="s">
        <v>99</v>
      </c>
      <c r="F963" s="330" t="s">
        <v>523</v>
      </c>
      <c r="G963" s="220" t="s">
        <v>26</v>
      </c>
      <c r="H963" s="221">
        <v>2017</v>
      </c>
      <c r="I963" s="240"/>
      <c r="J963" s="377">
        <v>51</v>
      </c>
      <c r="K963" s="382" t="s">
        <v>489</v>
      </c>
      <c r="L963" s="383">
        <f>J963*(1-0.268)*0.001*0.93/0.032</f>
        <v>1.0849612500000003</v>
      </c>
      <c r="M963" s="335" t="str">
        <f>'[1]Advanced Controls'!$I$158</f>
        <v>t CH4-CO2eq per kg of protein</v>
      </c>
      <c r="N963" s="238"/>
      <c r="O963" s="227" t="s">
        <v>575</v>
      </c>
      <c r="P963" s="122"/>
      <c r="Q963" s="228"/>
      <c r="R963" s="231">
        <f t="shared" si="654"/>
        <v>1.0849612500000003</v>
      </c>
      <c r="S963" s="230">
        <f t="shared" si="643"/>
        <v>1.0849612500000003</v>
      </c>
      <c r="T963" s="231" t="str">
        <f t="shared" si="655"/>
        <v/>
      </c>
      <c r="U963" s="232" t="str">
        <f t="shared" si="644"/>
        <v>t CH4-CO2eq per kg of protein</v>
      </c>
      <c r="V963" s="28"/>
      <c r="W963" s="28"/>
      <c r="Y963" s="91"/>
      <c r="AO963" s="91"/>
      <c r="AP963" s="28"/>
      <c r="AQ963" s="28"/>
      <c r="AR963" s="237"/>
      <c r="AS963" s="28"/>
      <c r="AT963" s="304" t="str">
        <f t="shared" si="656"/>
        <v/>
      </c>
      <c r="AU963" s="304" t="str">
        <f t="shared" si="656"/>
        <v/>
      </c>
      <c r="AV963" s="28"/>
      <c r="AW963" s="304" t="str">
        <f t="shared" si="645"/>
        <v/>
      </c>
      <c r="AX963" s="304" t="str">
        <f t="shared" si="645"/>
        <v/>
      </c>
      <c r="AY963" s="28"/>
      <c r="AZ963" s="304" t="str">
        <f t="shared" si="646"/>
        <v/>
      </c>
      <c r="BA963" s="304" t="str">
        <f t="shared" si="646"/>
        <v/>
      </c>
      <c r="BB963" s="28"/>
      <c r="BC963" s="304" t="str">
        <f t="shared" si="647"/>
        <v/>
      </c>
      <c r="BD963" s="304" t="str">
        <f t="shared" si="647"/>
        <v/>
      </c>
      <c r="BE963" s="28"/>
      <c r="BF963" s="304">
        <f t="shared" si="648"/>
        <v>1.0849612500000003</v>
      </c>
      <c r="BG963" s="304">
        <f t="shared" si="648"/>
        <v>1.0849612500000003</v>
      </c>
      <c r="BH963" s="28"/>
      <c r="BI963" s="304" t="str">
        <f t="shared" si="649"/>
        <v/>
      </c>
      <c r="BJ963" s="304" t="str">
        <f t="shared" si="649"/>
        <v/>
      </c>
      <c r="BK963" s="28"/>
      <c r="BL963" s="304" t="str">
        <f t="shared" si="650"/>
        <v/>
      </c>
      <c r="BM963" s="304" t="str">
        <f t="shared" si="650"/>
        <v/>
      </c>
      <c r="BN963" s="28"/>
      <c r="BO963" s="304" t="str">
        <f t="shared" si="651"/>
        <v/>
      </c>
      <c r="BP963" s="304" t="str">
        <f t="shared" si="651"/>
        <v/>
      </c>
      <c r="BQ963" s="28"/>
      <c r="BR963" s="304" t="str">
        <f t="shared" si="652"/>
        <v/>
      </c>
      <c r="BS963" s="304" t="str">
        <f t="shared" si="652"/>
        <v/>
      </c>
      <c r="BT963" s="28"/>
      <c r="BU963" s="304" t="str">
        <f t="shared" si="653"/>
        <v/>
      </c>
      <c r="BV963" s="304" t="str">
        <f t="shared" si="653"/>
        <v/>
      </c>
      <c r="BW963" s="28"/>
      <c r="BX963" s="91"/>
    </row>
    <row r="964" spans="1:76" s="55" customFormat="1" x14ac:dyDescent="0.25">
      <c r="A964" s="195">
        <v>47</v>
      </c>
      <c r="B964" s="216" t="str">
        <f t="shared" si="642"/>
        <v>Middle East and Africa: FAO. 2017. Reducing Enteric Methane for improving food security and livelihoods</v>
      </c>
      <c r="C964" s="219" t="s">
        <v>488</v>
      </c>
      <c r="D964" s="379" t="s">
        <v>524</v>
      </c>
      <c r="E964" s="219" t="s">
        <v>99</v>
      </c>
      <c r="F964" s="330" t="s">
        <v>525</v>
      </c>
      <c r="G964" s="220" t="s">
        <v>26</v>
      </c>
      <c r="H964" s="221">
        <v>2017</v>
      </c>
      <c r="I964" s="240"/>
      <c r="J964" s="377">
        <v>11.9</v>
      </c>
      <c r="K964" s="382" t="s">
        <v>489</v>
      </c>
      <c r="L964" s="383">
        <f>J964*(1-0.173)*0.001*0.93/0.032</f>
        <v>0.28601278125000007</v>
      </c>
      <c r="M964" s="335" t="str">
        <f>'[1]Advanced Controls'!$I$158</f>
        <v>t CH4-CO2eq per kg of protein</v>
      </c>
      <c r="N964" s="238"/>
      <c r="O964" s="227" t="s">
        <v>571</v>
      </c>
      <c r="P964" s="122"/>
      <c r="Q964" s="228"/>
      <c r="R964" s="231">
        <f t="shared" si="654"/>
        <v>0.28601278125000007</v>
      </c>
      <c r="S964" s="230">
        <f t="shared" si="643"/>
        <v>0.28601278125000007</v>
      </c>
      <c r="T964" s="231" t="str">
        <f t="shared" si="655"/>
        <v/>
      </c>
      <c r="U964" s="232" t="str">
        <f t="shared" si="644"/>
        <v>t CH4-CO2eq per kg of protein</v>
      </c>
      <c r="V964" s="28"/>
      <c r="W964" s="28"/>
      <c r="Y964" s="91"/>
      <c r="AO964" s="91"/>
      <c r="AP964" s="28"/>
      <c r="AQ964" s="28"/>
      <c r="AR964" s="237"/>
      <c r="AS964" s="28"/>
      <c r="AT964" s="304" t="str">
        <f t="shared" si="656"/>
        <v/>
      </c>
      <c r="AU964" s="304" t="str">
        <f t="shared" si="656"/>
        <v/>
      </c>
      <c r="AV964" s="28"/>
      <c r="AW964" s="304" t="str">
        <f t="shared" si="645"/>
        <v/>
      </c>
      <c r="AX964" s="304" t="str">
        <f t="shared" si="645"/>
        <v/>
      </c>
      <c r="AY964" s="28"/>
      <c r="AZ964" s="304" t="str">
        <f t="shared" si="646"/>
        <v/>
      </c>
      <c r="BA964" s="304" t="str">
        <f t="shared" si="646"/>
        <v/>
      </c>
      <c r="BB964" s="28"/>
      <c r="BC964" s="304" t="str">
        <f t="shared" si="647"/>
        <v/>
      </c>
      <c r="BD964" s="304" t="str">
        <f t="shared" si="647"/>
        <v/>
      </c>
      <c r="BE964" s="28"/>
      <c r="BF964" s="304">
        <f t="shared" si="648"/>
        <v>0.28601278125000007</v>
      </c>
      <c r="BG964" s="304">
        <f t="shared" si="648"/>
        <v>0.28601278125000007</v>
      </c>
      <c r="BH964" s="28"/>
      <c r="BI964" s="304" t="str">
        <f t="shared" si="649"/>
        <v/>
      </c>
      <c r="BJ964" s="304" t="str">
        <f t="shared" si="649"/>
        <v/>
      </c>
      <c r="BK964" s="28"/>
      <c r="BL964" s="304" t="str">
        <f t="shared" si="650"/>
        <v/>
      </c>
      <c r="BM964" s="304" t="str">
        <f t="shared" si="650"/>
        <v/>
      </c>
      <c r="BN964" s="28"/>
      <c r="BO964" s="304" t="str">
        <f t="shared" si="651"/>
        <v/>
      </c>
      <c r="BP964" s="304" t="str">
        <f t="shared" si="651"/>
        <v/>
      </c>
      <c r="BQ964" s="28"/>
      <c r="BR964" s="304" t="str">
        <f t="shared" si="652"/>
        <v/>
      </c>
      <c r="BS964" s="304" t="str">
        <f t="shared" si="652"/>
        <v/>
      </c>
      <c r="BT964" s="28"/>
      <c r="BU964" s="304" t="str">
        <f t="shared" si="653"/>
        <v/>
      </c>
      <c r="BV964" s="304" t="str">
        <f t="shared" si="653"/>
        <v/>
      </c>
      <c r="BW964" s="28"/>
      <c r="BX964" s="91"/>
    </row>
    <row r="965" spans="1:76" s="55" customFormat="1" x14ac:dyDescent="0.25">
      <c r="A965" s="195">
        <v>48</v>
      </c>
      <c r="B965" s="216" t="str">
        <f t="shared" si="642"/>
        <v>Middle East and Africa: FAO. 2017. Reducing Enteric Methane for improving food security and livelihoods</v>
      </c>
      <c r="C965" s="219" t="s">
        <v>488</v>
      </c>
      <c r="D965" s="379" t="s">
        <v>524</v>
      </c>
      <c r="E965" s="219" t="s">
        <v>99</v>
      </c>
      <c r="F965" s="330" t="s">
        <v>525</v>
      </c>
      <c r="G965" s="220" t="s">
        <v>26</v>
      </c>
      <c r="H965" s="221">
        <v>2017</v>
      </c>
      <c r="I965" s="240"/>
      <c r="J965" s="377">
        <v>21.1</v>
      </c>
      <c r="K965" s="382" t="s">
        <v>489</v>
      </c>
      <c r="L965" s="383">
        <f>J965*(1-0.231)*0.001*0.93/0.032</f>
        <v>0.47156521875000018</v>
      </c>
      <c r="M965" s="335" t="str">
        <f>'[1]Advanced Controls'!$I$158</f>
        <v>t CH4-CO2eq per kg of protein</v>
      </c>
      <c r="N965" s="238"/>
      <c r="O965" s="227" t="s">
        <v>572</v>
      </c>
      <c r="P965" s="122"/>
      <c r="Q965" s="228"/>
      <c r="R965" s="231">
        <f t="shared" si="654"/>
        <v>0.47156521875000018</v>
      </c>
      <c r="S965" s="230">
        <f t="shared" si="643"/>
        <v>0.47156521875000018</v>
      </c>
      <c r="T965" s="231" t="str">
        <f t="shared" si="655"/>
        <v/>
      </c>
      <c r="U965" s="232" t="str">
        <f t="shared" si="644"/>
        <v>t CH4-CO2eq per kg of protein</v>
      </c>
      <c r="V965" s="28"/>
      <c r="W965" s="28"/>
      <c r="Y965" s="91"/>
      <c r="AO965" s="91"/>
      <c r="AP965" s="28"/>
      <c r="AQ965" s="28"/>
      <c r="AR965" s="237"/>
      <c r="AS965" s="28"/>
      <c r="AT965" s="304" t="str">
        <f t="shared" si="656"/>
        <v/>
      </c>
      <c r="AU965" s="304" t="str">
        <f t="shared" si="656"/>
        <v/>
      </c>
      <c r="AV965" s="28"/>
      <c r="AW965" s="304" t="str">
        <f t="shared" si="645"/>
        <v/>
      </c>
      <c r="AX965" s="304" t="str">
        <f t="shared" si="645"/>
        <v/>
      </c>
      <c r="AY965" s="28"/>
      <c r="AZ965" s="304" t="str">
        <f t="shared" si="646"/>
        <v/>
      </c>
      <c r="BA965" s="304" t="str">
        <f t="shared" si="646"/>
        <v/>
      </c>
      <c r="BB965" s="28"/>
      <c r="BC965" s="304" t="str">
        <f t="shared" si="647"/>
        <v/>
      </c>
      <c r="BD965" s="304" t="str">
        <f t="shared" si="647"/>
        <v/>
      </c>
      <c r="BE965" s="28"/>
      <c r="BF965" s="304">
        <f t="shared" si="648"/>
        <v>0.47156521875000018</v>
      </c>
      <c r="BG965" s="304">
        <f t="shared" si="648"/>
        <v>0.47156521875000018</v>
      </c>
      <c r="BH965" s="28"/>
      <c r="BI965" s="304" t="str">
        <f t="shared" si="649"/>
        <v/>
      </c>
      <c r="BJ965" s="304" t="str">
        <f t="shared" si="649"/>
        <v/>
      </c>
      <c r="BK965" s="28"/>
      <c r="BL965" s="304" t="str">
        <f t="shared" si="650"/>
        <v/>
      </c>
      <c r="BM965" s="304" t="str">
        <f t="shared" si="650"/>
        <v/>
      </c>
      <c r="BN965" s="28"/>
      <c r="BO965" s="304" t="str">
        <f t="shared" si="651"/>
        <v/>
      </c>
      <c r="BP965" s="304" t="str">
        <f t="shared" si="651"/>
        <v/>
      </c>
      <c r="BQ965" s="28"/>
      <c r="BR965" s="304" t="str">
        <f t="shared" si="652"/>
        <v/>
      </c>
      <c r="BS965" s="304" t="str">
        <f t="shared" si="652"/>
        <v/>
      </c>
      <c r="BT965" s="28"/>
      <c r="BU965" s="304" t="str">
        <f t="shared" si="653"/>
        <v/>
      </c>
      <c r="BV965" s="304" t="str">
        <f t="shared" si="653"/>
        <v/>
      </c>
      <c r="BW965" s="28"/>
      <c r="BX965" s="91"/>
    </row>
    <row r="966" spans="1:76" s="55" customFormat="1" x14ac:dyDescent="0.25">
      <c r="A966" s="195">
        <v>49</v>
      </c>
      <c r="B966" s="216" t="str">
        <f t="shared" si="642"/>
        <v>Middle East and Africa: FAO. 2017. Reducing Enteric Methane for improving food security and livelihoods</v>
      </c>
      <c r="C966" s="219" t="s">
        <v>488</v>
      </c>
      <c r="D966" s="379" t="s">
        <v>524</v>
      </c>
      <c r="E966" s="219" t="s">
        <v>99</v>
      </c>
      <c r="F966" s="330" t="s">
        <v>525</v>
      </c>
      <c r="G966" s="220" t="s">
        <v>26</v>
      </c>
      <c r="H966" s="221">
        <v>2017</v>
      </c>
      <c r="I966" s="240"/>
      <c r="J966" s="377">
        <v>11.9</v>
      </c>
      <c r="K966" s="382" t="s">
        <v>489</v>
      </c>
      <c r="L966" s="383">
        <f>J966*(1-0.172)*0.001*0.93/0.032</f>
        <v>0.28635862500000003</v>
      </c>
      <c r="M966" s="335" t="str">
        <f>'[1]Advanced Controls'!$I$158</f>
        <v>t CH4-CO2eq per kg of protein</v>
      </c>
      <c r="N966" s="238"/>
      <c r="O966" s="227" t="s">
        <v>573</v>
      </c>
      <c r="P966" s="122"/>
      <c r="Q966" s="228"/>
      <c r="R966" s="231">
        <f t="shared" si="654"/>
        <v>0.28635862500000003</v>
      </c>
      <c r="S966" s="230">
        <f t="shared" si="643"/>
        <v>0.28635862500000003</v>
      </c>
      <c r="T966" s="231">
        <f t="shared" si="655"/>
        <v>0</v>
      </c>
      <c r="U966" s="232" t="str">
        <f t="shared" si="644"/>
        <v>t CH4-CO2eq per kg of protein</v>
      </c>
      <c r="V966" s="28"/>
      <c r="W966" s="28"/>
      <c r="Y966" s="91"/>
      <c r="AO966" s="91"/>
      <c r="AP966" s="28"/>
      <c r="AQ966" s="28"/>
      <c r="AR966" s="237"/>
      <c r="AS966" s="28"/>
      <c r="AT966" s="304" t="str">
        <f t="shared" si="656"/>
        <v/>
      </c>
      <c r="AU966" s="304" t="str">
        <f t="shared" si="656"/>
        <v/>
      </c>
      <c r="AV966" s="28"/>
      <c r="AW966" s="304" t="str">
        <f t="shared" si="645"/>
        <v/>
      </c>
      <c r="AX966" s="304" t="str">
        <f t="shared" si="645"/>
        <v/>
      </c>
      <c r="AY966" s="28"/>
      <c r="AZ966" s="304" t="str">
        <f t="shared" si="646"/>
        <v/>
      </c>
      <c r="BA966" s="304" t="str">
        <f t="shared" si="646"/>
        <v/>
      </c>
      <c r="BB966" s="28"/>
      <c r="BC966" s="304" t="str">
        <f t="shared" si="647"/>
        <v/>
      </c>
      <c r="BD966" s="304" t="str">
        <f t="shared" si="647"/>
        <v/>
      </c>
      <c r="BE966" s="28"/>
      <c r="BF966" s="304">
        <f t="shared" si="648"/>
        <v>0.28635862500000003</v>
      </c>
      <c r="BG966" s="304">
        <f t="shared" si="648"/>
        <v>0.28635862500000003</v>
      </c>
      <c r="BH966" s="28"/>
      <c r="BI966" s="304" t="str">
        <f t="shared" si="649"/>
        <v/>
      </c>
      <c r="BJ966" s="304" t="str">
        <f t="shared" si="649"/>
        <v/>
      </c>
      <c r="BK966" s="28"/>
      <c r="BL966" s="304" t="str">
        <f t="shared" si="650"/>
        <v/>
      </c>
      <c r="BM966" s="304" t="str">
        <f t="shared" si="650"/>
        <v/>
      </c>
      <c r="BN966" s="28"/>
      <c r="BO966" s="304" t="str">
        <f t="shared" si="651"/>
        <v/>
      </c>
      <c r="BP966" s="304" t="str">
        <f t="shared" si="651"/>
        <v/>
      </c>
      <c r="BQ966" s="28"/>
      <c r="BR966" s="304" t="str">
        <f t="shared" si="652"/>
        <v/>
      </c>
      <c r="BS966" s="304" t="str">
        <f t="shared" si="652"/>
        <v/>
      </c>
      <c r="BT966" s="28"/>
      <c r="BU966" s="304" t="str">
        <f t="shared" si="653"/>
        <v/>
      </c>
      <c r="BV966" s="304" t="str">
        <f t="shared" si="653"/>
        <v/>
      </c>
      <c r="BW966" s="28"/>
      <c r="BX966" s="91"/>
    </row>
    <row r="967" spans="1:76" s="55" customFormat="1" x14ac:dyDescent="0.25">
      <c r="A967" s="195">
        <v>50</v>
      </c>
      <c r="B967" s="216" t="str">
        <f t="shared" si="642"/>
        <v>Middle East and Africa: FAO. 2017. Reducing Enteric Methane for improving food security and livelihoods</v>
      </c>
      <c r="C967" s="219" t="s">
        <v>488</v>
      </c>
      <c r="D967" s="379" t="s">
        <v>524</v>
      </c>
      <c r="E967" s="219" t="s">
        <v>99</v>
      </c>
      <c r="F967" s="330" t="s">
        <v>525</v>
      </c>
      <c r="G967" s="220" t="s">
        <v>26</v>
      </c>
      <c r="H967" s="221">
        <v>2017</v>
      </c>
      <c r="I967" s="240"/>
      <c r="J967" s="377">
        <v>21.1</v>
      </c>
      <c r="K967" s="382" t="s">
        <v>489</v>
      </c>
      <c r="L967" s="383">
        <f>J967*(1-0.19)*0.001*0.93/0.032</f>
        <v>0.49670718750000009</v>
      </c>
      <c r="M967" s="335" t="str">
        <f>'[1]Advanced Controls'!$I$158</f>
        <v>t CH4-CO2eq per kg of protein</v>
      </c>
      <c r="N967" s="238"/>
      <c r="O967" s="227" t="s">
        <v>574</v>
      </c>
      <c r="P967" s="122"/>
      <c r="Q967" s="228"/>
      <c r="R967" s="231">
        <f t="shared" si="654"/>
        <v>0.49670718750000009</v>
      </c>
      <c r="S967" s="230">
        <f t="shared" si="643"/>
        <v>0.49670718750000009</v>
      </c>
      <c r="T967" s="231" t="str">
        <f t="shared" si="655"/>
        <v/>
      </c>
      <c r="U967" s="232" t="str">
        <f t="shared" si="644"/>
        <v>t CH4-CO2eq per kg of protein</v>
      </c>
      <c r="V967" s="28"/>
      <c r="W967" s="28"/>
      <c r="Y967" s="91"/>
      <c r="AO967" s="91"/>
      <c r="AP967" s="28"/>
      <c r="AQ967" s="28"/>
      <c r="AR967" s="237"/>
      <c r="AS967" s="28"/>
      <c r="AT967" s="304" t="str">
        <f t="shared" si="656"/>
        <v/>
      </c>
      <c r="AU967" s="304" t="str">
        <f t="shared" si="656"/>
        <v/>
      </c>
      <c r="AV967" s="28"/>
      <c r="AW967" s="304" t="str">
        <f t="shared" si="645"/>
        <v/>
      </c>
      <c r="AX967" s="304" t="str">
        <f t="shared" si="645"/>
        <v/>
      </c>
      <c r="AY967" s="28"/>
      <c r="AZ967" s="304" t="str">
        <f t="shared" si="646"/>
        <v/>
      </c>
      <c r="BA967" s="304" t="str">
        <f t="shared" si="646"/>
        <v/>
      </c>
      <c r="BB967" s="28"/>
      <c r="BC967" s="304" t="str">
        <f t="shared" si="647"/>
        <v/>
      </c>
      <c r="BD967" s="304" t="str">
        <f t="shared" si="647"/>
        <v/>
      </c>
      <c r="BE967" s="28"/>
      <c r="BF967" s="304">
        <f t="shared" si="648"/>
        <v>0.49670718750000009</v>
      </c>
      <c r="BG967" s="304">
        <f t="shared" si="648"/>
        <v>0.49670718750000009</v>
      </c>
      <c r="BH967" s="28"/>
      <c r="BI967" s="304" t="str">
        <f t="shared" si="649"/>
        <v/>
      </c>
      <c r="BJ967" s="304" t="str">
        <f t="shared" si="649"/>
        <v/>
      </c>
      <c r="BK967" s="28"/>
      <c r="BL967" s="304" t="str">
        <f t="shared" si="650"/>
        <v/>
      </c>
      <c r="BM967" s="304" t="str">
        <f t="shared" si="650"/>
        <v/>
      </c>
      <c r="BN967" s="28"/>
      <c r="BO967" s="304" t="str">
        <f t="shared" si="651"/>
        <v/>
      </c>
      <c r="BP967" s="304" t="str">
        <f t="shared" si="651"/>
        <v/>
      </c>
      <c r="BQ967" s="28"/>
      <c r="BR967" s="304" t="str">
        <f t="shared" si="652"/>
        <v/>
      </c>
      <c r="BS967" s="304" t="str">
        <f t="shared" si="652"/>
        <v/>
      </c>
      <c r="BT967" s="28"/>
      <c r="BU967" s="304" t="str">
        <f t="shared" si="653"/>
        <v/>
      </c>
      <c r="BV967" s="304" t="str">
        <f t="shared" si="653"/>
        <v/>
      </c>
      <c r="BW967" s="28"/>
      <c r="BX967" s="91"/>
    </row>
    <row r="968" spans="1:76" s="55" customFormat="1" x14ac:dyDescent="0.25">
      <c r="A968" s="195">
        <v>51</v>
      </c>
      <c r="B968" s="216" t="str">
        <f t="shared" si="642"/>
        <v>Middle East and Africa: FAO. 2017. Reducing Enteric Methane for improving food security and livelihoods</v>
      </c>
      <c r="C968" s="219" t="s">
        <v>488</v>
      </c>
      <c r="D968" s="379" t="s">
        <v>524</v>
      </c>
      <c r="E968" s="219" t="s">
        <v>99</v>
      </c>
      <c r="F968" s="330" t="s">
        <v>525</v>
      </c>
      <c r="G968" s="220" t="s">
        <v>26</v>
      </c>
      <c r="H968" s="221">
        <v>2017</v>
      </c>
      <c r="I968" s="240"/>
      <c r="J968" s="377">
        <v>11.9</v>
      </c>
      <c r="K968" s="382" t="s">
        <v>489</v>
      </c>
      <c r="L968" s="383">
        <f>J968*(1-0.19)*0.001*0.93/0.032</f>
        <v>0.28013343750000003</v>
      </c>
      <c r="M968" s="335" t="str">
        <f>'[1]Advanced Controls'!$I$158</f>
        <v>t CH4-CO2eq per kg of protein</v>
      </c>
      <c r="N968" s="238"/>
      <c r="O968" s="227" t="s">
        <v>575</v>
      </c>
      <c r="P968" s="122"/>
      <c r="Q968" s="228"/>
      <c r="R968" s="231">
        <f t="shared" si="654"/>
        <v>0.28013343750000003</v>
      </c>
      <c r="S968" s="230">
        <f t="shared" si="643"/>
        <v>0.28013343750000003</v>
      </c>
      <c r="T968" s="231">
        <f t="shared" si="655"/>
        <v>0</v>
      </c>
      <c r="U968" s="232" t="str">
        <f t="shared" si="644"/>
        <v>t CH4-CO2eq per kg of protein</v>
      </c>
      <c r="V968" s="28"/>
      <c r="W968" s="28"/>
      <c r="Y968" s="91"/>
      <c r="AO968" s="91"/>
      <c r="AP968" s="28"/>
      <c r="AQ968" s="28"/>
      <c r="AR968" s="237"/>
      <c r="AS968" s="28"/>
      <c r="AT968" s="304" t="str">
        <f t="shared" si="656"/>
        <v/>
      </c>
      <c r="AU968" s="304" t="str">
        <f t="shared" si="656"/>
        <v/>
      </c>
      <c r="AV968" s="28"/>
      <c r="AW968" s="304" t="str">
        <f t="shared" si="645"/>
        <v/>
      </c>
      <c r="AX968" s="304" t="str">
        <f t="shared" si="645"/>
        <v/>
      </c>
      <c r="AY968" s="28"/>
      <c r="AZ968" s="304" t="str">
        <f t="shared" si="646"/>
        <v/>
      </c>
      <c r="BA968" s="304" t="str">
        <f t="shared" si="646"/>
        <v/>
      </c>
      <c r="BB968" s="28"/>
      <c r="BC968" s="304" t="str">
        <f t="shared" si="647"/>
        <v/>
      </c>
      <c r="BD968" s="304" t="str">
        <f t="shared" si="647"/>
        <v/>
      </c>
      <c r="BE968" s="28"/>
      <c r="BF968" s="304">
        <f t="shared" si="648"/>
        <v>0.28013343750000003</v>
      </c>
      <c r="BG968" s="304">
        <f t="shared" si="648"/>
        <v>0.28013343750000003</v>
      </c>
      <c r="BH968" s="28"/>
      <c r="BI968" s="304" t="str">
        <f t="shared" si="649"/>
        <v/>
      </c>
      <c r="BJ968" s="304" t="str">
        <f t="shared" si="649"/>
        <v/>
      </c>
      <c r="BK968" s="28"/>
      <c r="BL968" s="304" t="str">
        <f t="shared" si="650"/>
        <v/>
      </c>
      <c r="BM968" s="304" t="str">
        <f t="shared" si="650"/>
        <v/>
      </c>
      <c r="BN968" s="28"/>
      <c r="BO968" s="304" t="str">
        <f t="shared" si="651"/>
        <v/>
      </c>
      <c r="BP968" s="304" t="str">
        <f t="shared" si="651"/>
        <v/>
      </c>
      <c r="BQ968" s="28"/>
      <c r="BR968" s="304" t="str">
        <f t="shared" si="652"/>
        <v/>
      </c>
      <c r="BS968" s="304" t="str">
        <f t="shared" si="652"/>
        <v/>
      </c>
      <c r="BT968" s="28"/>
      <c r="BU968" s="304" t="str">
        <f t="shared" si="653"/>
        <v/>
      </c>
      <c r="BV968" s="304" t="str">
        <f t="shared" si="653"/>
        <v/>
      </c>
      <c r="BW968" s="28"/>
      <c r="BX968" s="91"/>
    </row>
    <row r="969" spans="1:76" s="55" customFormat="1" x14ac:dyDescent="0.25">
      <c r="A969" s="195">
        <v>52</v>
      </c>
      <c r="B969" s="216" t="str">
        <f t="shared" si="642"/>
        <v>Middle East and Africa: FAO. 2017. Reducing Enteric Methane for improving food security and livelihoods</v>
      </c>
      <c r="C969" s="219" t="s">
        <v>488</v>
      </c>
      <c r="D969" s="379" t="s">
        <v>526</v>
      </c>
      <c r="E969" s="219" t="s">
        <v>99</v>
      </c>
      <c r="F969" s="330" t="s">
        <v>527</v>
      </c>
      <c r="G969" s="220" t="s">
        <v>26</v>
      </c>
      <c r="H969" s="221">
        <v>2017</v>
      </c>
      <c r="I969" s="240"/>
      <c r="J969" s="377">
        <v>30.7</v>
      </c>
      <c r="K969" s="382" t="s">
        <v>489</v>
      </c>
      <c r="L969" s="383">
        <f>J969*(1-0.18)*0.001*0.93/0.032</f>
        <v>0.73161937500000007</v>
      </c>
      <c r="M969" s="335" t="str">
        <f>'[1]Advanced Controls'!$I$158</f>
        <v>t CH4-CO2eq per kg of protein</v>
      </c>
      <c r="N969" s="238"/>
      <c r="O969" s="227" t="s">
        <v>571</v>
      </c>
      <c r="P969" s="122"/>
      <c r="Q969" s="228"/>
      <c r="R969" s="231">
        <f t="shared" si="654"/>
        <v>0.73161937500000007</v>
      </c>
      <c r="S969" s="230">
        <f t="shared" si="643"/>
        <v>0.73161937500000007</v>
      </c>
      <c r="T969" s="231" t="str">
        <f t="shared" si="655"/>
        <v/>
      </c>
      <c r="U969" s="232" t="str">
        <f t="shared" si="644"/>
        <v>t CH4-CO2eq per kg of protein</v>
      </c>
      <c r="V969" s="28"/>
      <c r="W969" s="28"/>
      <c r="Y969" s="91"/>
      <c r="AO969" s="91"/>
      <c r="AP969" s="28"/>
      <c r="AQ969" s="28"/>
      <c r="AR969" s="237"/>
      <c r="AS969" s="28"/>
      <c r="AT969" s="304" t="str">
        <f t="shared" si="656"/>
        <v/>
      </c>
      <c r="AU969" s="304" t="str">
        <f t="shared" si="656"/>
        <v/>
      </c>
      <c r="AV969" s="28"/>
      <c r="AW969" s="304" t="str">
        <f t="shared" si="645"/>
        <v/>
      </c>
      <c r="AX969" s="304" t="str">
        <f t="shared" si="645"/>
        <v/>
      </c>
      <c r="AY969" s="28"/>
      <c r="AZ969" s="304" t="str">
        <f t="shared" si="646"/>
        <v/>
      </c>
      <c r="BA969" s="304" t="str">
        <f t="shared" si="646"/>
        <v/>
      </c>
      <c r="BB969" s="28"/>
      <c r="BC969" s="304" t="str">
        <f t="shared" si="647"/>
        <v/>
      </c>
      <c r="BD969" s="304" t="str">
        <f t="shared" si="647"/>
        <v/>
      </c>
      <c r="BE969" s="28"/>
      <c r="BF969" s="304">
        <f t="shared" si="648"/>
        <v>0.73161937500000007</v>
      </c>
      <c r="BG969" s="304">
        <f t="shared" si="648"/>
        <v>0.73161937500000007</v>
      </c>
      <c r="BH969" s="28"/>
      <c r="BI969" s="304" t="str">
        <f t="shared" si="649"/>
        <v/>
      </c>
      <c r="BJ969" s="304" t="str">
        <f t="shared" si="649"/>
        <v/>
      </c>
      <c r="BK969" s="28"/>
      <c r="BL969" s="304" t="str">
        <f t="shared" si="650"/>
        <v/>
      </c>
      <c r="BM969" s="304" t="str">
        <f t="shared" si="650"/>
        <v/>
      </c>
      <c r="BN969" s="28"/>
      <c r="BO969" s="304" t="str">
        <f t="shared" si="651"/>
        <v/>
      </c>
      <c r="BP969" s="304" t="str">
        <f t="shared" si="651"/>
        <v/>
      </c>
      <c r="BQ969" s="28"/>
      <c r="BR969" s="304" t="str">
        <f t="shared" si="652"/>
        <v/>
      </c>
      <c r="BS969" s="304" t="str">
        <f t="shared" si="652"/>
        <v/>
      </c>
      <c r="BT969" s="28"/>
      <c r="BU969" s="304" t="str">
        <f t="shared" si="653"/>
        <v/>
      </c>
      <c r="BV969" s="304" t="str">
        <f t="shared" si="653"/>
        <v/>
      </c>
      <c r="BW969" s="28"/>
      <c r="BX969" s="91"/>
    </row>
    <row r="970" spans="1:76" s="55" customFormat="1" x14ac:dyDescent="0.25">
      <c r="A970" s="195">
        <v>53</v>
      </c>
      <c r="B970" s="216" t="str">
        <f t="shared" si="642"/>
        <v>Middle East and Africa: FAO. 2017. Reducing Enteric Methane for improving food security and livelihoods</v>
      </c>
      <c r="C970" s="219" t="s">
        <v>488</v>
      </c>
      <c r="D970" s="379" t="s">
        <v>526</v>
      </c>
      <c r="E970" s="219" t="s">
        <v>99</v>
      </c>
      <c r="F970" s="330" t="s">
        <v>527</v>
      </c>
      <c r="G970" s="220" t="s">
        <v>26</v>
      </c>
      <c r="H970" s="221">
        <v>2017</v>
      </c>
      <c r="I970" s="240"/>
      <c r="J970" s="377">
        <v>44.1</v>
      </c>
      <c r="K970" s="382" t="s">
        <v>489</v>
      </c>
      <c r="L970" s="383">
        <f>J970*(1-0.198)*0.001*0.93/0.032</f>
        <v>1.0278883125</v>
      </c>
      <c r="M970" s="335" t="str">
        <f>'[1]Advanced Controls'!$I$158</f>
        <v>t CH4-CO2eq per kg of protein</v>
      </c>
      <c r="N970" s="238"/>
      <c r="O970" s="227" t="s">
        <v>572</v>
      </c>
      <c r="P970" s="122"/>
      <c r="Q970" s="228"/>
      <c r="R970" s="231">
        <f t="shared" si="654"/>
        <v>1.0278883125</v>
      </c>
      <c r="S970" s="230">
        <f t="shared" si="643"/>
        <v>1.0278883125</v>
      </c>
      <c r="T970" s="231" t="str">
        <f t="shared" si="655"/>
        <v/>
      </c>
      <c r="U970" s="232" t="str">
        <f t="shared" si="644"/>
        <v>t CH4-CO2eq per kg of protein</v>
      </c>
      <c r="V970" s="28"/>
      <c r="W970" s="28"/>
      <c r="Y970" s="91"/>
      <c r="AO970" s="91"/>
      <c r="AP970" s="28"/>
      <c r="AQ970" s="28"/>
      <c r="AR970" s="237"/>
      <c r="AS970" s="28"/>
      <c r="AT970" s="304" t="str">
        <f t="shared" si="656"/>
        <v/>
      </c>
      <c r="AU970" s="304" t="str">
        <f t="shared" si="656"/>
        <v/>
      </c>
      <c r="AV970" s="28"/>
      <c r="AW970" s="304" t="str">
        <f t="shared" si="645"/>
        <v/>
      </c>
      <c r="AX970" s="304" t="str">
        <f t="shared" si="645"/>
        <v/>
      </c>
      <c r="AY970" s="28"/>
      <c r="AZ970" s="304" t="str">
        <f t="shared" si="646"/>
        <v/>
      </c>
      <c r="BA970" s="304" t="str">
        <f t="shared" si="646"/>
        <v/>
      </c>
      <c r="BB970" s="28"/>
      <c r="BC970" s="304" t="str">
        <f t="shared" si="647"/>
        <v/>
      </c>
      <c r="BD970" s="304" t="str">
        <f t="shared" si="647"/>
        <v/>
      </c>
      <c r="BE970" s="28"/>
      <c r="BF970" s="304">
        <f t="shared" si="648"/>
        <v>1.0278883125</v>
      </c>
      <c r="BG970" s="304">
        <f t="shared" si="648"/>
        <v>1.0278883125</v>
      </c>
      <c r="BH970" s="28"/>
      <c r="BI970" s="304" t="str">
        <f t="shared" si="649"/>
        <v/>
      </c>
      <c r="BJ970" s="304" t="str">
        <f t="shared" si="649"/>
        <v/>
      </c>
      <c r="BK970" s="28"/>
      <c r="BL970" s="304" t="str">
        <f t="shared" si="650"/>
        <v/>
      </c>
      <c r="BM970" s="304" t="str">
        <f t="shared" si="650"/>
        <v/>
      </c>
      <c r="BN970" s="28"/>
      <c r="BO970" s="304" t="str">
        <f t="shared" si="651"/>
        <v/>
      </c>
      <c r="BP970" s="304" t="str">
        <f t="shared" si="651"/>
        <v/>
      </c>
      <c r="BQ970" s="28"/>
      <c r="BR970" s="304" t="str">
        <f t="shared" si="652"/>
        <v/>
      </c>
      <c r="BS970" s="304" t="str">
        <f t="shared" si="652"/>
        <v/>
      </c>
      <c r="BT970" s="28"/>
      <c r="BU970" s="304" t="str">
        <f t="shared" si="653"/>
        <v/>
      </c>
      <c r="BV970" s="304" t="str">
        <f t="shared" si="653"/>
        <v/>
      </c>
      <c r="BW970" s="28"/>
      <c r="BX970" s="91"/>
    </row>
    <row r="971" spans="1:76" s="55" customFormat="1" x14ac:dyDescent="0.25">
      <c r="A971" s="195">
        <v>54</v>
      </c>
      <c r="B971" s="216" t="str">
        <f t="shared" si="642"/>
        <v>Middle East and Africa: FAO. 2017. Reducing Enteric Methane for improving food security and livelihoods</v>
      </c>
      <c r="C971" s="219" t="s">
        <v>488</v>
      </c>
      <c r="D971" s="379" t="s">
        <v>526</v>
      </c>
      <c r="E971" s="219" t="s">
        <v>99</v>
      </c>
      <c r="F971" s="330" t="s">
        <v>527</v>
      </c>
      <c r="G971" s="220" t="s">
        <v>26</v>
      </c>
      <c r="H971" s="221">
        <v>2017</v>
      </c>
      <c r="I971" s="240"/>
      <c r="J971" s="377">
        <v>30.7</v>
      </c>
      <c r="K971" s="382" t="s">
        <v>489</v>
      </c>
      <c r="L971" s="383">
        <f>J971*(1-0.139)*0.001*0.93/0.032</f>
        <v>0.76820034375000001</v>
      </c>
      <c r="M971" s="335" t="str">
        <f>'[1]Advanced Controls'!$I$158</f>
        <v>t CH4-CO2eq per kg of protein</v>
      </c>
      <c r="N971" s="238"/>
      <c r="O971" s="227" t="s">
        <v>573</v>
      </c>
      <c r="P971" s="122"/>
      <c r="Q971" s="228"/>
      <c r="R971" s="231">
        <f t="shared" si="654"/>
        <v>0.76820034375000001</v>
      </c>
      <c r="S971" s="230">
        <f t="shared" si="643"/>
        <v>0.76820034375000001</v>
      </c>
      <c r="T971" s="231">
        <f t="shared" si="655"/>
        <v>0</v>
      </c>
      <c r="U971" s="232" t="str">
        <f t="shared" si="644"/>
        <v>t CH4-CO2eq per kg of protein</v>
      </c>
      <c r="V971" s="28"/>
      <c r="W971" s="28"/>
      <c r="Y971" s="91"/>
      <c r="AO971" s="91"/>
      <c r="AP971" s="28"/>
      <c r="AQ971" s="28"/>
      <c r="AR971" s="237"/>
      <c r="AS971" s="28"/>
      <c r="AT971" s="304" t="str">
        <f t="shared" si="656"/>
        <v/>
      </c>
      <c r="AU971" s="304" t="str">
        <f t="shared" si="656"/>
        <v/>
      </c>
      <c r="AV971" s="28"/>
      <c r="AW971" s="304" t="str">
        <f t="shared" si="645"/>
        <v/>
      </c>
      <c r="AX971" s="304" t="str">
        <f t="shared" si="645"/>
        <v/>
      </c>
      <c r="AY971" s="28"/>
      <c r="AZ971" s="304" t="str">
        <f t="shared" si="646"/>
        <v/>
      </c>
      <c r="BA971" s="304" t="str">
        <f t="shared" si="646"/>
        <v/>
      </c>
      <c r="BB971" s="28"/>
      <c r="BC971" s="304" t="str">
        <f t="shared" si="647"/>
        <v/>
      </c>
      <c r="BD971" s="304" t="str">
        <f t="shared" si="647"/>
        <v/>
      </c>
      <c r="BE971" s="28"/>
      <c r="BF971" s="304">
        <f t="shared" si="648"/>
        <v>0.76820034375000001</v>
      </c>
      <c r="BG971" s="304">
        <f t="shared" si="648"/>
        <v>0.76820034375000001</v>
      </c>
      <c r="BH971" s="28"/>
      <c r="BI971" s="304" t="str">
        <f t="shared" si="649"/>
        <v/>
      </c>
      <c r="BJ971" s="304" t="str">
        <f t="shared" si="649"/>
        <v/>
      </c>
      <c r="BK971" s="28"/>
      <c r="BL971" s="304" t="str">
        <f t="shared" si="650"/>
        <v/>
      </c>
      <c r="BM971" s="304" t="str">
        <f t="shared" si="650"/>
        <v/>
      </c>
      <c r="BN971" s="28"/>
      <c r="BO971" s="304" t="str">
        <f t="shared" si="651"/>
        <v/>
      </c>
      <c r="BP971" s="304" t="str">
        <f t="shared" si="651"/>
        <v/>
      </c>
      <c r="BQ971" s="28"/>
      <c r="BR971" s="304" t="str">
        <f t="shared" si="652"/>
        <v/>
      </c>
      <c r="BS971" s="304" t="str">
        <f t="shared" si="652"/>
        <v/>
      </c>
      <c r="BT971" s="28"/>
      <c r="BU971" s="304" t="str">
        <f t="shared" si="653"/>
        <v/>
      </c>
      <c r="BV971" s="304" t="str">
        <f t="shared" si="653"/>
        <v/>
      </c>
      <c r="BW971" s="28"/>
      <c r="BX971" s="91"/>
    </row>
    <row r="972" spans="1:76" s="55" customFormat="1" x14ac:dyDescent="0.25">
      <c r="A972" s="195">
        <v>55</v>
      </c>
      <c r="B972" s="216" t="str">
        <f t="shared" si="642"/>
        <v>Middle East and Africa: FAO. 2017. Reducing Enteric Methane for improving food security and livelihoods</v>
      </c>
      <c r="C972" s="219" t="s">
        <v>488</v>
      </c>
      <c r="D972" s="379" t="s">
        <v>526</v>
      </c>
      <c r="E972" s="219" t="s">
        <v>99</v>
      </c>
      <c r="F972" s="330" t="s">
        <v>527</v>
      </c>
      <c r="G972" s="220" t="s">
        <v>26</v>
      </c>
      <c r="H972" s="221">
        <v>2017</v>
      </c>
      <c r="I972" s="240"/>
      <c r="J972" s="377">
        <v>44.1</v>
      </c>
      <c r="K972" s="382" t="s">
        <v>489</v>
      </c>
      <c r="L972" s="383">
        <f>J972*(1-0.152)*0.001*0.93/0.032</f>
        <v>1.0868445000000002</v>
      </c>
      <c r="M972" s="335" t="str">
        <f>'[1]Advanced Controls'!$I$158</f>
        <v>t CH4-CO2eq per kg of protein</v>
      </c>
      <c r="N972" s="238"/>
      <c r="O972" s="227" t="s">
        <v>574</v>
      </c>
      <c r="P972" s="122"/>
      <c r="Q972" s="228"/>
      <c r="R972" s="231">
        <f t="shared" si="654"/>
        <v>1.0868445000000002</v>
      </c>
      <c r="S972" s="230">
        <f t="shared" si="643"/>
        <v>1.0868445000000002</v>
      </c>
      <c r="T972" s="231" t="str">
        <f t="shared" si="655"/>
        <v/>
      </c>
      <c r="U972" s="232" t="str">
        <f t="shared" si="644"/>
        <v>t CH4-CO2eq per kg of protein</v>
      </c>
      <c r="V972" s="28"/>
      <c r="W972" s="28"/>
      <c r="Y972" s="91"/>
      <c r="AO972" s="91"/>
      <c r="AP972" s="28"/>
      <c r="AQ972" s="28"/>
      <c r="AR972" s="237"/>
      <c r="AS972" s="28"/>
      <c r="AT972" s="304" t="str">
        <f t="shared" si="656"/>
        <v/>
      </c>
      <c r="AU972" s="304" t="str">
        <f t="shared" si="656"/>
        <v/>
      </c>
      <c r="AV972" s="28"/>
      <c r="AW972" s="304" t="str">
        <f t="shared" si="645"/>
        <v/>
      </c>
      <c r="AX972" s="304" t="str">
        <f t="shared" si="645"/>
        <v/>
      </c>
      <c r="AY972" s="28"/>
      <c r="AZ972" s="304" t="str">
        <f t="shared" si="646"/>
        <v/>
      </c>
      <c r="BA972" s="304" t="str">
        <f t="shared" si="646"/>
        <v/>
      </c>
      <c r="BB972" s="28"/>
      <c r="BC972" s="304" t="str">
        <f t="shared" si="647"/>
        <v/>
      </c>
      <c r="BD972" s="304" t="str">
        <f t="shared" si="647"/>
        <v/>
      </c>
      <c r="BE972" s="28"/>
      <c r="BF972" s="304">
        <f t="shared" si="648"/>
        <v>1.0868445000000002</v>
      </c>
      <c r="BG972" s="304">
        <f t="shared" si="648"/>
        <v>1.0868445000000002</v>
      </c>
      <c r="BH972" s="28"/>
      <c r="BI972" s="304" t="str">
        <f t="shared" si="649"/>
        <v/>
      </c>
      <c r="BJ972" s="304" t="str">
        <f t="shared" si="649"/>
        <v/>
      </c>
      <c r="BK972" s="28"/>
      <c r="BL972" s="304" t="str">
        <f t="shared" si="650"/>
        <v/>
      </c>
      <c r="BM972" s="304" t="str">
        <f t="shared" si="650"/>
        <v/>
      </c>
      <c r="BN972" s="28"/>
      <c r="BO972" s="304" t="str">
        <f t="shared" si="651"/>
        <v/>
      </c>
      <c r="BP972" s="304" t="str">
        <f t="shared" si="651"/>
        <v/>
      </c>
      <c r="BQ972" s="28"/>
      <c r="BR972" s="304" t="str">
        <f t="shared" si="652"/>
        <v/>
      </c>
      <c r="BS972" s="304" t="str">
        <f t="shared" si="652"/>
        <v/>
      </c>
      <c r="BT972" s="28"/>
      <c r="BU972" s="304" t="str">
        <f t="shared" si="653"/>
        <v/>
      </c>
      <c r="BV972" s="304" t="str">
        <f t="shared" si="653"/>
        <v/>
      </c>
      <c r="BW972" s="28"/>
      <c r="BX972" s="91"/>
    </row>
    <row r="973" spans="1:76" s="55" customFormat="1" x14ac:dyDescent="0.25">
      <c r="A973" s="195">
        <v>56</v>
      </c>
      <c r="B973" s="216" t="str">
        <f t="shared" si="642"/>
        <v>Middle East and Africa: FAO. 2017. Reducing Enteric Methane for improving food security and livelihoods</v>
      </c>
      <c r="C973" s="219" t="s">
        <v>488</v>
      </c>
      <c r="D973" s="379" t="s">
        <v>526</v>
      </c>
      <c r="E973" s="219" t="s">
        <v>99</v>
      </c>
      <c r="F973" s="330" t="s">
        <v>527</v>
      </c>
      <c r="G973" s="220" t="s">
        <v>26</v>
      </c>
      <c r="H973" s="221">
        <v>2017</v>
      </c>
      <c r="I973" s="240"/>
      <c r="J973" s="377">
        <v>30.7</v>
      </c>
      <c r="K973" s="382" t="s">
        <v>489</v>
      </c>
      <c r="L973" s="383">
        <f>J973*(1-0.298)*0.001*0.93/0.032</f>
        <v>0.62633756249999994</v>
      </c>
      <c r="M973" s="335" t="str">
        <f>'[1]Advanced Controls'!$I$158</f>
        <v>t CH4-CO2eq per kg of protein</v>
      </c>
      <c r="N973" s="238"/>
      <c r="O973" s="227" t="s">
        <v>575</v>
      </c>
      <c r="P973" s="122"/>
      <c r="Q973" s="228"/>
      <c r="R973" s="231">
        <f t="shared" si="654"/>
        <v>0.62633756249999994</v>
      </c>
      <c r="S973" s="230">
        <f t="shared" si="643"/>
        <v>0.62633756249999994</v>
      </c>
      <c r="T973" s="231" t="str">
        <f t="shared" si="655"/>
        <v/>
      </c>
      <c r="U973" s="232" t="str">
        <f t="shared" si="644"/>
        <v>t CH4-CO2eq per kg of protein</v>
      </c>
      <c r="V973" s="28"/>
      <c r="W973" s="28"/>
      <c r="Y973" s="91"/>
      <c r="AO973" s="91"/>
      <c r="AP973" s="28"/>
      <c r="AQ973" s="28"/>
      <c r="AR973" s="237"/>
      <c r="AS973" s="28"/>
      <c r="AT973" s="304" t="str">
        <f t="shared" si="656"/>
        <v/>
      </c>
      <c r="AU973" s="304" t="str">
        <f t="shared" si="656"/>
        <v/>
      </c>
      <c r="AV973" s="28"/>
      <c r="AW973" s="304" t="str">
        <f t="shared" si="645"/>
        <v/>
      </c>
      <c r="AX973" s="304" t="str">
        <f t="shared" si="645"/>
        <v/>
      </c>
      <c r="AY973" s="28"/>
      <c r="AZ973" s="304" t="str">
        <f t="shared" si="646"/>
        <v/>
      </c>
      <c r="BA973" s="304" t="str">
        <f t="shared" si="646"/>
        <v/>
      </c>
      <c r="BB973" s="28"/>
      <c r="BC973" s="304" t="str">
        <f t="shared" si="647"/>
        <v/>
      </c>
      <c r="BD973" s="304" t="str">
        <f t="shared" si="647"/>
        <v/>
      </c>
      <c r="BE973" s="28"/>
      <c r="BF973" s="304">
        <f t="shared" si="648"/>
        <v>0.62633756249999994</v>
      </c>
      <c r="BG973" s="304">
        <f t="shared" si="648"/>
        <v>0.62633756249999994</v>
      </c>
      <c r="BH973" s="28"/>
      <c r="BI973" s="304" t="str">
        <f t="shared" si="649"/>
        <v/>
      </c>
      <c r="BJ973" s="304" t="str">
        <f t="shared" si="649"/>
        <v/>
      </c>
      <c r="BK973" s="28"/>
      <c r="BL973" s="304" t="str">
        <f t="shared" si="650"/>
        <v/>
      </c>
      <c r="BM973" s="304" t="str">
        <f t="shared" si="650"/>
        <v/>
      </c>
      <c r="BN973" s="28"/>
      <c r="BO973" s="304" t="str">
        <f t="shared" si="651"/>
        <v/>
      </c>
      <c r="BP973" s="304" t="str">
        <f t="shared" si="651"/>
        <v/>
      </c>
      <c r="BQ973" s="28"/>
      <c r="BR973" s="304" t="str">
        <f t="shared" si="652"/>
        <v/>
      </c>
      <c r="BS973" s="304" t="str">
        <f t="shared" si="652"/>
        <v/>
      </c>
      <c r="BT973" s="28"/>
      <c r="BU973" s="304" t="str">
        <f t="shared" si="653"/>
        <v/>
      </c>
      <c r="BV973" s="304" t="str">
        <f t="shared" si="653"/>
        <v/>
      </c>
      <c r="BW973" s="28"/>
      <c r="BX973" s="91"/>
    </row>
    <row r="974" spans="1:76" s="55" customFormat="1" x14ac:dyDescent="0.25">
      <c r="A974" s="195">
        <v>57</v>
      </c>
      <c r="B974" s="216" t="str">
        <f t="shared" si="642"/>
        <v>Latin America: FAO. 2017. Reducing Enteric Methane for improving food security and livelihoods</v>
      </c>
      <c r="C974" s="219" t="s">
        <v>488</v>
      </c>
      <c r="D974" s="379" t="s">
        <v>228</v>
      </c>
      <c r="E974" s="329" t="s">
        <v>100</v>
      </c>
      <c r="F974" s="341" t="s">
        <v>190</v>
      </c>
      <c r="G974" s="220" t="s">
        <v>26</v>
      </c>
      <c r="H974" s="221">
        <v>2017</v>
      </c>
      <c r="I974" s="240"/>
      <c r="J974" s="377">
        <v>30</v>
      </c>
      <c r="K974" s="382" t="s">
        <v>528</v>
      </c>
      <c r="L974" s="383">
        <f>J974*(1-0.234)*0.001/[1]conversions!$E$17*0.62</f>
        <v>0.17165783132530119</v>
      </c>
      <c r="M974" s="335" t="str">
        <f>'[1]Advanced Controls'!$I$158</f>
        <v>t CH4-CO2eq per kg of protein</v>
      </c>
      <c r="N974" s="238"/>
      <c r="O974" s="227" t="s">
        <v>576</v>
      </c>
      <c r="P974" s="122"/>
      <c r="Q974" s="228"/>
      <c r="R974" s="231">
        <f t="shared" si="654"/>
        <v>0.17165783132530119</v>
      </c>
      <c r="S974" s="230">
        <f t="shared" si="643"/>
        <v>0.17165783132530119</v>
      </c>
      <c r="T974" s="231">
        <f t="shared" si="655"/>
        <v>0</v>
      </c>
      <c r="U974" s="232" t="str">
        <f t="shared" si="644"/>
        <v>t CH4-CO2eq per kg of protein</v>
      </c>
      <c r="V974" s="28"/>
      <c r="W974" s="28"/>
      <c r="Y974" s="91"/>
      <c r="AO974" s="91"/>
      <c r="AP974" s="28"/>
      <c r="AQ974" s="28"/>
      <c r="AR974" s="237"/>
      <c r="AS974" s="28"/>
      <c r="AT974" s="304" t="str">
        <f t="shared" si="656"/>
        <v/>
      </c>
      <c r="AU974" s="304" t="str">
        <f t="shared" si="656"/>
        <v/>
      </c>
      <c r="AV974" s="28"/>
      <c r="AW974" s="304" t="str">
        <f t="shared" si="645"/>
        <v/>
      </c>
      <c r="AX974" s="304" t="str">
        <f t="shared" si="645"/>
        <v/>
      </c>
      <c r="AY974" s="28"/>
      <c r="AZ974" s="304" t="str">
        <f t="shared" si="646"/>
        <v/>
      </c>
      <c r="BA974" s="304" t="str">
        <f t="shared" si="646"/>
        <v/>
      </c>
      <c r="BB974" s="28"/>
      <c r="BC974" s="304" t="str">
        <f t="shared" si="647"/>
        <v/>
      </c>
      <c r="BD974" s="304" t="str">
        <f t="shared" si="647"/>
        <v/>
      </c>
      <c r="BE974" s="28"/>
      <c r="BF974" s="304" t="str">
        <f t="shared" si="648"/>
        <v/>
      </c>
      <c r="BG974" s="304" t="str">
        <f t="shared" si="648"/>
        <v/>
      </c>
      <c r="BH974" s="28"/>
      <c r="BI974" s="304">
        <f t="shared" si="649"/>
        <v>0.17165783132530119</v>
      </c>
      <c r="BJ974" s="304">
        <f t="shared" si="649"/>
        <v>0.17165783132530119</v>
      </c>
      <c r="BK974" s="28"/>
      <c r="BL974" s="304" t="str">
        <f t="shared" si="650"/>
        <v/>
      </c>
      <c r="BM974" s="304" t="str">
        <f t="shared" si="650"/>
        <v/>
      </c>
      <c r="BN974" s="28"/>
      <c r="BO974" s="304" t="str">
        <f t="shared" si="651"/>
        <v/>
      </c>
      <c r="BP974" s="304" t="str">
        <f t="shared" si="651"/>
        <v/>
      </c>
      <c r="BQ974" s="28"/>
      <c r="BR974" s="304" t="str">
        <f t="shared" si="652"/>
        <v/>
      </c>
      <c r="BS974" s="304" t="str">
        <f t="shared" si="652"/>
        <v/>
      </c>
      <c r="BT974" s="28"/>
      <c r="BU974" s="304" t="str">
        <f t="shared" si="653"/>
        <v/>
      </c>
      <c r="BV974" s="304" t="str">
        <f t="shared" si="653"/>
        <v/>
      </c>
      <c r="BW974" s="28"/>
      <c r="BX974" s="91"/>
    </row>
    <row r="975" spans="1:76" s="55" customFormat="1" x14ac:dyDescent="0.25">
      <c r="A975" s="195">
        <v>58</v>
      </c>
      <c r="B975" s="216" t="str">
        <f t="shared" si="642"/>
        <v>Latin America: FAO. 2017. Reducing Enteric Methane for improving food security and livelihoods</v>
      </c>
      <c r="C975" s="219" t="s">
        <v>488</v>
      </c>
      <c r="D975" s="379" t="s">
        <v>228</v>
      </c>
      <c r="E975" s="329" t="s">
        <v>100</v>
      </c>
      <c r="F975" s="341" t="s">
        <v>190</v>
      </c>
      <c r="G975" s="220" t="s">
        <v>26</v>
      </c>
      <c r="H975" s="221">
        <v>2017</v>
      </c>
      <c r="I975" s="240"/>
      <c r="J975" s="377">
        <v>39</v>
      </c>
      <c r="K975" s="382" t="s">
        <v>528</v>
      </c>
      <c r="L975" s="383">
        <f>J975*(1-0.318)*0.001/[1]conversions!$E$17*0.62</f>
        <v>0.19868385542168673</v>
      </c>
      <c r="M975" s="335" t="str">
        <f>'[1]Advanced Controls'!$I$158</f>
        <v>t CH4-CO2eq per kg of protein</v>
      </c>
      <c r="N975" s="238"/>
      <c r="O975" s="227" t="s">
        <v>577</v>
      </c>
      <c r="P975" s="122"/>
      <c r="Q975" s="228"/>
      <c r="R975" s="231">
        <f t="shared" si="654"/>
        <v>0.19868385542168673</v>
      </c>
      <c r="S975" s="230">
        <f t="shared" si="643"/>
        <v>0.19868385542168673</v>
      </c>
      <c r="T975" s="231">
        <f t="shared" si="655"/>
        <v>0</v>
      </c>
      <c r="U975" s="232" t="str">
        <f t="shared" si="644"/>
        <v>t CH4-CO2eq per kg of protein</v>
      </c>
      <c r="V975" s="28"/>
      <c r="W975" s="28"/>
      <c r="Y975" s="91"/>
      <c r="AO975" s="91"/>
      <c r="AP975" s="28"/>
      <c r="AQ975" s="28"/>
      <c r="AR975" s="237"/>
      <c r="AS975" s="28"/>
      <c r="AT975" s="304" t="str">
        <f t="shared" si="656"/>
        <v/>
      </c>
      <c r="AU975" s="304" t="str">
        <f t="shared" si="656"/>
        <v/>
      </c>
      <c r="AV975" s="28"/>
      <c r="AW975" s="304" t="str">
        <f t="shared" si="645"/>
        <v/>
      </c>
      <c r="AX975" s="304" t="str">
        <f t="shared" si="645"/>
        <v/>
      </c>
      <c r="AY975" s="28"/>
      <c r="AZ975" s="304" t="str">
        <f t="shared" si="646"/>
        <v/>
      </c>
      <c r="BA975" s="304" t="str">
        <f t="shared" si="646"/>
        <v/>
      </c>
      <c r="BB975" s="28"/>
      <c r="BC975" s="304" t="str">
        <f t="shared" si="647"/>
        <v/>
      </c>
      <c r="BD975" s="304" t="str">
        <f t="shared" si="647"/>
        <v/>
      </c>
      <c r="BE975" s="28"/>
      <c r="BF975" s="304" t="str">
        <f t="shared" si="648"/>
        <v/>
      </c>
      <c r="BG975" s="304" t="str">
        <f t="shared" si="648"/>
        <v/>
      </c>
      <c r="BH975" s="28"/>
      <c r="BI975" s="304">
        <f t="shared" si="649"/>
        <v>0.19868385542168673</v>
      </c>
      <c r="BJ975" s="304">
        <f t="shared" si="649"/>
        <v>0.19868385542168673</v>
      </c>
      <c r="BK975" s="28"/>
      <c r="BL975" s="304" t="str">
        <f t="shared" si="650"/>
        <v/>
      </c>
      <c r="BM975" s="304" t="str">
        <f t="shared" si="650"/>
        <v/>
      </c>
      <c r="BN975" s="28"/>
      <c r="BO975" s="304" t="str">
        <f t="shared" si="651"/>
        <v/>
      </c>
      <c r="BP975" s="304" t="str">
        <f t="shared" si="651"/>
        <v/>
      </c>
      <c r="BQ975" s="28"/>
      <c r="BR975" s="304" t="str">
        <f t="shared" si="652"/>
        <v/>
      </c>
      <c r="BS975" s="304" t="str">
        <f t="shared" si="652"/>
        <v/>
      </c>
      <c r="BT975" s="28"/>
      <c r="BU975" s="304" t="str">
        <f t="shared" si="653"/>
        <v/>
      </c>
      <c r="BV975" s="304" t="str">
        <f t="shared" si="653"/>
        <v/>
      </c>
      <c r="BW975" s="28"/>
      <c r="BX975" s="91"/>
    </row>
    <row r="976" spans="1:76" s="55" customFormat="1" x14ac:dyDescent="0.25">
      <c r="A976" s="195">
        <v>59</v>
      </c>
      <c r="B976" s="216" t="str">
        <f t="shared" si="642"/>
        <v>Latin America: FAO. 2017. Reducing Enteric Methane for improving food security and livelihoods</v>
      </c>
      <c r="C976" s="219" t="s">
        <v>488</v>
      </c>
      <c r="D976" s="379" t="s">
        <v>228</v>
      </c>
      <c r="E976" s="329" t="s">
        <v>100</v>
      </c>
      <c r="F976" s="341" t="s">
        <v>190</v>
      </c>
      <c r="G976" s="220" t="s">
        <v>26</v>
      </c>
      <c r="H976" s="221">
        <v>2017</v>
      </c>
      <c r="I976" s="240"/>
      <c r="J976" s="377">
        <v>52</v>
      </c>
      <c r="K976" s="382" t="s">
        <v>528</v>
      </c>
      <c r="L976" s="383">
        <f>J976*(1-0.391)*0.001/[1]conversions!$E$17*0.62</f>
        <v>0.23655614457831325</v>
      </c>
      <c r="M976" s="335" t="str">
        <f>'[1]Advanced Controls'!$I$158</f>
        <v>t CH4-CO2eq per kg of protein</v>
      </c>
      <c r="N976" s="238"/>
      <c r="O976" s="227" t="s">
        <v>578</v>
      </c>
      <c r="P976" s="122"/>
      <c r="Q976" s="228"/>
      <c r="R976" s="231">
        <f t="shared" si="654"/>
        <v>0.23655614457831325</v>
      </c>
      <c r="S976" s="230">
        <f t="shared" si="643"/>
        <v>0.23655614457831325</v>
      </c>
      <c r="T976" s="231">
        <f t="shared" si="655"/>
        <v>0</v>
      </c>
      <c r="U976" s="232" t="str">
        <f t="shared" si="644"/>
        <v>t CH4-CO2eq per kg of protein</v>
      </c>
      <c r="V976" s="28"/>
      <c r="W976" s="28"/>
      <c r="Y976" s="91"/>
      <c r="AO976" s="91"/>
      <c r="AP976" s="28"/>
      <c r="AQ976" s="28"/>
      <c r="AR976" s="237"/>
      <c r="AS976" s="28"/>
      <c r="AT976" s="304" t="str">
        <f t="shared" si="656"/>
        <v/>
      </c>
      <c r="AU976" s="304" t="str">
        <f t="shared" si="656"/>
        <v/>
      </c>
      <c r="AV976" s="28"/>
      <c r="AW976" s="304" t="str">
        <f t="shared" si="645"/>
        <v/>
      </c>
      <c r="AX976" s="304" t="str">
        <f t="shared" si="645"/>
        <v/>
      </c>
      <c r="AY976" s="28"/>
      <c r="AZ976" s="304" t="str">
        <f t="shared" si="646"/>
        <v/>
      </c>
      <c r="BA976" s="304" t="str">
        <f t="shared" si="646"/>
        <v/>
      </c>
      <c r="BB976" s="28"/>
      <c r="BC976" s="304" t="str">
        <f t="shared" si="647"/>
        <v/>
      </c>
      <c r="BD976" s="304" t="str">
        <f t="shared" si="647"/>
        <v/>
      </c>
      <c r="BE976" s="28"/>
      <c r="BF976" s="304" t="str">
        <f t="shared" si="648"/>
        <v/>
      </c>
      <c r="BG976" s="304" t="str">
        <f t="shared" si="648"/>
        <v/>
      </c>
      <c r="BH976" s="28"/>
      <c r="BI976" s="304">
        <f t="shared" si="649"/>
        <v>0.23655614457831325</v>
      </c>
      <c r="BJ976" s="304">
        <f t="shared" si="649"/>
        <v>0.23655614457831325</v>
      </c>
      <c r="BK976" s="28"/>
      <c r="BL976" s="304" t="str">
        <f t="shared" si="650"/>
        <v/>
      </c>
      <c r="BM976" s="304" t="str">
        <f t="shared" si="650"/>
        <v/>
      </c>
      <c r="BN976" s="28"/>
      <c r="BO976" s="304" t="str">
        <f t="shared" si="651"/>
        <v/>
      </c>
      <c r="BP976" s="304" t="str">
        <f t="shared" si="651"/>
        <v/>
      </c>
      <c r="BQ976" s="28"/>
      <c r="BR976" s="304" t="str">
        <f t="shared" si="652"/>
        <v/>
      </c>
      <c r="BS976" s="304" t="str">
        <f t="shared" si="652"/>
        <v/>
      </c>
      <c r="BT976" s="28"/>
      <c r="BU976" s="304" t="str">
        <f t="shared" si="653"/>
        <v/>
      </c>
      <c r="BV976" s="304" t="str">
        <f t="shared" si="653"/>
        <v/>
      </c>
      <c r="BW976" s="28"/>
      <c r="BX976" s="91"/>
    </row>
    <row r="977" spans="1:76" s="55" customFormat="1" x14ac:dyDescent="0.25">
      <c r="A977" s="195">
        <v>60</v>
      </c>
      <c r="B977" s="216" t="str">
        <f t="shared" si="642"/>
        <v>Latin America: FAO. 2017. Reducing Enteric Methane for improving food security and livelihoods</v>
      </c>
      <c r="C977" s="219" t="s">
        <v>488</v>
      </c>
      <c r="D977" s="379" t="s">
        <v>228</v>
      </c>
      <c r="E977" s="329" t="s">
        <v>100</v>
      </c>
      <c r="F977" s="341" t="s">
        <v>190</v>
      </c>
      <c r="G977" s="220" t="s">
        <v>26</v>
      </c>
      <c r="H977" s="221">
        <v>2017</v>
      </c>
      <c r="I977" s="240"/>
      <c r="J977" s="377">
        <v>30</v>
      </c>
      <c r="K977" s="382" t="s">
        <v>528</v>
      </c>
      <c r="L977" s="383">
        <f>J977*(1-0.042)*0.001/[1]conversions!$E$17*0.62</f>
        <v>0.21468433734939757</v>
      </c>
      <c r="M977" s="335" t="str">
        <f>'[1]Advanced Controls'!$I$158</f>
        <v>t CH4-CO2eq per kg of protein</v>
      </c>
      <c r="N977" s="238"/>
      <c r="O977" s="227" t="s">
        <v>579</v>
      </c>
      <c r="P977" s="122"/>
      <c r="Q977" s="228"/>
      <c r="R977" s="231">
        <f t="shared" si="654"/>
        <v>0.21468433734939757</v>
      </c>
      <c r="S977" s="230">
        <f t="shared" si="643"/>
        <v>0.21468433734939757</v>
      </c>
      <c r="T977" s="231">
        <f t="shared" si="655"/>
        <v>0</v>
      </c>
      <c r="U977" s="232" t="str">
        <f t="shared" si="644"/>
        <v>t CH4-CO2eq per kg of protein</v>
      </c>
      <c r="V977" s="28"/>
      <c r="W977" s="28"/>
      <c r="Y977" s="91"/>
      <c r="AO977" s="91"/>
      <c r="AP977" s="28"/>
      <c r="AQ977" s="28"/>
      <c r="AR977" s="237"/>
      <c r="AS977" s="28"/>
      <c r="AT977" s="304" t="str">
        <f t="shared" si="656"/>
        <v/>
      </c>
      <c r="AU977" s="304" t="str">
        <f t="shared" si="656"/>
        <v/>
      </c>
      <c r="AV977" s="28"/>
      <c r="AW977" s="304" t="str">
        <f t="shared" si="645"/>
        <v/>
      </c>
      <c r="AX977" s="304" t="str">
        <f t="shared" si="645"/>
        <v/>
      </c>
      <c r="AY977" s="28"/>
      <c r="AZ977" s="304" t="str">
        <f t="shared" si="646"/>
        <v/>
      </c>
      <c r="BA977" s="304" t="str">
        <f t="shared" si="646"/>
        <v/>
      </c>
      <c r="BB977" s="28"/>
      <c r="BC977" s="304" t="str">
        <f t="shared" si="647"/>
        <v/>
      </c>
      <c r="BD977" s="304" t="str">
        <f t="shared" si="647"/>
        <v/>
      </c>
      <c r="BE977" s="28"/>
      <c r="BF977" s="304" t="str">
        <f t="shared" si="648"/>
        <v/>
      </c>
      <c r="BG977" s="304" t="str">
        <f t="shared" si="648"/>
        <v/>
      </c>
      <c r="BH977" s="28"/>
      <c r="BI977" s="304">
        <f t="shared" si="649"/>
        <v>0.21468433734939757</v>
      </c>
      <c r="BJ977" s="304">
        <f t="shared" si="649"/>
        <v>0.21468433734939757</v>
      </c>
      <c r="BK977" s="28"/>
      <c r="BL977" s="304" t="str">
        <f t="shared" si="650"/>
        <v/>
      </c>
      <c r="BM977" s="304" t="str">
        <f t="shared" si="650"/>
        <v/>
      </c>
      <c r="BN977" s="28"/>
      <c r="BO977" s="304" t="str">
        <f t="shared" si="651"/>
        <v/>
      </c>
      <c r="BP977" s="304" t="str">
        <f t="shared" si="651"/>
        <v/>
      </c>
      <c r="BQ977" s="28"/>
      <c r="BR977" s="304" t="str">
        <f t="shared" si="652"/>
        <v/>
      </c>
      <c r="BS977" s="304" t="str">
        <f t="shared" si="652"/>
        <v/>
      </c>
      <c r="BT977" s="28"/>
      <c r="BU977" s="304" t="str">
        <f t="shared" si="653"/>
        <v/>
      </c>
      <c r="BV977" s="304" t="str">
        <f t="shared" si="653"/>
        <v/>
      </c>
      <c r="BW977" s="28"/>
      <c r="BX977" s="91"/>
    </row>
    <row r="978" spans="1:76" s="55" customFormat="1" x14ac:dyDescent="0.25">
      <c r="A978" s="195">
        <v>61</v>
      </c>
      <c r="B978" s="216" t="str">
        <f t="shared" si="642"/>
        <v>Latin America: FAO. 2017. Reducing Enteric Methane for improving food security and livelihoods</v>
      </c>
      <c r="C978" s="219" t="s">
        <v>488</v>
      </c>
      <c r="D978" s="379" t="s">
        <v>228</v>
      </c>
      <c r="E978" s="329" t="s">
        <v>100</v>
      </c>
      <c r="F978" s="341" t="s">
        <v>190</v>
      </c>
      <c r="G978" s="220" t="s">
        <v>26</v>
      </c>
      <c r="H978" s="221">
        <v>2017</v>
      </c>
      <c r="I978" s="240"/>
      <c r="J978" s="377">
        <v>39</v>
      </c>
      <c r="K978" s="382" t="s">
        <v>528</v>
      </c>
      <c r="L978" s="383">
        <f>J978*(1-0.033)*0.001/[1]conversions!$E$17*0.62</f>
        <v>0.28171156626506028</v>
      </c>
      <c r="M978" s="335" t="str">
        <f>'[1]Advanced Controls'!$I$158</f>
        <v>t CH4-CO2eq per kg of protein</v>
      </c>
      <c r="N978" s="238"/>
      <c r="O978" s="227" t="s">
        <v>580</v>
      </c>
      <c r="P978" s="122"/>
      <c r="Q978" s="228"/>
      <c r="R978" s="231">
        <f t="shared" si="654"/>
        <v>0.28171156626506028</v>
      </c>
      <c r="S978" s="230">
        <f t="shared" si="643"/>
        <v>0.28171156626506028</v>
      </c>
      <c r="T978" s="231">
        <f t="shared" si="655"/>
        <v>0</v>
      </c>
      <c r="U978" s="232" t="str">
        <f t="shared" si="644"/>
        <v>t CH4-CO2eq per kg of protein</v>
      </c>
      <c r="V978" s="28"/>
      <c r="W978" s="28"/>
      <c r="Y978" s="91"/>
      <c r="AO978" s="91"/>
      <c r="AP978" s="28"/>
      <c r="AQ978" s="28"/>
      <c r="AR978" s="237"/>
      <c r="AS978" s="28"/>
      <c r="AT978" s="304" t="str">
        <f t="shared" si="656"/>
        <v/>
      </c>
      <c r="AU978" s="304" t="str">
        <f t="shared" si="656"/>
        <v/>
      </c>
      <c r="AV978" s="28"/>
      <c r="AW978" s="304" t="str">
        <f t="shared" si="645"/>
        <v/>
      </c>
      <c r="AX978" s="304" t="str">
        <f t="shared" si="645"/>
        <v/>
      </c>
      <c r="AY978" s="28"/>
      <c r="AZ978" s="304" t="str">
        <f t="shared" si="646"/>
        <v/>
      </c>
      <c r="BA978" s="304" t="str">
        <f t="shared" si="646"/>
        <v/>
      </c>
      <c r="BB978" s="28"/>
      <c r="BC978" s="304" t="str">
        <f t="shared" si="647"/>
        <v/>
      </c>
      <c r="BD978" s="304" t="str">
        <f t="shared" si="647"/>
        <v/>
      </c>
      <c r="BE978" s="28"/>
      <c r="BF978" s="304" t="str">
        <f t="shared" si="648"/>
        <v/>
      </c>
      <c r="BG978" s="304" t="str">
        <f t="shared" si="648"/>
        <v/>
      </c>
      <c r="BH978" s="28"/>
      <c r="BI978" s="304">
        <f t="shared" si="649"/>
        <v>0.28171156626506028</v>
      </c>
      <c r="BJ978" s="304">
        <f t="shared" si="649"/>
        <v>0.28171156626506028</v>
      </c>
      <c r="BK978" s="28"/>
      <c r="BL978" s="304" t="str">
        <f t="shared" si="650"/>
        <v/>
      </c>
      <c r="BM978" s="304" t="str">
        <f t="shared" si="650"/>
        <v/>
      </c>
      <c r="BN978" s="28"/>
      <c r="BO978" s="304" t="str">
        <f t="shared" si="651"/>
        <v/>
      </c>
      <c r="BP978" s="304" t="str">
        <f t="shared" si="651"/>
        <v/>
      </c>
      <c r="BQ978" s="28"/>
      <c r="BR978" s="304" t="str">
        <f t="shared" si="652"/>
        <v/>
      </c>
      <c r="BS978" s="304" t="str">
        <f t="shared" si="652"/>
        <v/>
      </c>
      <c r="BT978" s="28"/>
      <c r="BU978" s="304" t="str">
        <f t="shared" si="653"/>
        <v/>
      </c>
      <c r="BV978" s="304" t="str">
        <f t="shared" si="653"/>
        <v/>
      </c>
      <c r="BW978" s="28"/>
      <c r="BX978" s="91"/>
    </row>
    <row r="979" spans="1:76" s="55" customFormat="1" x14ac:dyDescent="0.25">
      <c r="A979" s="195">
        <v>62</v>
      </c>
      <c r="B979" s="216" t="str">
        <f t="shared" si="642"/>
        <v>Latin America: FAO. 2017. Reducing Enteric Methane for improving food security and livelihoods</v>
      </c>
      <c r="C979" s="219" t="s">
        <v>488</v>
      </c>
      <c r="D979" s="379" t="s">
        <v>228</v>
      </c>
      <c r="E979" s="329" t="s">
        <v>100</v>
      </c>
      <c r="F979" s="341" t="s">
        <v>190</v>
      </c>
      <c r="G979" s="220" t="s">
        <v>26</v>
      </c>
      <c r="H979" s="221">
        <v>2017</v>
      </c>
      <c r="I979" s="240"/>
      <c r="J979" s="377">
        <v>52</v>
      </c>
      <c r="K979" s="382" t="s">
        <v>528</v>
      </c>
      <c r="L979" s="383">
        <f>J979*(1-0.038)*0.001/[1]conversions!$E$17*0.62</f>
        <v>0.37367325301204818</v>
      </c>
      <c r="M979" s="335" t="str">
        <f>'[1]Advanced Controls'!$I$158</f>
        <v>t CH4-CO2eq per kg of protein</v>
      </c>
      <c r="N979" s="238"/>
      <c r="O979" s="227" t="s">
        <v>581</v>
      </c>
      <c r="P979" s="122"/>
      <c r="Q979" s="228"/>
      <c r="R979" s="231">
        <f t="shared" si="654"/>
        <v>0.37367325301204818</v>
      </c>
      <c r="S979" s="230">
        <f t="shared" si="643"/>
        <v>0.37367325301204818</v>
      </c>
      <c r="T979" s="231" t="str">
        <f t="shared" si="655"/>
        <v/>
      </c>
      <c r="U979" s="232" t="str">
        <f t="shared" si="644"/>
        <v>t CH4-CO2eq per kg of protein</v>
      </c>
      <c r="V979" s="28"/>
      <c r="W979" s="28"/>
      <c r="Y979" s="91"/>
      <c r="AO979" s="91"/>
      <c r="AP979" s="28"/>
      <c r="AQ979" s="28"/>
      <c r="AR979" s="237"/>
      <c r="AS979" s="28"/>
      <c r="AT979" s="304" t="str">
        <f t="shared" si="656"/>
        <v/>
      </c>
      <c r="AU979" s="304" t="str">
        <f t="shared" si="656"/>
        <v/>
      </c>
      <c r="AV979" s="28"/>
      <c r="AW979" s="304" t="str">
        <f t="shared" si="645"/>
        <v/>
      </c>
      <c r="AX979" s="304" t="str">
        <f t="shared" si="645"/>
        <v/>
      </c>
      <c r="AY979" s="28"/>
      <c r="AZ979" s="304" t="str">
        <f t="shared" si="646"/>
        <v/>
      </c>
      <c r="BA979" s="304" t="str">
        <f t="shared" si="646"/>
        <v/>
      </c>
      <c r="BB979" s="28"/>
      <c r="BC979" s="304" t="str">
        <f t="shared" si="647"/>
        <v/>
      </c>
      <c r="BD979" s="304" t="str">
        <f t="shared" si="647"/>
        <v/>
      </c>
      <c r="BE979" s="28"/>
      <c r="BF979" s="304" t="str">
        <f t="shared" si="648"/>
        <v/>
      </c>
      <c r="BG979" s="304" t="str">
        <f t="shared" si="648"/>
        <v/>
      </c>
      <c r="BH979" s="28"/>
      <c r="BI979" s="304">
        <f t="shared" si="649"/>
        <v>0.37367325301204818</v>
      </c>
      <c r="BJ979" s="304">
        <f t="shared" si="649"/>
        <v>0.37367325301204818</v>
      </c>
      <c r="BK979" s="28"/>
      <c r="BL979" s="304" t="str">
        <f t="shared" si="650"/>
        <v/>
      </c>
      <c r="BM979" s="304" t="str">
        <f t="shared" si="650"/>
        <v/>
      </c>
      <c r="BN979" s="28"/>
      <c r="BO979" s="304" t="str">
        <f t="shared" si="651"/>
        <v/>
      </c>
      <c r="BP979" s="304" t="str">
        <f t="shared" si="651"/>
        <v/>
      </c>
      <c r="BQ979" s="28"/>
      <c r="BR979" s="304" t="str">
        <f t="shared" si="652"/>
        <v/>
      </c>
      <c r="BS979" s="304" t="str">
        <f t="shared" si="652"/>
        <v/>
      </c>
      <c r="BT979" s="28"/>
      <c r="BU979" s="304" t="str">
        <f t="shared" si="653"/>
        <v/>
      </c>
      <c r="BV979" s="304" t="str">
        <f t="shared" si="653"/>
        <v/>
      </c>
      <c r="BW979" s="28"/>
      <c r="BX979" s="91"/>
    </row>
    <row r="980" spans="1:76" s="55" customFormat="1" x14ac:dyDescent="0.25">
      <c r="A980" s="195">
        <v>63</v>
      </c>
      <c r="B980" s="216" t="str">
        <f t="shared" si="642"/>
        <v>Latin America: FAO. 2017. Reducing Enteric Methane for improving food security and livelihoods</v>
      </c>
      <c r="C980" s="219" t="s">
        <v>488</v>
      </c>
      <c r="D980" s="379" t="s">
        <v>228</v>
      </c>
      <c r="E980" s="329" t="s">
        <v>100</v>
      </c>
      <c r="F980" s="341" t="s">
        <v>190</v>
      </c>
      <c r="G980" s="220" t="s">
        <v>26</v>
      </c>
      <c r="H980" s="221">
        <v>2017</v>
      </c>
      <c r="I980" s="240"/>
      <c r="J980" s="377">
        <v>30</v>
      </c>
      <c r="K980" s="382" t="s">
        <v>528</v>
      </c>
      <c r="L980" s="383">
        <f>J980*(1-0.049)*0.001/[1]conversions!$E$17*0.62</f>
        <v>0.21311566265060239</v>
      </c>
      <c r="M980" s="335" t="str">
        <f>'[1]Advanced Controls'!$I$158</f>
        <v>t CH4-CO2eq per kg of protein</v>
      </c>
      <c r="N980" s="238"/>
      <c r="O980" s="227" t="s">
        <v>582</v>
      </c>
      <c r="P980" s="122"/>
      <c r="Q980" s="228"/>
      <c r="R980" s="231">
        <f t="shared" si="654"/>
        <v>0.21311566265060239</v>
      </c>
      <c r="S980" s="230">
        <f t="shared" si="643"/>
        <v>0.21311566265060239</v>
      </c>
      <c r="T980" s="231">
        <f t="shared" si="655"/>
        <v>0</v>
      </c>
      <c r="U980" s="232" t="str">
        <f t="shared" si="644"/>
        <v>t CH4-CO2eq per kg of protein</v>
      </c>
      <c r="V980" s="28"/>
      <c r="W980" s="28"/>
      <c r="Y980" s="91"/>
      <c r="AO980" s="91"/>
      <c r="AP980" s="28"/>
      <c r="AQ980" s="28"/>
      <c r="AR980" s="237"/>
      <c r="AS980" s="28"/>
      <c r="AT980" s="304" t="str">
        <f t="shared" si="656"/>
        <v/>
      </c>
      <c r="AU980" s="304" t="str">
        <f t="shared" si="656"/>
        <v/>
      </c>
      <c r="AV980" s="28"/>
      <c r="AW980" s="304" t="str">
        <f t="shared" si="645"/>
        <v/>
      </c>
      <c r="AX980" s="304" t="str">
        <f t="shared" si="645"/>
        <v/>
      </c>
      <c r="AY980" s="28"/>
      <c r="AZ980" s="304" t="str">
        <f t="shared" si="646"/>
        <v/>
      </c>
      <c r="BA980" s="304" t="str">
        <f t="shared" si="646"/>
        <v/>
      </c>
      <c r="BB980" s="28"/>
      <c r="BC980" s="304" t="str">
        <f t="shared" si="647"/>
        <v/>
      </c>
      <c r="BD980" s="304" t="str">
        <f t="shared" si="647"/>
        <v/>
      </c>
      <c r="BE980" s="28"/>
      <c r="BF980" s="304" t="str">
        <f t="shared" si="648"/>
        <v/>
      </c>
      <c r="BG980" s="304" t="str">
        <f t="shared" si="648"/>
        <v/>
      </c>
      <c r="BH980" s="28"/>
      <c r="BI980" s="304">
        <f t="shared" si="649"/>
        <v>0.21311566265060239</v>
      </c>
      <c r="BJ980" s="304">
        <f t="shared" si="649"/>
        <v>0.21311566265060239</v>
      </c>
      <c r="BK980" s="28"/>
      <c r="BL980" s="304" t="str">
        <f t="shared" si="650"/>
        <v/>
      </c>
      <c r="BM980" s="304" t="str">
        <f t="shared" si="650"/>
        <v/>
      </c>
      <c r="BN980" s="28"/>
      <c r="BO980" s="304" t="str">
        <f t="shared" si="651"/>
        <v/>
      </c>
      <c r="BP980" s="304" t="str">
        <f t="shared" si="651"/>
        <v/>
      </c>
      <c r="BQ980" s="28"/>
      <c r="BR980" s="304" t="str">
        <f t="shared" si="652"/>
        <v/>
      </c>
      <c r="BS980" s="304" t="str">
        <f t="shared" si="652"/>
        <v/>
      </c>
      <c r="BT980" s="28"/>
      <c r="BU980" s="304" t="str">
        <f t="shared" si="653"/>
        <v/>
      </c>
      <c r="BV980" s="304" t="str">
        <f t="shared" si="653"/>
        <v/>
      </c>
      <c r="BW980" s="28"/>
      <c r="BX980" s="91"/>
    </row>
    <row r="981" spans="1:76" s="55" customFormat="1" x14ac:dyDescent="0.25">
      <c r="A981" s="195">
        <v>64</v>
      </c>
      <c r="B981" s="216" t="str">
        <f t="shared" si="642"/>
        <v>Latin America: FAO. 2017. Reducing Enteric Methane for improving food security and livelihoods</v>
      </c>
      <c r="C981" s="219" t="s">
        <v>488</v>
      </c>
      <c r="D981" s="379" t="s">
        <v>228</v>
      </c>
      <c r="E981" s="329" t="s">
        <v>100</v>
      </c>
      <c r="F981" s="341" t="s">
        <v>190</v>
      </c>
      <c r="G981" s="220" t="s">
        <v>26</v>
      </c>
      <c r="H981" s="221">
        <v>2017</v>
      </c>
      <c r="I981" s="240"/>
      <c r="J981" s="377">
        <v>39</v>
      </c>
      <c r="K981" s="382" t="s">
        <v>528</v>
      </c>
      <c r="L981" s="383">
        <f>J981*(1-0.038)*0.001/[1]conversions!$E$17*0.62</f>
        <v>0.28025493975903615</v>
      </c>
      <c r="M981" s="335" t="str">
        <f>'[1]Advanced Controls'!$I$158</f>
        <v>t CH4-CO2eq per kg of protein</v>
      </c>
      <c r="N981" s="238"/>
      <c r="O981" s="227" t="s">
        <v>583</v>
      </c>
      <c r="P981" s="122"/>
      <c r="Q981" s="228"/>
      <c r="R981" s="231">
        <f t="shared" si="654"/>
        <v>0.28025493975903615</v>
      </c>
      <c r="S981" s="230">
        <f t="shared" si="643"/>
        <v>0.28025493975903615</v>
      </c>
      <c r="T981" s="231">
        <f t="shared" si="655"/>
        <v>0</v>
      </c>
      <c r="U981" s="232" t="str">
        <f t="shared" si="644"/>
        <v>t CH4-CO2eq per kg of protein</v>
      </c>
      <c r="V981" s="28"/>
      <c r="W981" s="28"/>
      <c r="Y981" s="91"/>
      <c r="AO981" s="91"/>
      <c r="AP981" s="28"/>
      <c r="AQ981" s="28"/>
      <c r="AR981" s="237"/>
      <c r="AS981" s="28"/>
      <c r="AT981" s="304" t="str">
        <f t="shared" si="656"/>
        <v/>
      </c>
      <c r="AU981" s="304" t="str">
        <f t="shared" si="656"/>
        <v/>
      </c>
      <c r="AV981" s="28"/>
      <c r="AW981" s="304" t="str">
        <f t="shared" si="645"/>
        <v/>
      </c>
      <c r="AX981" s="304" t="str">
        <f t="shared" si="645"/>
        <v/>
      </c>
      <c r="AY981" s="28"/>
      <c r="AZ981" s="304" t="str">
        <f t="shared" si="646"/>
        <v/>
      </c>
      <c r="BA981" s="304" t="str">
        <f t="shared" si="646"/>
        <v/>
      </c>
      <c r="BB981" s="28"/>
      <c r="BC981" s="304" t="str">
        <f t="shared" si="647"/>
        <v/>
      </c>
      <c r="BD981" s="304" t="str">
        <f t="shared" si="647"/>
        <v/>
      </c>
      <c r="BE981" s="28"/>
      <c r="BF981" s="304" t="str">
        <f t="shared" si="648"/>
        <v/>
      </c>
      <c r="BG981" s="304" t="str">
        <f t="shared" si="648"/>
        <v/>
      </c>
      <c r="BH981" s="28"/>
      <c r="BI981" s="304">
        <f t="shared" si="649"/>
        <v>0.28025493975903615</v>
      </c>
      <c r="BJ981" s="304">
        <f t="shared" si="649"/>
        <v>0.28025493975903615</v>
      </c>
      <c r="BK981" s="28"/>
      <c r="BL981" s="304" t="str">
        <f t="shared" si="650"/>
        <v/>
      </c>
      <c r="BM981" s="304" t="str">
        <f t="shared" si="650"/>
        <v/>
      </c>
      <c r="BN981" s="28"/>
      <c r="BO981" s="304" t="str">
        <f t="shared" si="651"/>
        <v/>
      </c>
      <c r="BP981" s="304" t="str">
        <f t="shared" si="651"/>
        <v/>
      </c>
      <c r="BQ981" s="28"/>
      <c r="BR981" s="304" t="str">
        <f t="shared" si="652"/>
        <v/>
      </c>
      <c r="BS981" s="304" t="str">
        <f t="shared" si="652"/>
        <v/>
      </c>
      <c r="BT981" s="28"/>
      <c r="BU981" s="304" t="str">
        <f t="shared" si="653"/>
        <v/>
      </c>
      <c r="BV981" s="304" t="str">
        <f t="shared" si="653"/>
        <v/>
      </c>
      <c r="BW981" s="28"/>
      <c r="BX981" s="91"/>
    </row>
    <row r="982" spans="1:76" s="55" customFormat="1" x14ac:dyDescent="0.25">
      <c r="A982" s="195">
        <v>65</v>
      </c>
      <c r="B982" s="216" t="str">
        <f t="shared" si="642"/>
        <v>Latin America: FAO. 2017. Reducing Enteric Methane for improving food security and livelihoods</v>
      </c>
      <c r="C982" s="219" t="s">
        <v>488</v>
      </c>
      <c r="D982" s="379" t="s">
        <v>228</v>
      </c>
      <c r="E982" s="329" t="s">
        <v>100</v>
      </c>
      <c r="F982" s="341" t="s">
        <v>190</v>
      </c>
      <c r="G982" s="220" t="s">
        <v>26</v>
      </c>
      <c r="H982" s="221">
        <v>2017</v>
      </c>
      <c r="I982" s="240"/>
      <c r="J982" s="377">
        <v>52</v>
      </c>
      <c r="K982" s="382" t="s">
        <v>528</v>
      </c>
      <c r="L982" s="383">
        <f>J982*(1-0.044)*0.001/[1]conversions!$E$17*0.62</f>
        <v>0.37134265060240956</v>
      </c>
      <c r="M982" s="335" t="str">
        <f>'[1]Advanced Controls'!$I$158</f>
        <v>t CH4-CO2eq per kg of protein</v>
      </c>
      <c r="N982" s="238"/>
      <c r="O982" s="227" t="s">
        <v>584</v>
      </c>
      <c r="P982" s="122"/>
      <c r="Q982" s="228"/>
      <c r="R982" s="231">
        <f t="shared" si="654"/>
        <v>0.37134265060240956</v>
      </c>
      <c r="S982" s="230">
        <f t="shared" ref="S982:S1045" si="657">IF(R982="","",IF($R$1056="Y",T982,IF(R982&gt;=$R$1048-$AA$35*$R$1052,IF(R982&lt;=$R$1048+$AA$35*$R$1052,R982,""),"")))</f>
        <v>0.37134265060240956</v>
      </c>
      <c r="T982" s="231" t="str">
        <f t="shared" si="655"/>
        <v/>
      </c>
      <c r="U982" s="232" t="str">
        <f t="shared" si="644"/>
        <v>t CH4-CO2eq per kg of protein</v>
      </c>
      <c r="V982" s="28"/>
      <c r="W982" s="28"/>
      <c r="Y982" s="91"/>
      <c r="AO982" s="91"/>
      <c r="AP982" s="28"/>
      <c r="AQ982" s="28"/>
      <c r="AR982" s="237"/>
      <c r="AS982" s="28"/>
      <c r="AT982" s="304" t="str">
        <f t="shared" si="656"/>
        <v/>
      </c>
      <c r="AU982" s="304" t="str">
        <f t="shared" si="656"/>
        <v/>
      </c>
      <c r="AV982" s="28"/>
      <c r="AW982" s="304" t="str">
        <f t="shared" si="645"/>
        <v/>
      </c>
      <c r="AX982" s="304" t="str">
        <f t="shared" si="645"/>
        <v/>
      </c>
      <c r="AY982" s="28"/>
      <c r="AZ982" s="304" t="str">
        <f t="shared" si="646"/>
        <v/>
      </c>
      <c r="BA982" s="304" t="str">
        <f t="shared" si="646"/>
        <v/>
      </c>
      <c r="BB982" s="28"/>
      <c r="BC982" s="304" t="str">
        <f t="shared" si="647"/>
        <v/>
      </c>
      <c r="BD982" s="304" t="str">
        <f t="shared" si="647"/>
        <v/>
      </c>
      <c r="BE982" s="28"/>
      <c r="BF982" s="304" t="str">
        <f t="shared" si="648"/>
        <v/>
      </c>
      <c r="BG982" s="304" t="str">
        <f t="shared" si="648"/>
        <v/>
      </c>
      <c r="BH982" s="28"/>
      <c r="BI982" s="304">
        <f t="shared" si="649"/>
        <v>0.37134265060240956</v>
      </c>
      <c r="BJ982" s="304">
        <f t="shared" si="649"/>
        <v>0.37134265060240956</v>
      </c>
      <c r="BK982" s="28"/>
      <c r="BL982" s="304" t="str">
        <f t="shared" si="650"/>
        <v/>
      </c>
      <c r="BM982" s="304" t="str">
        <f t="shared" si="650"/>
        <v/>
      </c>
      <c r="BN982" s="28"/>
      <c r="BO982" s="304" t="str">
        <f t="shared" si="651"/>
        <v/>
      </c>
      <c r="BP982" s="304" t="str">
        <f t="shared" si="651"/>
        <v/>
      </c>
      <c r="BQ982" s="28"/>
      <c r="BR982" s="304" t="str">
        <f t="shared" si="652"/>
        <v/>
      </c>
      <c r="BS982" s="304" t="str">
        <f t="shared" si="652"/>
        <v/>
      </c>
      <c r="BT982" s="28"/>
      <c r="BU982" s="304" t="str">
        <f t="shared" si="653"/>
        <v/>
      </c>
      <c r="BV982" s="304" t="str">
        <f t="shared" si="653"/>
        <v/>
      </c>
      <c r="BW982" s="28"/>
      <c r="BX982" s="91"/>
    </row>
    <row r="983" spans="1:76" s="55" customFormat="1" x14ac:dyDescent="0.25">
      <c r="A983" s="195">
        <v>66</v>
      </c>
      <c r="B983" s="216" t="str">
        <f t="shared" si="642"/>
        <v>Latin America: FAO. 2017. Reducing Enteric Methane for improving food security and livelihoods</v>
      </c>
      <c r="C983" s="219" t="s">
        <v>488</v>
      </c>
      <c r="D983" s="379" t="s">
        <v>228</v>
      </c>
      <c r="E983" s="329" t="s">
        <v>100</v>
      </c>
      <c r="F983" s="341" t="s">
        <v>190</v>
      </c>
      <c r="G983" s="220" t="s">
        <v>26</v>
      </c>
      <c r="H983" s="221">
        <v>2017</v>
      </c>
      <c r="I983" s="240"/>
      <c r="J983" s="377">
        <v>7.2</v>
      </c>
      <c r="K983" s="382" t="s">
        <v>528</v>
      </c>
      <c r="L983" s="383">
        <f>J983*(1-0.185)*0.001/[1]conversions!$E$17*0.62</f>
        <v>4.3833253012048191E-2</v>
      </c>
      <c r="M983" s="335" t="str">
        <f>'[1]Advanced Controls'!$I$158</f>
        <v>t CH4-CO2eq per kg of protein</v>
      </c>
      <c r="N983" s="238"/>
      <c r="O983" s="227" t="s">
        <v>585</v>
      </c>
      <c r="P983" s="122"/>
      <c r="Q983" s="228"/>
      <c r="R983" s="231">
        <f t="shared" ref="R983:R1046" si="658">IF(Q983="Y","",IF(AND(L983="",J983=""),"",IF(L983="",J983,L983)))</f>
        <v>4.3833253012048191E-2</v>
      </c>
      <c r="S983" s="230">
        <f t="shared" si="657"/>
        <v>4.3833253012048191E-2</v>
      </c>
      <c r="T983" s="231">
        <f t="shared" ref="T983:T1028" si="659">IF(OR(Q983="Y",IFERROR(R983&gt;R1002+R1006*$AA$35,0),IFERROR(R983&lt;R1002-R1006*$AA$35,0)),"",IFERROR(R983*N983,""))</f>
        <v>0</v>
      </c>
      <c r="U983" s="232" t="str">
        <f t="shared" si="644"/>
        <v>t CH4-CO2eq per kg of protein</v>
      </c>
      <c r="V983" s="28"/>
      <c r="W983" s="28"/>
      <c r="Y983" s="91"/>
      <c r="AO983" s="91"/>
      <c r="AP983" s="28"/>
      <c r="AQ983" s="28"/>
      <c r="AR983" s="237"/>
      <c r="AS983" s="28"/>
      <c r="AT983" s="304" t="str">
        <f t="shared" ref="AT983:AU1028" si="660">IF($E983=$AT$47,R983,"")</f>
        <v/>
      </c>
      <c r="AU983" s="304" t="str">
        <f t="shared" si="660"/>
        <v/>
      </c>
      <c r="AV983" s="28"/>
      <c r="AW983" s="304" t="str">
        <f t="shared" si="645"/>
        <v/>
      </c>
      <c r="AX983" s="304" t="str">
        <f t="shared" si="645"/>
        <v/>
      </c>
      <c r="AY983" s="28"/>
      <c r="AZ983" s="304" t="str">
        <f t="shared" si="646"/>
        <v/>
      </c>
      <c r="BA983" s="304" t="str">
        <f t="shared" si="646"/>
        <v/>
      </c>
      <c r="BB983" s="28"/>
      <c r="BC983" s="304" t="str">
        <f t="shared" si="647"/>
        <v/>
      </c>
      <c r="BD983" s="304" t="str">
        <f t="shared" si="647"/>
        <v/>
      </c>
      <c r="BE983" s="28"/>
      <c r="BF983" s="304" t="str">
        <f t="shared" si="648"/>
        <v/>
      </c>
      <c r="BG983" s="304" t="str">
        <f t="shared" si="648"/>
        <v/>
      </c>
      <c r="BH983" s="28"/>
      <c r="BI983" s="304">
        <f t="shared" si="649"/>
        <v>4.3833253012048191E-2</v>
      </c>
      <c r="BJ983" s="304">
        <f t="shared" si="649"/>
        <v>4.3833253012048191E-2</v>
      </c>
      <c r="BK983" s="28"/>
      <c r="BL983" s="304" t="str">
        <f t="shared" si="650"/>
        <v/>
      </c>
      <c r="BM983" s="304" t="str">
        <f t="shared" si="650"/>
        <v/>
      </c>
      <c r="BN983" s="28"/>
      <c r="BO983" s="304" t="str">
        <f t="shared" si="651"/>
        <v/>
      </c>
      <c r="BP983" s="304" t="str">
        <f t="shared" si="651"/>
        <v/>
      </c>
      <c r="BQ983" s="28"/>
      <c r="BR983" s="304" t="str">
        <f t="shared" si="652"/>
        <v/>
      </c>
      <c r="BS983" s="304" t="str">
        <f t="shared" si="652"/>
        <v/>
      </c>
      <c r="BT983" s="28"/>
      <c r="BU983" s="304" t="str">
        <f t="shared" si="653"/>
        <v/>
      </c>
      <c r="BV983" s="304" t="str">
        <f t="shared" si="653"/>
        <v/>
      </c>
      <c r="BW983" s="28"/>
      <c r="BX983" s="91"/>
    </row>
    <row r="984" spans="1:76" s="55" customFormat="1" x14ac:dyDescent="0.25">
      <c r="A984" s="195">
        <v>67</v>
      </c>
      <c r="B984" s="216" t="str">
        <f t="shared" si="642"/>
        <v>Latin America: FAO. 2017. Reducing Enteric Methane for improving food security and livelihoods</v>
      </c>
      <c r="C984" s="219" t="s">
        <v>488</v>
      </c>
      <c r="D984" s="379" t="s">
        <v>228</v>
      </c>
      <c r="E984" s="329" t="s">
        <v>100</v>
      </c>
      <c r="F984" s="341" t="s">
        <v>190</v>
      </c>
      <c r="G984" s="220" t="s">
        <v>26</v>
      </c>
      <c r="H984" s="221">
        <v>2017</v>
      </c>
      <c r="I984" s="240"/>
      <c r="J984" s="377">
        <v>9.6</v>
      </c>
      <c r="K984" s="382" t="s">
        <v>528</v>
      </c>
      <c r="L984" s="383">
        <f>J984*(1-0.173)*0.001/[1]conversions!$E$17*0.62</f>
        <v>5.9304867469879514E-2</v>
      </c>
      <c r="M984" s="335" t="str">
        <f>'[1]Advanced Controls'!$I$158</f>
        <v>t CH4-CO2eq per kg of protein</v>
      </c>
      <c r="N984" s="238"/>
      <c r="O984" s="227" t="s">
        <v>586</v>
      </c>
      <c r="P984" s="122"/>
      <c r="Q984" s="228"/>
      <c r="R984" s="231">
        <f t="shared" si="658"/>
        <v>5.9304867469879514E-2</v>
      </c>
      <c r="S984" s="230">
        <f t="shared" si="657"/>
        <v>5.9304867469879514E-2</v>
      </c>
      <c r="T984" s="231">
        <f t="shared" si="659"/>
        <v>0</v>
      </c>
      <c r="U984" s="232" t="str">
        <f t="shared" si="644"/>
        <v>t CH4-CO2eq per kg of protein</v>
      </c>
      <c r="V984" s="28"/>
      <c r="W984" s="28"/>
      <c r="Y984" s="91"/>
      <c r="AO984" s="91"/>
      <c r="AP984" s="28"/>
      <c r="AQ984" s="28"/>
      <c r="AR984" s="237"/>
      <c r="AS984" s="28"/>
      <c r="AT984" s="304" t="str">
        <f t="shared" si="660"/>
        <v/>
      </c>
      <c r="AU984" s="304" t="str">
        <f t="shared" si="660"/>
        <v/>
      </c>
      <c r="AV984" s="28"/>
      <c r="AW984" s="304" t="str">
        <f t="shared" si="645"/>
        <v/>
      </c>
      <c r="AX984" s="304" t="str">
        <f t="shared" si="645"/>
        <v/>
      </c>
      <c r="AY984" s="28"/>
      <c r="AZ984" s="304" t="str">
        <f t="shared" si="646"/>
        <v/>
      </c>
      <c r="BA984" s="304" t="str">
        <f t="shared" si="646"/>
        <v/>
      </c>
      <c r="BB984" s="28"/>
      <c r="BC984" s="304" t="str">
        <f t="shared" si="647"/>
        <v/>
      </c>
      <c r="BD984" s="304" t="str">
        <f t="shared" si="647"/>
        <v/>
      </c>
      <c r="BE984" s="28"/>
      <c r="BF984" s="304" t="str">
        <f t="shared" si="648"/>
        <v/>
      </c>
      <c r="BG984" s="304" t="str">
        <f t="shared" si="648"/>
        <v/>
      </c>
      <c r="BH984" s="28"/>
      <c r="BI984" s="304">
        <f t="shared" si="649"/>
        <v>5.9304867469879514E-2</v>
      </c>
      <c r="BJ984" s="304">
        <f t="shared" si="649"/>
        <v>5.9304867469879514E-2</v>
      </c>
      <c r="BK984" s="28"/>
      <c r="BL984" s="304" t="str">
        <f t="shared" si="650"/>
        <v/>
      </c>
      <c r="BM984" s="304" t="str">
        <f t="shared" si="650"/>
        <v/>
      </c>
      <c r="BN984" s="28"/>
      <c r="BO984" s="304" t="str">
        <f t="shared" si="651"/>
        <v/>
      </c>
      <c r="BP984" s="304" t="str">
        <f t="shared" si="651"/>
        <v/>
      </c>
      <c r="BQ984" s="28"/>
      <c r="BR984" s="304" t="str">
        <f t="shared" si="652"/>
        <v/>
      </c>
      <c r="BS984" s="304" t="str">
        <f t="shared" si="652"/>
        <v/>
      </c>
      <c r="BT984" s="28"/>
      <c r="BU984" s="304" t="str">
        <f t="shared" si="653"/>
        <v/>
      </c>
      <c r="BV984" s="304" t="str">
        <f t="shared" si="653"/>
        <v/>
      </c>
      <c r="BW984" s="28"/>
      <c r="BX984" s="91"/>
    </row>
    <row r="985" spans="1:76" s="55" customFormat="1" x14ac:dyDescent="0.25">
      <c r="A985" s="195">
        <v>68</v>
      </c>
      <c r="B985" s="216" t="str">
        <f t="shared" si="642"/>
        <v>Latin America: FAO. 2017. Reducing Enteric Methane for improving food security and livelihoods</v>
      </c>
      <c r="C985" s="219" t="s">
        <v>488</v>
      </c>
      <c r="D985" s="379" t="s">
        <v>228</v>
      </c>
      <c r="E985" s="329" t="s">
        <v>100</v>
      </c>
      <c r="F985" s="341" t="s">
        <v>190</v>
      </c>
      <c r="G985" s="220" t="s">
        <v>26</v>
      </c>
      <c r="H985" s="221">
        <v>2017</v>
      </c>
      <c r="I985" s="240"/>
      <c r="J985" s="377">
        <v>7.1</v>
      </c>
      <c r="K985" s="382" t="s">
        <v>528</v>
      </c>
      <c r="L985" s="383">
        <f>J985*(1-0.35)*0.001/[1]conversions!$E$17*0.62</f>
        <v>3.4473493975903616E-2</v>
      </c>
      <c r="M985" s="335" t="str">
        <f>'[1]Advanced Controls'!$I$158</f>
        <v>t CH4-CO2eq per kg of protein</v>
      </c>
      <c r="N985" s="238"/>
      <c r="O985" s="227" t="s">
        <v>587</v>
      </c>
      <c r="P985" s="122"/>
      <c r="Q985" s="228"/>
      <c r="R985" s="231">
        <f t="shared" si="658"/>
        <v>3.4473493975903616E-2</v>
      </c>
      <c r="S985" s="230">
        <f t="shared" si="657"/>
        <v>3.4473493975903616E-2</v>
      </c>
      <c r="T985" s="231">
        <f t="shared" si="659"/>
        <v>0</v>
      </c>
      <c r="U985" s="232" t="str">
        <f t="shared" si="644"/>
        <v>t CH4-CO2eq per kg of protein</v>
      </c>
      <c r="V985" s="28"/>
      <c r="W985" s="28"/>
      <c r="Y985" s="91"/>
      <c r="AO985" s="91"/>
      <c r="AP985" s="28"/>
      <c r="AQ985" s="28"/>
      <c r="AR985" s="237"/>
      <c r="AS985" s="28"/>
      <c r="AT985" s="304" t="str">
        <f t="shared" si="660"/>
        <v/>
      </c>
      <c r="AU985" s="304" t="str">
        <f t="shared" si="660"/>
        <v/>
      </c>
      <c r="AV985" s="28"/>
      <c r="AW985" s="304" t="str">
        <f t="shared" si="645"/>
        <v/>
      </c>
      <c r="AX985" s="304" t="str">
        <f t="shared" si="645"/>
        <v/>
      </c>
      <c r="AY985" s="28"/>
      <c r="AZ985" s="304" t="str">
        <f t="shared" si="646"/>
        <v/>
      </c>
      <c r="BA985" s="304" t="str">
        <f t="shared" si="646"/>
        <v/>
      </c>
      <c r="BB985" s="28"/>
      <c r="BC985" s="304" t="str">
        <f t="shared" si="647"/>
        <v/>
      </c>
      <c r="BD985" s="304" t="str">
        <f t="shared" si="647"/>
        <v/>
      </c>
      <c r="BE985" s="28"/>
      <c r="BF985" s="304" t="str">
        <f t="shared" si="648"/>
        <v/>
      </c>
      <c r="BG985" s="304" t="str">
        <f t="shared" si="648"/>
        <v/>
      </c>
      <c r="BH985" s="28"/>
      <c r="BI985" s="304">
        <f t="shared" si="649"/>
        <v>3.4473493975903616E-2</v>
      </c>
      <c r="BJ985" s="304">
        <f t="shared" si="649"/>
        <v>3.4473493975903616E-2</v>
      </c>
      <c r="BK985" s="28"/>
      <c r="BL985" s="304" t="str">
        <f t="shared" si="650"/>
        <v/>
      </c>
      <c r="BM985" s="304" t="str">
        <f t="shared" si="650"/>
        <v/>
      </c>
      <c r="BN985" s="28"/>
      <c r="BO985" s="304" t="str">
        <f t="shared" si="651"/>
        <v/>
      </c>
      <c r="BP985" s="304" t="str">
        <f t="shared" si="651"/>
        <v/>
      </c>
      <c r="BQ985" s="28"/>
      <c r="BR985" s="304" t="str">
        <f t="shared" si="652"/>
        <v/>
      </c>
      <c r="BS985" s="304" t="str">
        <f t="shared" si="652"/>
        <v/>
      </c>
      <c r="BT985" s="28"/>
      <c r="BU985" s="304" t="str">
        <f t="shared" si="653"/>
        <v/>
      </c>
      <c r="BV985" s="304" t="str">
        <f t="shared" si="653"/>
        <v/>
      </c>
      <c r="BW985" s="28"/>
      <c r="BX985" s="91"/>
    </row>
    <row r="986" spans="1:76" s="55" customFormat="1" x14ac:dyDescent="0.25">
      <c r="A986" s="195">
        <v>69</v>
      </c>
      <c r="B986" s="216" t="str">
        <f t="shared" si="642"/>
        <v>Latin America: FAO. 2017. Reducing Enteric Methane for improving food security and livelihoods</v>
      </c>
      <c r="C986" s="219" t="s">
        <v>488</v>
      </c>
      <c r="D986" s="379" t="s">
        <v>228</v>
      </c>
      <c r="E986" s="329" t="s">
        <v>100</v>
      </c>
      <c r="F986" s="341" t="s">
        <v>190</v>
      </c>
      <c r="G986" s="220" t="s">
        <v>26</v>
      </c>
      <c r="H986" s="221">
        <v>2017</v>
      </c>
      <c r="I986" s="240"/>
      <c r="J986" s="377">
        <v>7.2</v>
      </c>
      <c r="K986" s="382" t="s">
        <v>528</v>
      </c>
      <c r="L986" s="383">
        <f>J986*(1-0.028)*0.001/[1]conversions!$E$17*0.62</f>
        <v>5.2277204819277105E-2</v>
      </c>
      <c r="M986" s="335" t="str">
        <f>'[1]Advanced Controls'!$I$158</f>
        <v>t CH4-CO2eq per kg of protein</v>
      </c>
      <c r="N986" s="238"/>
      <c r="O986" s="227" t="s">
        <v>588</v>
      </c>
      <c r="P986" s="122"/>
      <c r="Q986" s="228"/>
      <c r="R986" s="231">
        <f t="shared" si="658"/>
        <v>5.2277204819277105E-2</v>
      </c>
      <c r="S986" s="230">
        <f t="shared" si="657"/>
        <v>5.2277204819277105E-2</v>
      </c>
      <c r="T986" s="231">
        <f t="shared" si="659"/>
        <v>0</v>
      </c>
      <c r="U986" s="232" t="str">
        <f t="shared" si="644"/>
        <v>t CH4-CO2eq per kg of protein</v>
      </c>
      <c r="V986" s="28"/>
      <c r="W986" s="28"/>
      <c r="Y986" s="91"/>
      <c r="AO986" s="91"/>
      <c r="AP986" s="28"/>
      <c r="AQ986" s="28"/>
      <c r="AR986" s="237"/>
      <c r="AS986" s="28"/>
      <c r="AT986" s="304" t="str">
        <f t="shared" si="660"/>
        <v/>
      </c>
      <c r="AU986" s="304" t="str">
        <f t="shared" si="660"/>
        <v/>
      </c>
      <c r="AV986" s="28"/>
      <c r="AW986" s="304" t="str">
        <f t="shared" si="645"/>
        <v/>
      </c>
      <c r="AX986" s="304" t="str">
        <f t="shared" si="645"/>
        <v/>
      </c>
      <c r="AY986" s="28"/>
      <c r="AZ986" s="304" t="str">
        <f t="shared" si="646"/>
        <v/>
      </c>
      <c r="BA986" s="304" t="str">
        <f t="shared" si="646"/>
        <v/>
      </c>
      <c r="BB986" s="28"/>
      <c r="BC986" s="304" t="str">
        <f t="shared" si="647"/>
        <v/>
      </c>
      <c r="BD986" s="304" t="str">
        <f t="shared" si="647"/>
        <v/>
      </c>
      <c r="BE986" s="28"/>
      <c r="BF986" s="304" t="str">
        <f t="shared" si="648"/>
        <v/>
      </c>
      <c r="BG986" s="304" t="str">
        <f t="shared" si="648"/>
        <v/>
      </c>
      <c r="BH986" s="28"/>
      <c r="BI986" s="304">
        <f t="shared" si="649"/>
        <v>5.2277204819277105E-2</v>
      </c>
      <c r="BJ986" s="304">
        <f t="shared" si="649"/>
        <v>5.2277204819277105E-2</v>
      </c>
      <c r="BK986" s="28"/>
      <c r="BL986" s="304" t="str">
        <f t="shared" si="650"/>
        <v/>
      </c>
      <c r="BM986" s="304" t="str">
        <f t="shared" si="650"/>
        <v/>
      </c>
      <c r="BN986" s="28"/>
      <c r="BO986" s="304" t="str">
        <f t="shared" si="651"/>
        <v/>
      </c>
      <c r="BP986" s="304" t="str">
        <f t="shared" si="651"/>
        <v/>
      </c>
      <c r="BQ986" s="28"/>
      <c r="BR986" s="304" t="str">
        <f t="shared" si="652"/>
        <v/>
      </c>
      <c r="BS986" s="304" t="str">
        <f t="shared" si="652"/>
        <v/>
      </c>
      <c r="BT986" s="28"/>
      <c r="BU986" s="304" t="str">
        <f t="shared" si="653"/>
        <v/>
      </c>
      <c r="BV986" s="304" t="str">
        <f t="shared" si="653"/>
        <v/>
      </c>
      <c r="BW986" s="28"/>
      <c r="BX986" s="91"/>
    </row>
    <row r="987" spans="1:76" s="55" customFormat="1" x14ac:dyDescent="0.25">
      <c r="A987" s="195">
        <v>70</v>
      </c>
      <c r="B987" s="216" t="str">
        <f t="shared" si="642"/>
        <v>Latin America: FAO. 2017. Reducing Enteric Methane for improving food security and livelihoods</v>
      </c>
      <c r="C987" s="219" t="s">
        <v>488</v>
      </c>
      <c r="D987" s="379" t="s">
        <v>228</v>
      </c>
      <c r="E987" s="329" t="s">
        <v>100</v>
      </c>
      <c r="F987" s="341" t="s">
        <v>190</v>
      </c>
      <c r="G987" s="220" t="s">
        <v>26</v>
      </c>
      <c r="H987" s="221">
        <v>2017</v>
      </c>
      <c r="I987" s="240"/>
      <c r="J987" s="377">
        <v>9.6</v>
      </c>
      <c r="K987" s="382" t="s">
        <v>528</v>
      </c>
      <c r="L987" s="383">
        <f>J987*(1-0.048)*0.001/[1]conversions!$E$17*0.62</f>
        <v>6.8268722891566241E-2</v>
      </c>
      <c r="M987" s="335" t="str">
        <f>'[1]Advanced Controls'!$I$158</f>
        <v>t CH4-CO2eq per kg of protein</v>
      </c>
      <c r="N987" s="238"/>
      <c r="O987" s="227" t="s">
        <v>589</v>
      </c>
      <c r="P987" s="122"/>
      <c r="Q987" s="228"/>
      <c r="R987" s="231">
        <f t="shared" si="658"/>
        <v>6.8268722891566241E-2</v>
      </c>
      <c r="S987" s="230">
        <f t="shared" si="657"/>
        <v>6.8268722891566241E-2</v>
      </c>
      <c r="T987" s="231">
        <f t="shared" si="659"/>
        <v>0</v>
      </c>
      <c r="U987" s="232" t="str">
        <f t="shared" si="644"/>
        <v>t CH4-CO2eq per kg of protein</v>
      </c>
      <c r="V987" s="28"/>
      <c r="W987" s="28"/>
      <c r="Y987" s="91"/>
      <c r="AO987" s="91"/>
      <c r="AP987" s="28"/>
      <c r="AQ987" s="28"/>
      <c r="AR987" s="237"/>
      <c r="AS987" s="28"/>
      <c r="AT987" s="304" t="str">
        <f t="shared" si="660"/>
        <v/>
      </c>
      <c r="AU987" s="304" t="str">
        <f t="shared" si="660"/>
        <v/>
      </c>
      <c r="AV987" s="28"/>
      <c r="AW987" s="304" t="str">
        <f t="shared" si="645"/>
        <v/>
      </c>
      <c r="AX987" s="304" t="str">
        <f t="shared" si="645"/>
        <v/>
      </c>
      <c r="AY987" s="28"/>
      <c r="AZ987" s="304" t="str">
        <f t="shared" si="646"/>
        <v/>
      </c>
      <c r="BA987" s="304" t="str">
        <f t="shared" si="646"/>
        <v/>
      </c>
      <c r="BB987" s="28"/>
      <c r="BC987" s="304" t="str">
        <f t="shared" si="647"/>
        <v/>
      </c>
      <c r="BD987" s="304" t="str">
        <f t="shared" si="647"/>
        <v/>
      </c>
      <c r="BE987" s="28"/>
      <c r="BF987" s="304" t="str">
        <f t="shared" si="648"/>
        <v/>
      </c>
      <c r="BG987" s="304" t="str">
        <f t="shared" si="648"/>
        <v/>
      </c>
      <c r="BH987" s="28"/>
      <c r="BI987" s="304">
        <f t="shared" si="649"/>
        <v>6.8268722891566241E-2</v>
      </c>
      <c r="BJ987" s="304">
        <f t="shared" si="649"/>
        <v>6.8268722891566241E-2</v>
      </c>
      <c r="BK987" s="28"/>
      <c r="BL987" s="304" t="str">
        <f t="shared" si="650"/>
        <v/>
      </c>
      <c r="BM987" s="304" t="str">
        <f t="shared" si="650"/>
        <v/>
      </c>
      <c r="BN987" s="28"/>
      <c r="BO987" s="304" t="str">
        <f t="shared" si="651"/>
        <v/>
      </c>
      <c r="BP987" s="304" t="str">
        <f t="shared" si="651"/>
        <v/>
      </c>
      <c r="BQ987" s="28"/>
      <c r="BR987" s="304" t="str">
        <f t="shared" si="652"/>
        <v/>
      </c>
      <c r="BS987" s="304" t="str">
        <f t="shared" si="652"/>
        <v/>
      </c>
      <c r="BT987" s="28"/>
      <c r="BU987" s="304" t="str">
        <f t="shared" si="653"/>
        <v/>
      </c>
      <c r="BV987" s="304" t="str">
        <f t="shared" si="653"/>
        <v/>
      </c>
      <c r="BW987" s="28"/>
      <c r="BX987" s="91"/>
    </row>
    <row r="988" spans="1:76" s="55" customFormat="1" x14ac:dyDescent="0.25">
      <c r="A988" s="195">
        <v>71</v>
      </c>
      <c r="B988" s="216" t="str">
        <f t="shared" si="642"/>
        <v>Latin America: FAO. 2017. Reducing Enteric Methane for improving food security and livelihoods</v>
      </c>
      <c r="C988" s="219" t="s">
        <v>488</v>
      </c>
      <c r="D988" s="379" t="s">
        <v>228</v>
      </c>
      <c r="E988" s="329" t="s">
        <v>100</v>
      </c>
      <c r="F988" s="341" t="s">
        <v>190</v>
      </c>
      <c r="G988" s="220" t="s">
        <v>26</v>
      </c>
      <c r="H988" s="221">
        <v>2017</v>
      </c>
      <c r="I988" s="240"/>
      <c r="J988" s="377">
        <v>7.1</v>
      </c>
      <c r="K988" s="382" t="s">
        <v>528</v>
      </c>
      <c r="L988" s="383">
        <f>J988*(1-0.085)*0.001/[1]conversions!$E$17*0.62</f>
        <v>4.8528072289156628E-2</v>
      </c>
      <c r="M988" s="335" t="str">
        <f>'[1]Advanced Controls'!$I$158</f>
        <v>t CH4-CO2eq per kg of protein</v>
      </c>
      <c r="N988" s="238"/>
      <c r="O988" s="227" t="s">
        <v>590</v>
      </c>
      <c r="P988" s="122"/>
      <c r="Q988" s="228"/>
      <c r="R988" s="231">
        <f t="shared" si="658"/>
        <v>4.8528072289156628E-2</v>
      </c>
      <c r="S988" s="230">
        <f t="shared" si="657"/>
        <v>4.8528072289156628E-2</v>
      </c>
      <c r="T988" s="231">
        <f t="shared" si="659"/>
        <v>0</v>
      </c>
      <c r="U988" s="232" t="str">
        <f t="shared" si="644"/>
        <v>t CH4-CO2eq per kg of protein</v>
      </c>
      <c r="V988" s="28"/>
      <c r="W988" s="28"/>
      <c r="Y988" s="91"/>
      <c r="AO988" s="91"/>
      <c r="AP988" s="28"/>
      <c r="AQ988" s="28"/>
      <c r="AR988" s="237"/>
      <c r="AS988" s="28"/>
      <c r="AT988" s="304" t="str">
        <f t="shared" si="660"/>
        <v/>
      </c>
      <c r="AU988" s="304" t="str">
        <f t="shared" si="660"/>
        <v/>
      </c>
      <c r="AV988" s="28"/>
      <c r="AW988" s="304" t="str">
        <f t="shared" si="645"/>
        <v/>
      </c>
      <c r="AX988" s="304" t="str">
        <f t="shared" si="645"/>
        <v/>
      </c>
      <c r="AY988" s="28"/>
      <c r="AZ988" s="304" t="str">
        <f t="shared" si="646"/>
        <v/>
      </c>
      <c r="BA988" s="304" t="str">
        <f t="shared" si="646"/>
        <v/>
      </c>
      <c r="BB988" s="28"/>
      <c r="BC988" s="304" t="str">
        <f t="shared" si="647"/>
        <v/>
      </c>
      <c r="BD988" s="304" t="str">
        <f t="shared" si="647"/>
        <v/>
      </c>
      <c r="BE988" s="28"/>
      <c r="BF988" s="304" t="str">
        <f t="shared" si="648"/>
        <v/>
      </c>
      <c r="BG988" s="304" t="str">
        <f t="shared" si="648"/>
        <v/>
      </c>
      <c r="BH988" s="28"/>
      <c r="BI988" s="304">
        <f t="shared" si="649"/>
        <v>4.8528072289156628E-2</v>
      </c>
      <c r="BJ988" s="304">
        <f t="shared" si="649"/>
        <v>4.8528072289156628E-2</v>
      </c>
      <c r="BK988" s="28"/>
      <c r="BL988" s="304" t="str">
        <f t="shared" si="650"/>
        <v/>
      </c>
      <c r="BM988" s="304" t="str">
        <f t="shared" si="650"/>
        <v/>
      </c>
      <c r="BN988" s="28"/>
      <c r="BO988" s="304" t="str">
        <f t="shared" si="651"/>
        <v/>
      </c>
      <c r="BP988" s="304" t="str">
        <f t="shared" si="651"/>
        <v/>
      </c>
      <c r="BQ988" s="28"/>
      <c r="BR988" s="304" t="str">
        <f t="shared" si="652"/>
        <v/>
      </c>
      <c r="BS988" s="304" t="str">
        <f t="shared" si="652"/>
        <v/>
      </c>
      <c r="BT988" s="28"/>
      <c r="BU988" s="304" t="str">
        <f t="shared" si="653"/>
        <v/>
      </c>
      <c r="BV988" s="304" t="str">
        <f t="shared" si="653"/>
        <v/>
      </c>
      <c r="BW988" s="28"/>
      <c r="BX988" s="91"/>
    </row>
    <row r="989" spans="1:76" s="55" customFormat="1" x14ac:dyDescent="0.25">
      <c r="A989" s="195">
        <v>72</v>
      </c>
      <c r="B989" s="216" t="str">
        <f t="shared" si="642"/>
        <v>Latin America: FAO. 2017. Reducing Enteric Methane for improving food security and livelihoods</v>
      </c>
      <c r="C989" s="219" t="s">
        <v>488</v>
      </c>
      <c r="D989" s="379" t="s">
        <v>295</v>
      </c>
      <c r="E989" s="329" t="s">
        <v>100</v>
      </c>
      <c r="F989" s="341" t="s">
        <v>532</v>
      </c>
      <c r="G989" s="220" t="s">
        <v>26</v>
      </c>
      <c r="H989" s="221">
        <v>2017</v>
      </c>
      <c r="I989" s="240"/>
      <c r="J989" s="377">
        <v>35.5</v>
      </c>
      <c r="K989" s="382" t="s">
        <v>528</v>
      </c>
      <c r="L989" s="383">
        <f>J989*(1-0.567)*0.001/[1]conversions!$E$17*0.62</f>
        <v>0.1148232530120482</v>
      </c>
      <c r="M989" s="335" t="str">
        <f>'[1]Advanced Controls'!$I$158</f>
        <v>t CH4-CO2eq per kg of protein</v>
      </c>
      <c r="N989" s="238"/>
      <c r="O989" s="227" t="s">
        <v>591</v>
      </c>
      <c r="P989" s="122"/>
      <c r="Q989" s="228"/>
      <c r="R989" s="231">
        <f t="shared" si="658"/>
        <v>0.1148232530120482</v>
      </c>
      <c r="S989" s="230">
        <f t="shared" si="657"/>
        <v>0.1148232530120482</v>
      </c>
      <c r="T989" s="231">
        <f t="shared" si="659"/>
        <v>0</v>
      </c>
      <c r="U989" s="232" t="str">
        <f t="shared" si="644"/>
        <v>t CH4-CO2eq per kg of protein</v>
      </c>
      <c r="V989" s="28"/>
      <c r="W989" s="28"/>
      <c r="Y989" s="91"/>
      <c r="AO989" s="91"/>
      <c r="AP989" s="28"/>
      <c r="AQ989" s="28"/>
      <c r="AR989" s="237"/>
      <c r="AS989" s="28"/>
      <c r="AT989" s="304" t="str">
        <f t="shared" si="660"/>
        <v/>
      </c>
      <c r="AU989" s="304" t="str">
        <f t="shared" si="660"/>
        <v/>
      </c>
      <c r="AV989" s="28"/>
      <c r="AW989" s="304" t="str">
        <f t="shared" si="645"/>
        <v/>
      </c>
      <c r="AX989" s="304" t="str">
        <f t="shared" si="645"/>
        <v/>
      </c>
      <c r="AY989" s="28"/>
      <c r="AZ989" s="304" t="str">
        <f t="shared" si="646"/>
        <v/>
      </c>
      <c r="BA989" s="304" t="str">
        <f t="shared" si="646"/>
        <v/>
      </c>
      <c r="BB989" s="28"/>
      <c r="BC989" s="304" t="str">
        <f t="shared" si="647"/>
        <v/>
      </c>
      <c r="BD989" s="304" t="str">
        <f t="shared" si="647"/>
        <v/>
      </c>
      <c r="BE989" s="28"/>
      <c r="BF989" s="304" t="str">
        <f t="shared" si="648"/>
        <v/>
      </c>
      <c r="BG989" s="304" t="str">
        <f t="shared" si="648"/>
        <v/>
      </c>
      <c r="BH989" s="28"/>
      <c r="BI989" s="304">
        <f t="shared" si="649"/>
        <v>0.1148232530120482</v>
      </c>
      <c r="BJ989" s="304">
        <f t="shared" si="649"/>
        <v>0.1148232530120482</v>
      </c>
      <c r="BK989" s="28"/>
      <c r="BL989" s="304" t="str">
        <f t="shared" si="650"/>
        <v/>
      </c>
      <c r="BM989" s="304" t="str">
        <f t="shared" si="650"/>
        <v/>
      </c>
      <c r="BN989" s="28"/>
      <c r="BO989" s="304" t="str">
        <f t="shared" si="651"/>
        <v/>
      </c>
      <c r="BP989" s="304" t="str">
        <f t="shared" si="651"/>
        <v/>
      </c>
      <c r="BQ989" s="28"/>
      <c r="BR989" s="304" t="str">
        <f t="shared" si="652"/>
        <v/>
      </c>
      <c r="BS989" s="304" t="str">
        <f t="shared" si="652"/>
        <v/>
      </c>
      <c r="BT989" s="28"/>
      <c r="BU989" s="304" t="str">
        <f t="shared" si="653"/>
        <v/>
      </c>
      <c r="BV989" s="304" t="str">
        <f t="shared" si="653"/>
        <v/>
      </c>
      <c r="BW989" s="28"/>
      <c r="BX989" s="91"/>
    </row>
    <row r="990" spans="1:76" s="55" customFormat="1" x14ac:dyDescent="0.25">
      <c r="A990" s="195">
        <v>73</v>
      </c>
      <c r="B990" s="216" t="str">
        <f t="shared" si="642"/>
        <v>Latin America: FAO. 2017. Reducing Enteric Methane for improving food security and livelihoods</v>
      </c>
      <c r="C990" s="219" t="s">
        <v>488</v>
      </c>
      <c r="D990" s="379" t="s">
        <v>295</v>
      </c>
      <c r="E990" s="329" t="s">
        <v>100</v>
      </c>
      <c r="F990" s="341" t="s">
        <v>532</v>
      </c>
      <c r="G990" s="220" t="s">
        <v>26</v>
      </c>
      <c r="H990" s="221">
        <v>2017</v>
      </c>
      <c r="I990" s="240"/>
      <c r="J990" s="377">
        <v>24.8</v>
      </c>
      <c r="K990" s="382" t="s">
        <v>528</v>
      </c>
      <c r="L990" s="383">
        <f>J990*(1-0.564)*0.001/[1]conversions!$E$17*0.62</f>
        <v>8.0770313253012052E-2</v>
      </c>
      <c r="M990" s="335" t="str">
        <f>'[1]Advanced Controls'!$I$158</f>
        <v>t CH4-CO2eq per kg of protein</v>
      </c>
      <c r="N990" s="238"/>
      <c r="O990" s="227" t="s">
        <v>592</v>
      </c>
      <c r="P990" s="122"/>
      <c r="Q990" s="228"/>
      <c r="R990" s="231">
        <f t="shared" si="658"/>
        <v>8.0770313253012052E-2</v>
      </c>
      <c r="S990" s="230">
        <f t="shared" si="657"/>
        <v>8.0770313253012052E-2</v>
      </c>
      <c r="T990" s="231">
        <f t="shared" si="659"/>
        <v>0</v>
      </c>
      <c r="U990" s="232" t="str">
        <f t="shared" si="644"/>
        <v>t CH4-CO2eq per kg of protein</v>
      </c>
      <c r="V990" s="28"/>
      <c r="W990" s="28"/>
      <c r="Y990" s="91"/>
      <c r="AO990" s="91"/>
      <c r="AP990" s="28"/>
      <c r="AQ990" s="28"/>
      <c r="AR990" s="237"/>
      <c r="AS990" s="28"/>
      <c r="AT990" s="304" t="str">
        <f t="shared" si="660"/>
        <v/>
      </c>
      <c r="AU990" s="304" t="str">
        <f t="shared" si="660"/>
        <v/>
      </c>
      <c r="AV990" s="28"/>
      <c r="AW990" s="304" t="str">
        <f t="shared" si="645"/>
        <v/>
      </c>
      <c r="AX990" s="304" t="str">
        <f t="shared" si="645"/>
        <v/>
      </c>
      <c r="AY990" s="28"/>
      <c r="AZ990" s="304" t="str">
        <f t="shared" si="646"/>
        <v/>
      </c>
      <c r="BA990" s="304" t="str">
        <f t="shared" si="646"/>
        <v/>
      </c>
      <c r="BB990" s="28"/>
      <c r="BC990" s="304" t="str">
        <f t="shared" si="647"/>
        <v/>
      </c>
      <c r="BD990" s="304" t="str">
        <f t="shared" si="647"/>
        <v/>
      </c>
      <c r="BE990" s="28"/>
      <c r="BF990" s="304" t="str">
        <f t="shared" si="648"/>
        <v/>
      </c>
      <c r="BG990" s="304" t="str">
        <f t="shared" si="648"/>
        <v/>
      </c>
      <c r="BH990" s="28"/>
      <c r="BI990" s="304">
        <f t="shared" si="649"/>
        <v>8.0770313253012052E-2</v>
      </c>
      <c r="BJ990" s="304">
        <f t="shared" si="649"/>
        <v>8.0770313253012052E-2</v>
      </c>
      <c r="BK990" s="28"/>
      <c r="BL990" s="304" t="str">
        <f t="shared" si="650"/>
        <v/>
      </c>
      <c r="BM990" s="304" t="str">
        <f t="shared" si="650"/>
        <v/>
      </c>
      <c r="BN990" s="28"/>
      <c r="BO990" s="304" t="str">
        <f t="shared" si="651"/>
        <v/>
      </c>
      <c r="BP990" s="304" t="str">
        <f t="shared" si="651"/>
        <v/>
      </c>
      <c r="BQ990" s="28"/>
      <c r="BR990" s="304" t="str">
        <f t="shared" si="652"/>
        <v/>
      </c>
      <c r="BS990" s="304" t="str">
        <f t="shared" si="652"/>
        <v/>
      </c>
      <c r="BT990" s="28"/>
      <c r="BU990" s="304" t="str">
        <f t="shared" si="653"/>
        <v/>
      </c>
      <c r="BV990" s="304" t="str">
        <f t="shared" si="653"/>
        <v/>
      </c>
      <c r="BW990" s="28"/>
      <c r="BX990" s="91"/>
    </row>
    <row r="991" spans="1:76" s="55" customFormat="1" x14ac:dyDescent="0.25">
      <c r="A991" s="195">
        <v>74</v>
      </c>
      <c r="B991" s="216" t="str">
        <f t="shared" si="642"/>
        <v>Latin America: FAO. 2017. Reducing Enteric Methane for improving food security and livelihoods</v>
      </c>
      <c r="C991" s="219" t="s">
        <v>488</v>
      </c>
      <c r="D991" s="379" t="s">
        <v>295</v>
      </c>
      <c r="E991" s="329" t="s">
        <v>100</v>
      </c>
      <c r="F991" s="341" t="s">
        <v>532</v>
      </c>
      <c r="G991" s="220" t="s">
        <v>26</v>
      </c>
      <c r="H991" s="221">
        <v>2017</v>
      </c>
      <c r="I991" s="240"/>
      <c r="J991" s="377">
        <v>41</v>
      </c>
      <c r="K991" s="382" t="s">
        <v>528</v>
      </c>
      <c r="L991" s="383">
        <f>J991*(1-0.234)*0.001/[1]conversions!$E$17*0.62</f>
        <v>0.23459903614457828</v>
      </c>
      <c r="M991" s="335" t="str">
        <f>'[1]Advanced Controls'!$I$158</f>
        <v>t CH4-CO2eq per kg of protein</v>
      </c>
      <c r="N991" s="238"/>
      <c r="O991" s="227" t="s">
        <v>593</v>
      </c>
      <c r="P991" s="122"/>
      <c r="Q991" s="228"/>
      <c r="R991" s="231">
        <f t="shared" si="658"/>
        <v>0.23459903614457828</v>
      </c>
      <c r="S991" s="230">
        <f t="shared" si="657"/>
        <v>0.23459903614457828</v>
      </c>
      <c r="T991" s="231">
        <f t="shared" si="659"/>
        <v>0</v>
      </c>
      <c r="U991" s="232" t="str">
        <f t="shared" si="644"/>
        <v>t CH4-CO2eq per kg of protein</v>
      </c>
      <c r="V991" s="28"/>
      <c r="W991" s="28"/>
      <c r="Y991" s="91"/>
      <c r="AO991" s="91"/>
      <c r="AP991" s="28"/>
      <c r="AQ991" s="28"/>
      <c r="AR991" s="237"/>
      <c r="AS991" s="28"/>
      <c r="AT991" s="304" t="str">
        <f t="shared" si="660"/>
        <v/>
      </c>
      <c r="AU991" s="304" t="str">
        <f t="shared" si="660"/>
        <v/>
      </c>
      <c r="AV991" s="28"/>
      <c r="AW991" s="304" t="str">
        <f t="shared" si="645"/>
        <v/>
      </c>
      <c r="AX991" s="304" t="str">
        <f t="shared" si="645"/>
        <v/>
      </c>
      <c r="AY991" s="28"/>
      <c r="AZ991" s="304" t="str">
        <f t="shared" si="646"/>
        <v/>
      </c>
      <c r="BA991" s="304" t="str">
        <f t="shared" si="646"/>
        <v/>
      </c>
      <c r="BB991" s="28"/>
      <c r="BC991" s="304" t="str">
        <f t="shared" si="647"/>
        <v/>
      </c>
      <c r="BD991" s="304" t="str">
        <f t="shared" si="647"/>
        <v/>
      </c>
      <c r="BE991" s="28"/>
      <c r="BF991" s="304" t="str">
        <f t="shared" si="648"/>
        <v/>
      </c>
      <c r="BG991" s="304" t="str">
        <f t="shared" si="648"/>
        <v/>
      </c>
      <c r="BH991" s="28"/>
      <c r="BI991" s="304">
        <f t="shared" si="649"/>
        <v>0.23459903614457828</v>
      </c>
      <c r="BJ991" s="304">
        <f t="shared" si="649"/>
        <v>0.23459903614457828</v>
      </c>
      <c r="BK991" s="28"/>
      <c r="BL991" s="304" t="str">
        <f t="shared" si="650"/>
        <v/>
      </c>
      <c r="BM991" s="304" t="str">
        <f t="shared" si="650"/>
        <v/>
      </c>
      <c r="BN991" s="28"/>
      <c r="BO991" s="304" t="str">
        <f t="shared" si="651"/>
        <v/>
      </c>
      <c r="BP991" s="304" t="str">
        <f t="shared" si="651"/>
        <v/>
      </c>
      <c r="BQ991" s="28"/>
      <c r="BR991" s="304" t="str">
        <f t="shared" si="652"/>
        <v/>
      </c>
      <c r="BS991" s="304" t="str">
        <f t="shared" si="652"/>
        <v/>
      </c>
      <c r="BT991" s="28"/>
      <c r="BU991" s="304" t="str">
        <f t="shared" si="653"/>
        <v/>
      </c>
      <c r="BV991" s="304" t="str">
        <f t="shared" si="653"/>
        <v/>
      </c>
      <c r="BW991" s="28"/>
      <c r="BX991" s="91"/>
    </row>
    <row r="992" spans="1:76" s="55" customFormat="1" x14ac:dyDescent="0.25">
      <c r="A992" s="195">
        <v>75</v>
      </c>
      <c r="B992" s="216" t="str">
        <f t="shared" si="642"/>
        <v>Latin America: FAO. 2017. Reducing Enteric Methane for improving food security and livelihoods</v>
      </c>
      <c r="C992" s="219" t="s">
        <v>488</v>
      </c>
      <c r="D992" s="379" t="s">
        <v>295</v>
      </c>
      <c r="E992" s="329" t="s">
        <v>100</v>
      </c>
      <c r="F992" s="341" t="s">
        <v>532</v>
      </c>
      <c r="G992" s="220" t="s">
        <v>26</v>
      </c>
      <c r="H992" s="221">
        <v>2017</v>
      </c>
      <c r="I992" s="240"/>
      <c r="J992" s="377">
        <v>35.5</v>
      </c>
      <c r="K992" s="382" t="s">
        <v>528</v>
      </c>
      <c r="L992" s="383">
        <f>J992*(1-0.281)*0.001/[1]conversions!$E$17*0.62</f>
        <v>0.19066493975903612</v>
      </c>
      <c r="M992" s="335" t="str">
        <f>'[1]Advanced Controls'!$I$158</f>
        <v>t CH4-CO2eq per kg of protein</v>
      </c>
      <c r="N992" s="238"/>
      <c r="O992" s="227" t="s">
        <v>594</v>
      </c>
      <c r="P992" s="122"/>
      <c r="Q992" s="228"/>
      <c r="R992" s="231">
        <f t="shared" si="658"/>
        <v>0.19066493975903612</v>
      </c>
      <c r="S992" s="230">
        <f t="shared" si="657"/>
        <v>0.19066493975903612</v>
      </c>
      <c r="T992" s="231">
        <f t="shared" si="659"/>
        <v>0</v>
      </c>
      <c r="U992" s="232" t="str">
        <f t="shared" si="644"/>
        <v>t CH4-CO2eq per kg of protein</v>
      </c>
      <c r="V992" s="28"/>
      <c r="W992" s="28"/>
      <c r="Y992" s="91"/>
      <c r="AO992" s="91"/>
      <c r="AP992" s="28"/>
      <c r="AQ992" s="28"/>
      <c r="AR992" s="237"/>
      <c r="AS992" s="28"/>
      <c r="AT992" s="304" t="str">
        <f t="shared" si="660"/>
        <v/>
      </c>
      <c r="AU992" s="304" t="str">
        <f t="shared" si="660"/>
        <v/>
      </c>
      <c r="AV992" s="28"/>
      <c r="AW992" s="304" t="str">
        <f t="shared" si="645"/>
        <v/>
      </c>
      <c r="AX992" s="304" t="str">
        <f t="shared" si="645"/>
        <v/>
      </c>
      <c r="AY992" s="28"/>
      <c r="AZ992" s="304" t="str">
        <f t="shared" si="646"/>
        <v/>
      </c>
      <c r="BA992" s="304" t="str">
        <f t="shared" si="646"/>
        <v/>
      </c>
      <c r="BB992" s="28"/>
      <c r="BC992" s="304" t="str">
        <f t="shared" si="647"/>
        <v/>
      </c>
      <c r="BD992" s="304" t="str">
        <f t="shared" si="647"/>
        <v/>
      </c>
      <c r="BE992" s="28"/>
      <c r="BF992" s="304" t="str">
        <f t="shared" si="648"/>
        <v/>
      </c>
      <c r="BG992" s="304" t="str">
        <f t="shared" si="648"/>
        <v/>
      </c>
      <c r="BH992" s="28"/>
      <c r="BI992" s="304">
        <f t="shared" si="649"/>
        <v>0.19066493975903612</v>
      </c>
      <c r="BJ992" s="304">
        <f t="shared" si="649"/>
        <v>0.19066493975903612</v>
      </c>
      <c r="BK992" s="28"/>
      <c r="BL992" s="304" t="str">
        <f t="shared" si="650"/>
        <v/>
      </c>
      <c r="BM992" s="304" t="str">
        <f t="shared" si="650"/>
        <v/>
      </c>
      <c r="BN992" s="28"/>
      <c r="BO992" s="304" t="str">
        <f t="shared" si="651"/>
        <v/>
      </c>
      <c r="BP992" s="304" t="str">
        <f t="shared" si="651"/>
        <v/>
      </c>
      <c r="BQ992" s="28"/>
      <c r="BR992" s="304" t="str">
        <f t="shared" si="652"/>
        <v/>
      </c>
      <c r="BS992" s="304" t="str">
        <f t="shared" si="652"/>
        <v/>
      </c>
      <c r="BT992" s="28"/>
      <c r="BU992" s="304" t="str">
        <f t="shared" si="653"/>
        <v/>
      </c>
      <c r="BV992" s="304" t="str">
        <f t="shared" si="653"/>
        <v/>
      </c>
      <c r="BW992" s="28"/>
      <c r="BX992" s="91"/>
    </row>
    <row r="993" spans="1:76" s="55" customFormat="1" x14ac:dyDescent="0.25">
      <c r="A993" s="195">
        <v>76</v>
      </c>
      <c r="B993" s="216" t="str">
        <f t="shared" si="642"/>
        <v>Latin America: FAO. 2017. Reducing Enteric Methane for improving food security and livelihoods</v>
      </c>
      <c r="C993" s="219" t="s">
        <v>488</v>
      </c>
      <c r="D993" s="379" t="s">
        <v>295</v>
      </c>
      <c r="E993" s="329" t="s">
        <v>100</v>
      </c>
      <c r="F993" s="341" t="s">
        <v>532</v>
      </c>
      <c r="G993" s="220" t="s">
        <v>26</v>
      </c>
      <c r="H993" s="221">
        <v>2017</v>
      </c>
      <c r="I993" s="240"/>
      <c r="J993" s="377">
        <v>24.8</v>
      </c>
      <c r="K993" s="382" t="s">
        <v>528</v>
      </c>
      <c r="L993" s="383">
        <f>J993*(1-0.33)*0.001/[1]conversions!$E$17*0.62</f>
        <v>0.12411951807228915</v>
      </c>
      <c r="M993" s="335" t="str">
        <f>'[1]Advanced Controls'!$I$158</f>
        <v>t CH4-CO2eq per kg of protein</v>
      </c>
      <c r="N993" s="238"/>
      <c r="O993" s="227" t="s">
        <v>595</v>
      </c>
      <c r="P993" s="122"/>
      <c r="Q993" s="228"/>
      <c r="R993" s="231">
        <f t="shared" si="658"/>
        <v>0.12411951807228915</v>
      </c>
      <c r="S993" s="230">
        <f t="shared" si="657"/>
        <v>0.12411951807228915</v>
      </c>
      <c r="T993" s="231">
        <f t="shared" si="659"/>
        <v>0</v>
      </c>
      <c r="U993" s="232" t="str">
        <f t="shared" si="644"/>
        <v>t CH4-CO2eq per kg of protein</v>
      </c>
      <c r="V993" s="28"/>
      <c r="W993" s="28"/>
      <c r="Y993" s="91"/>
      <c r="AO993" s="91"/>
      <c r="AP993" s="28"/>
      <c r="AQ993" s="28"/>
      <c r="AR993" s="237"/>
      <c r="AS993" s="28"/>
      <c r="AT993" s="304" t="str">
        <f t="shared" si="660"/>
        <v/>
      </c>
      <c r="AU993" s="304" t="str">
        <f t="shared" si="660"/>
        <v/>
      </c>
      <c r="AV993" s="28"/>
      <c r="AW993" s="304" t="str">
        <f t="shared" si="645"/>
        <v/>
      </c>
      <c r="AX993" s="304" t="str">
        <f t="shared" si="645"/>
        <v/>
      </c>
      <c r="AY993" s="28"/>
      <c r="AZ993" s="304" t="str">
        <f t="shared" si="646"/>
        <v/>
      </c>
      <c r="BA993" s="304" t="str">
        <f t="shared" si="646"/>
        <v/>
      </c>
      <c r="BB993" s="28"/>
      <c r="BC993" s="304" t="str">
        <f t="shared" si="647"/>
        <v/>
      </c>
      <c r="BD993" s="304" t="str">
        <f t="shared" si="647"/>
        <v/>
      </c>
      <c r="BE993" s="28"/>
      <c r="BF993" s="304" t="str">
        <f t="shared" si="648"/>
        <v/>
      </c>
      <c r="BG993" s="304" t="str">
        <f t="shared" si="648"/>
        <v/>
      </c>
      <c r="BH993" s="28"/>
      <c r="BI993" s="304">
        <f t="shared" si="649"/>
        <v>0.12411951807228915</v>
      </c>
      <c r="BJ993" s="304">
        <f t="shared" si="649"/>
        <v>0.12411951807228915</v>
      </c>
      <c r="BK993" s="28"/>
      <c r="BL993" s="304" t="str">
        <f t="shared" si="650"/>
        <v/>
      </c>
      <c r="BM993" s="304" t="str">
        <f t="shared" si="650"/>
        <v/>
      </c>
      <c r="BN993" s="28"/>
      <c r="BO993" s="304" t="str">
        <f t="shared" si="651"/>
        <v/>
      </c>
      <c r="BP993" s="304" t="str">
        <f t="shared" si="651"/>
        <v/>
      </c>
      <c r="BQ993" s="28"/>
      <c r="BR993" s="304" t="str">
        <f t="shared" si="652"/>
        <v/>
      </c>
      <c r="BS993" s="304" t="str">
        <f t="shared" si="652"/>
        <v/>
      </c>
      <c r="BT993" s="28"/>
      <c r="BU993" s="304" t="str">
        <f t="shared" si="653"/>
        <v/>
      </c>
      <c r="BV993" s="304" t="str">
        <f t="shared" si="653"/>
        <v/>
      </c>
      <c r="BW993" s="28"/>
      <c r="BX993" s="91"/>
    </row>
    <row r="994" spans="1:76" s="55" customFormat="1" x14ac:dyDescent="0.25">
      <c r="A994" s="195">
        <v>77</v>
      </c>
      <c r="B994" s="216" t="str">
        <f t="shared" si="642"/>
        <v>Latin America: FAO. 2017. Reducing Enteric Methane for improving food security and livelihoods</v>
      </c>
      <c r="C994" s="219" t="s">
        <v>488</v>
      </c>
      <c r="D994" s="379" t="s">
        <v>295</v>
      </c>
      <c r="E994" s="329" t="s">
        <v>100</v>
      </c>
      <c r="F994" s="341" t="s">
        <v>532</v>
      </c>
      <c r="G994" s="220" t="s">
        <v>26</v>
      </c>
      <c r="H994" s="221">
        <v>2017</v>
      </c>
      <c r="I994" s="240"/>
      <c r="J994" s="377">
        <v>41</v>
      </c>
      <c r="K994" s="382" t="s">
        <v>528</v>
      </c>
      <c r="L994" s="383">
        <f>J994*(1-0.115)*0.001/[1]conversions!$E$17*0.62</f>
        <v>0.27104457831325302</v>
      </c>
      <c r="M994" s="335" t="str">
        <f>'[1]Advanced Controls'!$I$158</f>
        <v>t CH4-CO2eq per kg of protein</v>
      </c>
      <c r="N994" s="238"/>
      <c r="O994" s="227" t="s">
        <v>596</v>
      </c>
      <c r="P994" s="122"/>
      <c r="Q994" s="228"/>
      <c r="R994" s="231">
        <f t="shared" si="658"/>
        <v>0.27104457831325302</v>
      </c>
      <c r="S994" s="230">
        <f t="shared" si="657"/>
        <v>0.27104457831325302</v>
      </c>
      <c r="T994" s="231">
        <f t="shared" si="659"/>
        <v>0</v>
      </c>
      <c r="U994" s="232" t="str">
        <f t="shared" si="644"/>
        <v>t CH4-CO2eq per kg of protein</v>
      </c>
      <c r="V994" s="28"/>
      <c r="W994" s="28"/>
      <c r="Y994" s="91"/>
      <c r="AO994" s="91"/>
      <c r="AP994" s="28"/>
      <c r="AQ994" s="28"/>
      <c r="AR994" s="237"/>
      <c r="AS994" s="28"/>
      <c r="AT994" s="304" t="str">
        <f t="shared" si="660"/>
        <v/>
      </c>
      <c r="AU994" s="304" t="str">
        <f t="shared" si="660"/>
        <v/>
      </c>
      <c r="AV994" s="28"/>
      <c r="AW994" s="304" t="str">
        <f t="shared" si="645"/>
        <v/>
      </c>
      <c r="AX994" s="304" t="str">
        <f t="shared" si="645"/>
        <v/>
      </c>
      <c r="AY994" s="28"/>
      <c r="AZ994" s="304" t="str">
        <f t="shared" si="646"/>
        <v/>
      </c>
      <c r="BA994" s="304" t="str">
        <f t="shared" si="646"/>
        <v/>
      </c>
      <c r="BB994" s="28"/>
      <c r="BC994" s="304" t="str">
        <f t="shared" si="647"/>
        <v/>
      </c>
      <c r="BD994" s="304" t="str">
        <f t="shared" si="647"/>
        <v/>
      </c>
      <c r="BE994" s="28"/>
      <c r="BF994" s="304" t="str">
        <f t="shared" si="648"/>
        <v/>
      </c>
      <c r="BG994" s="304" t="str">
        <f t="shared" si="648"/>
        <v/>
      </c>
      <c r="BH994" s="28"/>
      <c r="BI994" s="304">
        <f t="shared" si="649"/>
        <v>0.27104457831325302</v>
      </c>
      <c r="BJ994" s="304">
        <f t="shared" si="649"/>
        <v>0.27104457831325302</v>
      </c>
      <c r="BK994" s="28"/>
      <c r="BL994" s="304" t="str">
        <f t="shared" si="650"/>
        <v/>
      </c>
      <c r="BM994" s="304" t="str">
        <f t="shared" si="650"/>
        <v/>
      </c>
      <c r="BN994" s="28"/>
      <c r="BO994" s="304" t="str">
        <f t="shared" si="651"/>
        <v/>
      </c>
      <c r="BP994" s="304" t="str">
        <f t="shared" si="651"/>
        <v/>
      </c>
      <c r="BQ994" s="28"/>
      <c r="BR994" s="304" t="str">
        <f t="shared" si="652"/>
        <v/>
      </c>
      <c r="BS994" s="304" t="str">
        <f t="shared" si="652"/>
        <v/>
      </c>
      <c r="BT994" s="28"/>
      <c r="BU994" s="304" t="str">
        <f t="shared" si="653"/>
        <v/>
      </c>
      <c r="BV994" s="304" t="str">
        <f t="shared" si="653"/>
        <v/>
      </c>
      <c r="BW994" s="28"/>
      <c r="BX994" s="91"/>
    </row>
    <row r="995" spans="1:76" s="55" customFormat="1" x14ac:dyDescent="0.25">
      <c r="A995" s="195">
        <v>78</v>
      </c>
      <c r="B995" s="216" t="str">
        <f t="shared" si="642"/>
        <v>Latin America: FAO. 2017. Reducing Enteric Methane for improving food security and livelihoods</v>
      </c>
      <c r="C995" s="219" t="s">
        <v>488</v>
      </c>
      <c r="D995" s="379" t="s">
        <v>295</v>
      </c>
      <c r="E995" s="329" t="s">
        <v>100</v>
      </c>
      <c r="F995" s="341" t="s">
        <v>532</v>
      </c>
      <c r="G995" s="220" t="s">
        <v>26</v>
      </c>
      <c r="H995" s="221">
        <v>2017</v>
      </c>
      <c r="I995" s="240"/>
      <c r="J995" s="377">
        <v>35.5</v>
      </c>
      <c r="K995" s="382" t="s">
        <v>528</v>
      </c>
      <c r="L995" s="383">
        <f>J995*(1-0.199)*0.001/[1]conversions!$E$17*0.62</f>
        <v>0.21240975903614456</v>
      </c>
      <c r="M995" s="335" t="str">
        <f>'[1]Advanced Controls'!$I$158</f>
        <v>t CH4-CO2eq per kg of protein</v>
      </c>
      <c r="N995" s="238"/>
      <c r="O995" s="227" t="s">
        <v>597</v>
      </c>
      <c r="P995" s="122"/>
      <c r="Q995" s="228"/>
      <c r="R995" s="231">
        <f t="shared" si="658"/>
        <v>0.21240975903614456</v>
      </c>
      <c r="S995" s="230">
        <f t="shared" si="657"/>
        <v>0.21240975903614456</v>
      </c>
      <c r="T995" s="231">
        <f t="shared" si="659"/>
        <v>0</v>
      </c>
      <c r="U995" s="232" t="str">
        <f t="shared" si="644"/>
        <v>t CH4-CO2eq per kg of protein</v>
      </c>
      <c r="V995" s="28"/>
      <c r="W995" s="28"/>
      <c r="Y995" s="91"/>
      <c r="AO995" s="91"/>
      <c r="AP995" s="28"/>
      <c r="AQ995" s="28"/>
      <c r="AR995" s="237"/>
      <c r="AS995" s="28"/>
      <c r="AT995" s="304" t="str">
        <f t="shared" si="660"/>
        <v/>
      </c>
      <c r="AU995" s="304" t="str">
        <f t="shared" si="660"/>
        <v/>
      </c>
      <c r="AV995" s="28"/>
      <c r="AW995" s="304" t="str">
        <f t="shared" si="645"/>
        <v/>
      </c>
      <c r="AX995" s="304" t="str">
        <f t="shared" si="645"/>
        <v/>
      </c>
      <c r="AY995" s="28"/>
      <c r="AZ995" s="304" t="str">
        <f t="shared" si="646"/>
        <v/>
      </c>
      <c r="BA995" s="304" t="str">
        <f t="shared" si="646"/>
        <v/>
      </c>
      <c r="BB995" s="28"/>
      <c r="BC995" s="304" t="str">
        <f t="shared" si="647"/>
        <v/>
      </c>
      <c r="BD995" s="304" t="str">
        <f t="shared" si="647"/>
        <v/>
      </c>
      <c r="BE995" s="28"/>
      <c r="BF995" s="304" t="str">
        <f t="shared" si="648"/>
        <v/>
      </c>
      <c r="BG995" s="304" t="str">
        <f t="shared" si="648"/>
        <v/>
      </c>
      <c r="BH995" s="28"/>
      <c r="BI995" s="304">
        <f t="shared" si="649"/>
        <v>0.21240975903614456</v>
      </c>
      <c r="BJ995" s="304">
        <f t="shared" si="649"/>
        <v>0.21240975903614456</v>
      </c>
      <c r="BK995" s="28"/>
      <c r="BL995" s="304" t="str">
        <f t="shared" si="650"/>
        <v/>
      </c>
      <c r="BM995" s="304" t="str">
        <f t="shared" si="650"/>
        <v/>
      </c>
      <c r="BN995" s="28"/>
      <c r="BO995" s="304" t="str">
        <f t="shared" si="651"/>
        <v/>
      </c>
      <c r="BP995" s="304" t="str">
        <f t="shared" si="651"/>
        <v/>
      </c>
      <c r="BQ995" s="28"/>
      <c r="BR995" s="304" t="str">
        <f t="shared" si="652"/>
        <v/>
      </c>
      <c r="BS995" s="304" t="str">
        <f t="shared" si="652"/>
        <v/>
      </c>
      <c r="BT995" s="28"/>
      <c r="BU995" s="304" t="str">
        <f t="shared" si="653"/>
        <v/>
      </c>
      <c r="BV995" s="304" t="str">
        <f t="shared" si="653"/>
        <v/>
      </c>
      <c r="BW995" s="28"/>
      <c r="BX995" s="91"/>
    </row>
    <row r="996" spans="1:76" s="55" customFormat="1" x14ac:dyDescent="0.25">
      <c r="A996" s="195">
        <v>79</v>
      </c>
      <c r="B996" s="216" t="str">
        <f t="shared" si="642"/>
        <v>Latin America: FAO. 2017. Reducing Enteric Methane for improving food security and livelihoods</v>
      </c>
      <c r="C996" s="219" t="s">
        <v>488</v>
      </c>
      <c r="D996" s="379" t="s">
        <v>295</v>
      </c>
      <c r="E996" s="329" t="s">
        <v>100</v>
      </c>
      <c r="F996" s="341" t="s">
        <v>532</v>
      </c>
      <c r="G996" s="220" t="s">
        <v>26</v>
      </c>
      <c r="H996" s="221">
        <v>2017</v>
      </c>
      <c r="I996" s="240"/>
      <c r="J996" s="377">
        <v>24.8</v>
      </c>
      <c r="K996" s="382" t="s">
        <v>528</v>
      </c>
      <c r="L996" s="383">
        <f>J996*(1-0.261)*0.001/[1]conversions!$E$17*0.62</f>
        <v>0.13690197590361447</v>
      </c>
      <c r="M996" s="335" t="str">
        <f>'[1]Advanced Controls'!$I$158</f>
        <v>t CH4-CO2eq per kg of protein</v>
      </c>
      <c r="N996" s="238"/>
      <c r="O996" s="227" t="s">
        <v>598</v>
      </c>
      <c r="P996" s="122"/>
      <c r="Q996" s="228"/>
      <c r="R996" s="231">
        <f t="shared" si="658"/>
        <v>0.13690197590361447</v>
      </c>
      <c r="S996" s="230">
        <f t="shared" si="657"/>
        <v>0.13690197590361447</v>
      </c>
      <c r="T996" s="231" t="str">
        <f t="shared" si="659"/>
        <v/>
      </c>
      <c r="U996" s="232" t="str">
        <f t="shared" si="644"/>
        <v>t CH4-CO2eq per kg of protein</v>
      </c>
      <c r="V996" s="28"/>
      <c r="W996" s="28"/>
      <c r="Y996" s="91"/>
      <c r="AO996" s="91"/>
      <c r="AP996" s="28"/>
      <c r="AQ996" s="28"/>
      <c r="AR996" s="237"/>
      <c r="AS996" s="28"/>
      <c r="AT996" s="304" t="str">
        <f t="shared" si="660"/>
        <v/>
      </c>
      <c r="AU996" s="304" t="str">
        <f t="shared" si="660"/>
        <v/>
      </c>
      <c r="AV996" s="28"/>
      <c r="AW996" s="304" t="str">
        <f t="shared" si="645"/>
        <v/>
      </c>
      <c r="AX996" s="304" t="str">
        <f t="shared" si="645"/>
        <v/>
      </c>
      <c r="AY996" s="28"/>
      <c r="AZ996" s="304" t="str">
        <f t="shared" si="646"/>
        <v/>
      </c>
      <c r="BA996" s="304" t="str">
        <f t="shared" si="646"/>
        <v/>
      </c>
      <c r="BB996" s="28"/>
      <c r="BC996" s="304" t="str">
        <f t="shared" si="647"/>
        <v/>
      </c>
      <c r="BD996" s="304" t="str">
        <f t="shared" si="647"/>
        <v/>
      </c>
      <c r="BE996" s="28"/>
      <c r="BF996" s="304" t="str">
        <f t="shared" si="648"/>
        <v/>
      </c>
      <c r="BG996" s="304" t="str">
        <f t="shared" si="648"/>
        <v/>
      </c>
      <c r="BH996" s="28"/>
      <c r="BI996" s="304">
        <f t="shared" si="649"/>
        <v>0.13690197590361447</v>
      </c>
      <c r="BJ996" s="304">
        <f t="shared" si="649"/>
        <v>0.13690197590361447</v>
      </c>
      <c r="BK996" s="28"/>
      <c r="BL996" s="304" t="str">
        <f t="shared" si="650"/>
        <v/>
      </c>
      <c r="BM996" s="304" t="str">
        <f t="shared" si="650"/>
        <v/>
      </c>
      <c r="BN996" s="28"/>
      <c r="BO996" s="304" t="str">
        <f t="shared" si="651"/>
        <v/>
      </c>
      <c r="BP996" s="304" t="str">
        <f t="shared" si="651"/>
        <v/>
      </c>
      <c r="BQ996" s="28"/>
      <c r="BR996" s="304" t="str">
        <f t="shared" si="652"/>
        <v/>
      </c>
      <c r="BS996" s="304" t="str">
        <f t="shared" si="652"/>
        <v/>
      </c>
      <c r="BT996" s="28"/>
      <c r="BU996" s="304" t="str">
        <f t="shared" si="653"/>
        <v/>
      </c>
      <c r="BV996" s="304" t="str">
        <f t="shared" si="653"/>
        <v/>
      </c>
      <c r="BW996" s="28"/>
      <c r="BX996" s="91"/>
    </row>
    <row r="997" spans="1:76" s="55" customFormat="1" x14ac:dyDescent="0.25">
      <c r="A997" s="195">
        <v>80</v>
      </c>
      <c r="B997" s="216" t="str">
        <f t="shared" si="642"/>
        <v>Latin America: FAO. 2017. Reducing Enteric Methane for improving food security and livelihoods</v>
      </c>
      <c r="C997" s="219" t="s">
        <v>488</v>
      </c>
      <c r="D997" s="379" t="s">
        <v>295</v>
      </c>
      <c r="E997" s="329" t="s">
        <v>100</v>
      </c>
      <c r="F997" s="341" t="s">
        <v>532</v>
      </c>
      <c r="G997" s="220" t="s">
        <v>26</v>
      </c>
      <c r="H997" s="221">
        <v>2017</v>
      </c>
      <c r="I997" s="240"/>
      <c r="J997" s="377">
        <v>35.5</v>
      </c>
      <c r="K997" s="382" t="s">
        <v>528</v>
      </c>
      <c r="L997" s="383">
        <f>J997*(1-0.207)*0.001/[1]conversions!$E$17*0.62</f>
        <v>0.21028831325301206</v>
      </c>
      <c r="M997" s="335" t="str">
        <f>'[1]Advanced Controls'!$I$158</f>
        <v>t CH4-CO2eq per kg of protein</v>
      </c>
      <c r="N997" s="238"/>
      <c r="O997" s="227" t="s">
        <v>599</v>
      </c>
      <c r="P997" s="122"/>
      <c r="Q997" s="228"/>
      <c r="R997" s="231">
        <f t="shared" si="658"/>
        <v>0.21028831325301206</v>
      </c>
      <c r="S997" s="230">
        <f t="shared" si="657"/>
        <v>0.21028831325301206</v>
      </c>
      <c r="T997" s="231" t="str">
        <f t="shared" si="659"/>
        <v/>
      </c>
      <c r="U997" s="232" t="str">
        <f t="shared" si="644"/>
        <v>t CH4-CO2eq per kg of protein</v>
      </c>
      <c r="V997" s="28"/>
      <c r="W997" s="28"/>
      <c r="Y997" s="91"/>
      <c r="AO997" s="91"/>
      <c r="AP997" s="28"/>
      <c r="AQ997" s="28"/>
      <c r="AR997" s="237"/>
      <c r="AS997" s="28"/>
      <c r="AT997" s="304" t="str">
        <f t="shared" si="660"/>
        <v/>
      </c>
      <c r="AU997" s="304" t="str">
        <f t="shared" si="660"/>
        <v/>
      </c>
      <c r="AV997" s="28"/>
      <c r="AW997" s="304" t="str">
        <f t="shared" si="645"/>
        <v/>
      </c>
      <c r="AX997" s="304" t="str">
        <f t="shared" si="645"/>
        <v/>
      </c>
      <c r="AY997" s="28"/>
      <c r="AZ997" s="304" t="str">
        <f t="shared" si="646"/>
        <v/>
      </c>
      <c r="BA997" s="304" t="str">
        <f t="shared" si="646"/>
        <v/>
      </c>
      <c r="BB997" s="28"/>
      <c r="BC997" s="304" t="str">
        <f t="shared" si="647"/>
        <v/>
      </c>
      <c r="BD997" s="304" t="str">
        <f t="shared" si="647"/>
        <v/>
      </c>
      <c r="BE997" s="28"/>
      <c r="BF997" s="304" t="str">
        <f t="shared" si="648"/>
        <v/>
      </c>
      <c r="BG997" s="304" t="str">
        <f t="shared" si="648"/>
        <v/>
      </c>
      <c r="BH997" s="28"/>
      <c r="BI997" s="304">
        <f t="shared" si="649"/>
        <v>0.21028831325301206</v>
      </c>
      <c r="BJ997" s="304">
        <f t="shared" si="649"/>
        <v>0.21028831325301206</v>
      </c>
      <c r="BK997" s="28"/>
      <c r="BL997" s="304" t="str">
        <f t="shared" si="650"/>
        <v/>
      </c>
      <c r="BM997" s="304" t="str">
        <f t="shared" si="650"/>
        <v/>
      </c>
      <c r="BN997" s="28"/>
      <c r="BO997" s="304" t="str">
        <f t="shared" si="651"/>
        <v/>
      </c>
      <c r="BP997" s="304" t="str">
        <f t="shared" si="651"/>
        <v/>
      </c>
      <c r="BQ997" s="28"/>
      <c r="BR997" s="304" t="str">
        <f t="shared" si="652"/>
        <v/>
      </c>
      <c r="BS997" s="304" t="str">
        <f t="shared" si="652"/>
        <v/>
      </c>
      <c r="BT997" s="28"/>
      <c r="BU997" s="304" t="str">
        <f t="shared" si="653"/>
        <v/>
      </c>
      <c r="BV997" s="304" t="str">
        <f t="shared" si="653"/>
        <v/>
      </c>
      <c r="BW997" s="28"/>
      <c r="BX997" s="91"/>
    </row>
    <row r="998" spans="1:76" s="55" customFormat="1" x14ac:dyDescent="0.25">
      <c r="A998" s="195">
        <v>81</v>
      </c>
      <c r="B998" s="216" t="str">
        <f t="shared" si="642"/>
        <v>Latin America: FAO. 2017. Reducing Enteric Methane for improving food security and livelihoods</v>
      </c>
      <c r="C998" s="219" t="s">
        <v>488</v>
      </c>
      <c r="D998" s="379" t="s">
        <v>295</v>
      </c>
      <c r="E998" s="329" t="s">
        <v>100</v>
      </c>
      <c r="F998" s="341" t="s">
        <v>532</v>
      </c>
      <c r="G998" s="220" t="s">
        <v>26</v>
      </c>
      <c r="H998" s="221">
        <v>2017</v>
      </c>
      <c r="I998" s="240"/>
      <c r="J998" s="377">
        <v>24.8</v>
      </c>
      <c r="K998" s="382" t="s">
        <v>528</v>
      </c>
      <c r="L998" s="383">
        <f>J998*(1-0.207)*0.001/[1]conversions!$E$17*0.62</f>
        <v>0.1469056385542169</v>
      </c>
      <c r="M998" s="335" t="str">
        <f>'[1]Advanced Controls'!$I$158</f>
        <v>t CH4-CO2eq per kg of protein</v>
      </c>
      <c r="N998" s="238"/>
      <c r="O998" s="227" t="s">
        <v>600</v>
      </c>
      <c r="P998" s="122"/>
      <c r="Q998" s="228"/>
      <c r="R998" s="231">
        <f t="shared" si="658"/>
        <v>0.1469056385542169</v>
      </c>
      <c r="S998" s="230">
        <f t="shared" si="657"/>
        <v>0.1469056385542169</v>
      </c>
      <c r="T998" s="231" t="str">
        <f t="shared" si="659"/>
        <v/>
      </c>
      <c r="U998" s="232" t="str">
        <f t="shared" si="644"/>
        <v>t CH4-CO2eq per kg of protein</v>
      </c>
      <c r="V998" s="28"/>
      <c r="W998" s="28"/>
      <c r="Y998" s="91"/>
      <c r="AO998" s="91"/>
      <c r="AP998" s="28"/>
      <c r="AQ998" s="28"/>
      <c r="AR998" s="237"/>
      <c r="AS998" s="28"/>
      <c r="AT998" s="304" t="str">
        <f t="shared" si="660"/>
        <v/>
      </c>
      <c r="AU998" s="304" t="str">
        <f t="shared" si="660"/>
        <v/>
      </c>
      <c r="AV998" s="28"/>
      <c r="AW998" s="304" t="str">
        <f t="shared" si="645"/>
        <v/>
      </c>
      <c r="AX998" s="304" t="str">
        <f t="shared" si="645"/>
        <v/>
      </c>
      <c r="AY998" s="28"/>
      <c r="AZ998" s="304" t="str">
        <f t="shared" si="646"/>
        <v/>
      </c>
      <c r="BA998" s="304" t="str">
        <f t="shared" si="646"/>
        <v/>
      </c>
      <c r="BB998" s="28"/>
      <c r="BC998" s="304" t="str">
        <f t="shared" si="647"/>
        <v/>
      </c>
      <c r="BD998" s="304" t="str">
        <f t="shared" si="647"/>
        <v/>
      </c>
      <c r="BE998" s="28"/>
      <c r="BF998" s="304" t="str">
        <f t="shared" si="648"/>
        <v/>
      </c>
      <c r="BG998" s="304" t="str">
        <f t="shared" si="648"/>
        <v/>
      </c>
      <c r="BH998" s="28"/>
      <c r="BI998" s="304">
        <f t="shared" si="649"/>
        <v>0.1469056385542169</v>
      </c>
      <c r="BJ998" s="304">
        <f t="shared" si="649"/>
        <v>0.1469056385542169</v>
      </c>
      <c r="BK998" s="28"/>
      <c r="BL998" s="304" t="str">
        <f t="shared" si="650"/>
        <v/>
      </c>
      <c r="BM998" s="304" t="str">
        <f t="shared" si="650"/>
        <v/>
      </c>
      <c r="BN998" s="28"/>
      <c r="BO998" s="304" t="str">
        <f t="shared" si="651"/>
        <v/>
      </c>
      <c r="BP998" s="304" t="str">
        <f t="shared" si="651"/>
        <v/>
      </c>
      <c r="BQ998" s="28"/>
      <c r="BR998" s="304" t="str">
        <f t="shared" si="652"/>
        <v/>
      </c>
      <c r="BS998" s="304" t="str">
        <f t="shared" si="652"/>
        <v/>
      </c>
      <c r="BT998" s="28"/>
      <c r="BU998" s="304" t="str">
        <f t="shared" si="653"/>
        <v/>
      </c>
      <c r="BV998" s="304" t="str">
        <f t="shared" si="653"/>
        <v/>
      </c>
      <c r="BW998" s="28"/>
      <c r="BX998" s="91"/>
    </row>
    <row r="999" spans="1:76" s="55" customFormat="1" x14ac:dyDescent="0.25">
      <c r="A999" s="195">
        <v>82</v>
      </c>
      <c r="B999" s="216" t="str">
        <f t="shared" si="642"/>
        <v>Latin America: FAO. 2017. Reducing Enteric Methane for improving food security and livelihoods</v>
      </c>
      <c r="C999" s="219" t="s">
        <v>488</v>
      </c>
      <c r="D999" s="379" t="s">
        <v>295</v>
      </c>
      <c r="E999" s="329" t="s">
        <v>100</v>
      </c>
      <c r="F999" s="341" t="s">
        <v>532</v>
      </c>
      <c r="G999" s="220" t="s">
        <v>26</v>
      </c>
      <c r="H999" s="221">
        <v>2017</v>
      </c>
      <c r="I999" s="240"/>
      <c r="J999" s="377">
        <v>41</v>
      </c>
      <c r="K999" s="382" t="s">
        <v>528</v>
      </c>
      <c r="L999" s="383">
        <f>J999*(1-0.199)*0.001/[1]conversions!$E$17*0.62</f>
        <v>0.24531831325301198</v>
      </c>
      <c r="M999" s="335" t="str">
        <f>'[1]Advanced Controls'!$I$158</f>
        <v>t CH4-CO2eq per kg of protein</v>
      </c>
      <c r="N999" s="238"/>
      <c r="O999" s="227" t="s">
        <v>601</v>
      </c>
      <c r="P999" s="122"/>
      <c r="Q999" s="228"/>
      <c r="R999" s="231">
        <f t="shared" si="658"/>
        <v>0.24531831325301198</v>
      </c>
      <c r="S999" s="230">
        <f t="shared" si="657"/>
        <v>0.24531831325301198</v>
      </c>
      <c r="T999" s="231">
        <f t="shared" si="659"/>
        <v>0</v>
      </c>
      <c r="U999" s="232" t="str">
        <f t="shared" si="644"/>
        <v>t CH4-CO2eq per kg of protein</v>
      </c>
      <c r="V999" s="28"/>
      <c r="W999" s="28"/>
      <c r="Y999" s="91"/>
      <c r="AO999" s="91"/>
      <c r="AP999" s="28"/>
      <c r="AQ999" s="28"/>
      <c r="AR999" s="237"/>
      <c r="AS999" s="28"/>
      <c r="AT999" s="304" t="str">
        <f t="shared" si="660"/>
        <v/>
      </c>
      <c r="AU999" s="304" t="str">
        <f t="shared" si="660"/>
        <v/>
      </c>
      <c r="AV999" s="28"/>
      <c r="AW999" s="304" t="str">
        <f t="shared" si="645"/>
        <v/>
      </c>
      <c r="AX999" s="304" t="str">
        <f t="shared" si="645"/>
        <v/>
      </c>
      <c r="AY999" s="28"/>
      <c r="AZ999" s="304" t="str">
        <f t="shared" si="646"/>
        <v/>
      </c>
      <c r="BA999" s="304" t="str">
        <f t="shared" si="646"/>
        <v/>
      </c>
      <c r="BB999" s="28"/>
      <c r="BC999" s="304" t="str">
        <f t="shared" si="647"/>
        <v/>
      </c>
      <c r="BD999" s="304" t="str">
        <f t="shared" si="647"/>
        <v/>
      </c>
      <c r="BE999" s="28"/>
      <c r="BF999" s="304" t="str">
        <f t="shared" si="648"/>
        <v/>
      </c>
      <c r="BG999" s="304" t="str">
        <f t="shared" si="648"/>
        <v/>
      </c>
      <c r="BH999" s="28"/>
      <c r="BI999" s="304">
        <f t="shared" si="649"/>
        <v>0.24531831325301198</v>
      </c>
      <c r="BJ999" s="304">
        <f t="shared" si="649"/>
        <v>0.24531831325301198</v>
      </c>
      <c r="BK999" s="28"/>
      <c r="BL999" s="304" t="str">
        <f t="shared" si="650"/>
        <v/>
      </c>
      <c r="BM999" s="304" t="str">
        <f t="shared" si="650"/>
        <v/>
      </c>
      <c r="BN999" s="28"/>
      <c r="BO999" s="304" t="str">
        <f t="shared" si="651"/>
        <v/>
      </c>
      <c r="BP999" s="304" t="str">
        <f t="shared" si="651"/>
        <v/>
      </c>
      <c r="BQ999" s="28"/>
      <c r="BR999" s="304" t="str">
        <f t="shared" si="652"/>
        <v/>
      </c>
      <c r="BS999" s="304" t="str">
        <f t="shared" si="652"/>
        <v/>
      </c>
      <c r="BT999" s="28"/>
      <c r="BU999" s="304" t="str">
        <f t="shared" si="653"/>
        <v/>
      </c>
      <c r="BV999" s="304" t="str">
        <f t="shared" si="653"/>
        <v/>
      </c>
      <c r="BW999" s="28"/>
      <c r="BX999" s="91"/>
    </row>
    <row r="1000" spans="1:76" s="55" customFormat="1" x14ac:dyDescent="0.25">
      <c r="A1000" s="195">
        <v>83</v>
      </c>
      <c r="B1000" s="216" t="str">
        <f t="shared" si="642"/>
        <v>Latin America: FAO. 2017. Reducing Enteric Methane for improving food security and livelihoods</v>
      </c>
      <c r="C1000" s="219" t="s">
        <v>488</v>
      </c>
      <c r="D1000" s="379" t="s">
        <v>295</v>
      </c>
      <c r="E1000" s="329" t="s">
        <v>100</v>
      </c>
      <c r="F1000" s="341" t="s">
        <v>532</v>
      </c>
      <c r="G1000" s="220" t="s">
        <v>26</v>
      </c>
      <c r="H1000" s="221">
        <v>2017</v>
      </c>
      <c r="I1000" s="240"/>
      <c r="J1000" s="377">
        <v>35.5</v>
      </c>
      <c r="K1000" s="382" t="s">
        <v>528</v>
      </c>
      <c r="L1000" s="383">
        <f>J1000*(1-0.153)*0.001/[1]conversions!$E$17*0.62</f>
        <v>0.22460807228915664</v>
      </c>
      <c r="M1000" s="335" t="str">
        <f>'[1]Advanced Controls'!$I$158</f>
        <v>t CH4-CO2eq per kg of protein</v>
      </c>
      <c r="N1000" s="238"/>
      <c r="O1000" s="227" t="s">
        <v>602</v>
      </c>
      <c r="P1000" s="122"/>
      <c r="Q1000" s="228"/>
      <c r="R1000" s="231">
        <f t="shared" si="658"/>
        <v>0.22460807228915664</v>
      </c>
      <c r="S1000" s="230">
        <f t="shared" si="657"/>
        <v>0.22460807228915664</v>
      </c>
      <c r="T1000" s="231">
        <f t="shared" si="659"/>
        <v>0</v>
      </c>
      <c r="U1000" s="232" t="str">
        <f t="shared" si="644"/>
        <v>t CH4-CO2eq per kg of protein</v>
      </c>
      <c r="V1000" s="28"/>
      <c r="W1000" s="28"/>
      <c r="Y1000" s="91"/>
      <c r="AO1000" s="91"/>
      <c r="AP1000" s="28"/>
      <c r="AQ1000" s="28"/>
      <c r="AR1000" s="237"/>
      <c r="AS1000" s="28"/>
      <c r="AT1000" s="304" t="str">
        <f t="shared" si="660"/>
        <v/>
      </c>
      <c r="AU1000" s="304" t="str">
        <f t="shared" si="660"/>
        <v/>
      </c>
      <c r="AV1000" s="28"/>
      <c r="AW1000" s="304" t="str">
        <f t="shared" si="645"/>
        <v/>
      </c>
      <c r="AX1000" s="304" t="str">
        <f t="shared" si="645"/>
        <v/>
      </c>
      <c r="AY1000" s="28"/>
      <c r="AZ1000" s="304" t="str">
        <f t="shared" si="646"/>
        <v/>
      </c>
      <c r="BA1000" s="304" t="str">
        <f t="shared" si="646"/>
        <v/>
      </c>
      <c r="BB1000" s="28"/>
      <c r="BC1000" s="304" t="str">
        <f t="shared" si="647"/>
        <v/>
      </c>
      <c r="BD1000" s="304" t="str">
        <f t="shared" si="647"/>
        <v/>
      </c>
      <c r="BE1000" s="28"/>
      <c r="BF1000" s="304" t="str">
        <f t="shared" si="648"/>
        <v/>
      </c>
      <c r="BG1000" s="304" t="str">
        <f t="shared" si="648"/>
        <v/>
      </c>
      <c r="BH1000" s="28"/>
      <c r="BI1000" s="304">
        <f t="shared" si="649"/>
        <v>0.22460807228915664</v>
      </c>
      <c r="BJ1000" s="304">
        <f t="shared" si="649"/>
        <v>0.22460807228915664</v>
      </c>
      <c r="BK1000" s="28"/>
      <c r="BL1000" s="304" t="str">
        <f t="shared" si="650"/>
        <v/>
      </c>
      <c r="BM1000" s="304" t="str">
        <f t="shared" si="650"/>
        <v/>
      </c>
      <c r="BN1000" s="28"/>
      <c r="BO1000" s="304" t="str">
        <f t="shared" si="651"/>
        <v/>
      </c>
      <c r="BP1000" s="304" t="str">
        <f t="shared" si="651"/>
        <v/>
      </c>
      <c r="BQ1000" s="28"/>
      <c r="BR1000" s="304" t="str">
        <f t="shared" si="652"/>
        <v/>
      </c>
      <c r="BS1000" s="304" t="str">
        <f t="shared" si="652"/>
        <v/>
      </c>
      <c r="BT1000" s="28"/>
      <c r="BU1000" s="304" t="str">
        <f t="shared" si="653"/>
        <v/>
      </c>
      <c r="BV1000" s="304" t="str">
        <f t="shared" si="653"/>
        <v/>
      </c>
      <c r="BW1000" s="28"/>
      <c r="BX1000" s="91"/>
    </row>
    <row r="1001" spans="1:76" s="55" customFormat="1" x14ac:dyDescent="0.25">
      <c r="A1001" s="195">
        <v>84</v>
      </c>
      <c r="B1001" s="216" t="str">
        <f t="shared" si="642"/>
        <v>Latin America: FAO. 2017. Reducing Enteric Methane for improving food security and livelihoods</v>
      </c>
      <c r="C1001" s="219" t="s">
        <v>488</v>
      </c>
      <c r="D1001" s="379" t="s">
        <v>295</v>
      </c>
      <c r="E1001" s="329" t="s">
        <v>100</v>
      </c>
      <c r="F1001" s="341" t="s">
        <v>532</v>
      </c>
      <c r="G1001" s="220" t="s">
        <v>26</v>
      </c>
      <c r="H1001" s="221">
        <v>2017</v>
      </c>
      <c r="I1001" s="240"/>
      <c r="J1001" s="377">
        <v>24.8</v>
      </c>
      <c r="K1001" s="382" t="s">
        <v>528</v>
      </c>
      <c r="L1001" s="383">
        <f>J1001*(1-0.161)*0.001/[1]conversions!$E$17*0.62</f>
        <v>0.15542727710843371</v>
      </c>
      <c r="M1001" s="335" t="str">
        <f>'[1]Advanced Controls'!$I$158</f>
        <v>t CH4-CO2eq per kg of protein</v>
      </c>
      <c r="N1001" s="238"/>
      <c r="O1001" s="227" t="s">
        <v>603</v>
      </c>
      <c r="P1001" s="122"/>
      <c r="Q1001" s="228"/>
      <c r="R1001" s="231">
        <f t="shared" si="658"/>
        <v>0.15542727710843371</v>
      </c>
      <c r="S1001" s="230">
        <f t="shared" si="657"/>
        <v>0.15542727710843371</v>
      </c>
      <c r="T1001" s="231" t="str">
        <f t="shared" si="659"/>
        <v/>
      </c>
      <c r="U1001" s="232" t="str">
        <f t="shared" si="644"/>
        <v>t CH4-CO2eq per kg of protein</v>
      </c>
      <c r="V1001" s="28"/>
      <c r="W1001" s="28"/>
      <c r="Y1001" s="91"/>
      <c r="AO1001" s="91"/>
      <c r="AP1001" s="28"/>
      <c r="AQ1001" s="28"/>
      <c r="AR1001" s="237"/>
      <c r="AS1001" s="28"/>
      <c r="AT1001" s="304" t="str">
        <f t="shared" si="660"/>
        <v/>
      </c>
      <c r="AU1001" s="304" t="str">
        <f t="shared" si="660"/>
        <v/>
      </c>
      <c r="AV1001" s="28"/>
      <c r="AW1001" s="304" t="str">
        <f t="shared" si="645"/>
        <v/>
      </c>
      <c r="AX1001" s="304" t="str">
        <f t="shared" si="645"/>
        <v/>
      </c>
      <c r="AY1001" s="28"/>
      <c r="AZ1001" s="304" t="str">
        <f t="shared" si="646"/>
        <v/>
      </c>
      <c r="BA1001" s="304" t="str">
        <f t="shared" si="646"/>
        <v/>
      </c>
      <c r="BB1001" s="28"/>
      <c r="BC1001" s="304" t="str">
        <f t="shared" si="647"/>
        <v/>
      </c>
      <c r="BD1001" s="304" t="str">
        <f t="shared" si="647"/>
        <v/>
      </c>
      <c r="BE1001" s="28"/>
      <c r="BF1001" s="304" t="str">
        <f t="shared" si="648"/>
        <v/>
      </c>
      <c r="BG1001" s="304" t="str">
        <f t="shared" si="648"/>
        <v/>
      </c>
      <c r="BH1001" s="28"/>
      <c r="BI1001" s="304">
        <f t="shared" si="649"/>
        <v>0.15542727710843371</v>
      </c>
      <c r="BJ1001" s="304">
        <f t="shared" si="649"/>
        <v>0.15542727710843371</v>
      </c>
      <c r="BK1001" s="28"/>
      <c r="BL1001" s="304" t="str">
        <f t="shared" si="650"/>
        <v/>
      </c>
      <c r="BM1001" s="304" t="str">
        <f t="shared" si="650"/>
        <v/>
      </c>
      <c r="BN1001" s="28"/>
      <c r="BO1001" s="304" t="str">
        <f t="shared" si="651"/>
        <v/>
      </c>
      <c r="BP1001" s="304" t="str">
        <f t="shared" si="651"/>
        <v/>
      </c>
      <c r="BQ1001" s="28"/>
      <c r="BR1001" s="304" t="str">
        <f t="shared" si="652"/>
        <v/>
      </c>
      <c r="BS1001" s="304" t="str">
        <f t="shared" si="652"/>
        <v/>
      </c>
      <c r="BT1001" s="28"/>
      <c r="BU1001" s="304" t="str">
        <f t="shared" si="653"/>
        <v/>
      </c>
      <c r="BV1001" s="304" t="str">
        <f t="shared" si="653"/>
        <v/>
      </c>
      <c r="BW1001" s="28"/>
      <c r="BX1001" s="91"/>
    </row>
    <row r="1002" spans="1:76" s="55" customFormat="1" x14ac:dyDescent="0.25">
      <c r="A1002" s="195">
        <v>85</v>
      </c>
      <c r="B1002" s="216" t="str">
        <f t="shared" si="642"/>
        <v>OECD90: Dyer. 2010. The Protein-based GHG Emission Intensity for Livestock Products in Canada</v>
      </c>
      <c r="C1002" s="219" t="s">
        <v>604</v>
      </c>
      <c r="D1002" s="379" t="s">
        <v>605</v>
      </c>
      <c r="E1002" s="219" t="s">
        <v>96</v>
      </c>
      <c r="F1002" s="330" t="s">
        <v>606</v>
      </c>
      <c r="G1002" s="220" t="s">
        <v>24</v>
      </c>
      <c r="H1002" s="221">
        <v>2010</v>
      </c>
      <c r="I1002" s="240"/>
      <c r="J1002" s="377">
        <v>137.5</v>
      </c>
      <c r="K1002" s="223" t="s">
        <v>607</v>
      </c>
      <c r="L1002" s="383">
        <f t="shared" ref="L1002:L1007" si="661">J1002*0.001*0.5</f>
        <v>6.8750000000000006E-2</v>
      </c>
      <c r="M1002" s="335" t="str">
        <f>'[1]Advanced Controls'!$I$158</f>
        <v>t CH4-CO2eq per kg of protein</v>
      </c>
      <c r="N1002" s="238"/>
      <c r="O1002" s="227" t="s">
        <v>608</v>
      </c>
      <c r="P1002" s="122"/>
      <c r="Q1002" s="228"/>
      <c r="R1002" s="231">
        <f t="shared" si="658"/>
        <v>6.8750000000000006E-2</v>
      </c>
      <c r="S1002" s="230">
        <f t="shared" si="657"/>
        <v>6.8750000000000006E-2</v>
      </c>
      <c r="T1002" s="231" t="str">
        <f t="shared" si="659"/>
        <v/>
      </c>
      <c r="U1002" s="232" t="str">
        <f t="shared" si="644"/>
        <v>t CH4-CO2eq per kg of protein</v>
      </c>
      <c r="V1002" s="28"/>
      <c r="W1002" s="28"/>
      <c r="Y1002" s="91"/>
      <c r="AO1002" s="91"/>
      <c r="AP1002" s="28"/>
      <c r="AQ1002" s="28"/>
      <c r="AR1002" s="237"/>
      <c r="AS1002" s="28"/>
      <c r="AT1002" s="304" t="str">
        <f t="shared" si="660"/>
        <v/>
      </c>
      <c r="AU1002" s="304" t="str">
        <f t="shared" si="660"/>
        <v/>
      </c>
      <c r="AV1002" s="28"/>
      <c r="AW1002" s="304">
        <f t="shared" si="645"/>
        <v>6.8750000000000006E-2</v>
      </c>
      <c r="AX1002" s="304">
        <f t="shared" si="645"/>
        <v>6.8750000000000006E-2</v>
      </c>
      <c r="AY1002" s="28"/>
      <c r="AZ1002" s="304" t="str">
        <f t="shared" si="646"/>
        <v/>
      </c>
      <c r="BA1002" s="304" t="str">
        <f t="shared" si="646"/>
        <v/>
      </c>
      <c r="BB1002" s="28"/>
      <c r="BC1002" s="304" t="str">
        <f t="shared" si="647"/>
        <v/>
      </c>
      <c r="BD1002" s="304" t="str">
        <f t="shared" si="647"/>
        <v/>
      </c>
      <c r="BE1002" s="28"/>
      <c r="BF1002" s="304" t="str">
        <f t="shared" si="648"/>
        <v/>
      </c>
      <c r="BG1002" s="304" t="str">
        <f t="shared" si="648"/>
        <v/>
      </c>
      <c r="BH1002" s="28"/>
      <c r="BI1002" s="304" t="str">
        <f t="shared" si="649"/>
        <v/>
      </c>
      <c r="BJ1002" s="304" t="str">
        <f t="shared" si="649"/>
        <v/>
      </c>
      <c r="BK1002" s="28"/>
      <c r="BL1002" s="304" t="str">
        <f t="shared" si="650"/>
        <v/>
      </c>
      <c r="BM1002" s="304" t="str">
        <f t="shared" si="650"/>
        <v/>
      </c>
      <c r="BN1002" s="28"/>
      <c r="BO1002" s="304" t="str">
        <f t="shared" si="651"/>
        <v/>
      </c>
      <c r="BP1002" s="304" t="str">
        <f t="shared" si="651"/>
        <v/>
      </c>
      <c r="BQ1002" s="28"/>
      <c r="BR1002" s="304" t="str">
        <f t="shared" si="652"/>
        <v/>
      </c>
      <c r="BS1002" s="304" t="str">
        <f t="shared" si="652"/>
        <v/>
      </c>
      <c r="BT1002" s="28"/>
      <c r="BU1002" s="304" t="str">
        <f t="shared" si="653"/>
        <v/>
      </c>
      <c r="BV1002" s="304" t="str">
        <f t="shared" si="653"/>
        <v/>
      </c>
      <c r="BW1002" s="28"/>
      <c r="BX1002" s="91"/>
    </row>
    <row r="1003" spans="1:76" s="55" customFormat="1" x14ac:dyDescent="0.25">
      <c r="A1003" s="195">
        <v>86</v>
      </c>
      <c r="B1003" s="216" t="str">
        <f t="shared" si="642"/>
        <v>OECD90: Dyer. 2010. The Protein-based GHG Emission Intensity for Livestock Products in Canada</v>
      </c>
      <c r="C1003" s="219" t="s">
        <v>604</v>
      </c>
      <c r="D1003" s="379" t="s">
        <v>609</v>
      </c>
      <c r="E1003" s="219" t="s">
        <v>96</v>
      </c>
      <c r="F1003" s="330" t="s">
        <v>606</v>
      </c>
      <c r="G1003" s="220" t="s">
        <v>24</v>
      </c>
      <c r="H1003" s="221">
        <v>2010</v>
      </c>
      <c r="I1003" s="240"/>
      <c r="J1003" s="377">
        <v>115.8</v>
      </c>
      <c r="K1003" s="223" t="s">
        <v>607</v>
      </c>
      <c r="L1003" s="383">
        <f t="shared" si="661"/>
        <v>5.79E-2</v>
      </c>
      <c r="M1003" s="335" t="str">
        <f>'[1]Advanced Controls'!$I$158</f>
        <v>t CH4-CO2eq per kg of protein</v>
      </c>
      <c r="N1003" s="238"/>
      <c r="O1003" s="227" t="s">
        <v>610</v>
      </c>
      <c r="P1003" s="122"/>
      <c r="Q1003" s="228"/>
      <c r="R1003" s="231">
        <f t="shared" si="658"/>
        <v>5.79E-2</v>
      </c>
      <c r="S1003" s="230">
        <f t="shared" si="657"/>
        <v>5.79E-2</v>
      </c>
      <c r="T1003" s="231" t="str">
        <f t="shared" si="659"/>
        <v/>
      </c>
      <c r="U1003" s="232" t="str">
        <f t="shared" si="644"/>
        <v>t CH4-CO2eq per kg of protein</v>
      </c>
      <c r="V1003" s="28"/>
      <c r="W1003" s="28"/>
      <c r="Y1003" s="91"/>
      <c r="AO1003" s="91"/>
      <c r="AP1003" s="28"/>
      <c r="AQ1003" s="28"/>
      <c r="AR1003" s="237"/>
      <c r="AS1003" s="28"/>
      <c r="AT1003" s="304" t="str">
        <f t="shared" si="660"/>
        <v/>
      </c>
      <c r="AU1003" s="304" t="str">
        <f t="shared" si="660"/>
        <v/>
      </c>
      <c r="AV1003" s="28"/>
      <c r="AW1003" s="304">
        <f t="shared" si="645"/>
        <v>5.79E-2</v>
      </c>
      <c r="AX1003" s="304">
        <f t="shared" si="645"/>
        <v>5.79E-2</v>
      </c>
      <c r="AY1003" s="28"/>
      <c r="AZ1003" s="304" t="str">
        <f t="shared" si="646"/>
        <v/>
      </c>
      <c r="BA1003" s="304" t="str">
        <f t="shared" si="646"/>
        <v/>
      </c>
      <c r="BB1003" s="28"/>
      <c r="BC1003" s="304" t="str">
        <f t="shared" si="647"/>
        <v/>
      </c>
      <c r="BD1003" s="304" t="str">
        <f t="shared" si="647"/>
        <v/>
      </c>
      <c r="BE1003" s="28"/>
      <c r="BF1003" s="304" t="str">
        <f t="shared" si="648"/>
        <v/>
      </c>
      <c r="BG1003" s="304" t="str">
        <f t="shared" si="648"/>
        <v/>
      </c>
      <c r="BH1003" s="28"/>
      <c r="BI1003" s="304" t="str">
        <f t="shared" si="649"/>
        <v/>
      </c>
      <c r="BJ1003" s="304" t="str">
        <f t="shared" si="649"/>
        <v/>
      </c>
      <c r="BK1003" s="28"/>
      <c r="BL1003" s="304" t="str">
        <f t="shared" si="650"/>
        <v/>
      </c>
      <c r="BM1003" s="304" t="str">
        <f t="shared" si="650"/>
        <v/>
      </c>
      <c r="BN1003" s="28"/>
      <c r="BO1003" s="304" t="str">
        <f t="shared" si="651"/>
        <v/>
      </c>
      <c r="BP1003" s="304" t="str">
        <f t="shared" si="651"/>
        <v/>
      </c>
      <c r="BQ1003" s="28"/>
      <c r="BR1003" s="304" t="str">
        <f t="shared" si="652"/>
        <v/>
      </c>
      <c r="BS1003" s="304" t="str">
        <f t="shared" si="652"/>
        <v/>
      </c>
      <c r="BT1003" s="28"/>
      <c r="BU1003" s="304" t="str">
        <f t="shared" si="653"/>
        <v/>
      </c>
      <c r="BV1003" s="304" t="str">
        <f t="shared" si="653"/>
        <v/>
      </c>
      <c r="BW1003" s="28"/>
      <c r="BX1003" s="91"/>
    </row>
    <row r="1004" spans="1:76" s="55" customFormat="1" x14ac:dyDescent="0.25">
      <c r="A1004" s="195">
        <v>87</v>
      </c>
      <c r="B1004" s="216" t="str">
        <f t="shared" si="642"/>
        <v>OECD90: Dyer. 2010. The Protein-based GHG Emission Intensity for Livestock Products in Canada</v>
      </c>
      <c r="C1004" s="219" t="s">
        <v>604</v>
      </c>
      <c r="D1004" s="379" t="s">
        <v>611</v>
      </c>
      <c r="E1004" s="219" t="s">
        <v>96</v>
      </c>
      <c r="F1004" s="330" t="s">
        <v>606</v>
      </c>
      <c r="G1004" s="220" t="s">
        <v>24</v>
      </c>
      <c r="H1004" s="221">
        <v>2010</v>
      </c>
      <c r="I1004" s="240"/>
      <c r="J1004" s="377">
        <v>119</v>
      </c>
      <c r="K1004" s="223" t="s">
        <v>607</v>
      </c>
      <c r="L1004" s="383">
        <f t="shared" si="661"/>
        <v>5.9500000000000004E-2</v>
      </c>
      <c r="M1004" s="335" t="str">
        <f>'[1]Advanced Controls'!$I$158</f>
        <v>t CH4-CO2eq per kg of protein</v>
      </c>
      <c r="N1004" s="238"/>
      <c r="O1004" s="227" t="s">
        <v>612</v>
      </c>
      <c r="P1004" s="122"/>
      <c r="Q1004" s="228"/>
      <c r="R1004" s="231">
        <f t="shared" si="658"/>
        <v>5.9500000000000004E-2</v>
      </c>
      <c r="S1004" s="230">
        <f t="shared" si="657"/>
        <v>5.9500000000000004E-2</v>
      </c>
      <c r="T1004" s="231">
        <f t="shared" si="659"/>
        <v>0</v>
      </c>
      <c r="U1004" s="232" t="str">
        <f t="shared" si="644"/>
        <v>t CH4-CO2eq per kg of protein</v>
      </c>
      <c r="V1004" s="28"/>
      <c r="W1004" s="28"/>
      <c r="Y1004" s="91"/>
      <c r="AO1004" s="91"/>
      <c r="AP1004" s="28"/>
      <c r="AQ1004" s="28"/>
      <c r="AR1004" s="237"/>
      <c r="AS1004" s="28"/>
      <c r="AT1004" s="304" t="str">
        <f t="shared" si="660"/>
        <v/>
      </c>
      <c r="AU1004" s="304" t="str">
        <f t="shared" si="660"/>
        <v/>
      </c>
      <c r="AV1004" s="28"/>
      <c r="AW1004" s="304">
        <f t="shared" si="645"/>
        <v>5.9500000000000004E-2</v>
      </c>
      <c r="AX1004" s="304">
        <f t="shared" si="645"/>
        <v>5.9500000000000004E-2</v>
      </c>
      <c r="AY1004" s="28"/>
      <c r="AZ1004" s="304" t="str">
        <f t="shared" si="646"/>
        <v/>
      </c>
      <c r="BA1004" s="304" t="str">
        <f t="shared" si="646"/>
        <v/>
      </c>
      <c r="BB1004" s="28"/>
      <c r="BC1004" s="304" t="str">
        <f t="shared" si="647"/>
        <v/>
      </c>
      <c r="BD1004" s="304" t="str">
        <f t="shared" si="647"/>
        <v/>
      </c>
      <c r="BE1004" s="28"/>
      <c r="BF1004" s="304" t="str">
        <f t="shared" si="648"/>
        <v/>
      </c>
      <c r="BG1004" s="304" t="str">
        <f t="shared" si="648"/>
        <v/>
      </c>
      <c r="BH1004" s="28"/>
      <c r="BI1004" s="304" t="str">
        <f t="shared" si="649"/>
        <v/>
      </c>
      <c r="BJ1004" s="304" t="str">
        <f t="shared" si="649"/>
        <v/>
      </c>
      <c r="BK1004" s="28"/>
      <c r="BL1004" s="304" t="str">
        <f t="shared" si="650"/>
        <v/>
      </c>
      <c r="BM1004" s="304" t="str">
        <f t="shared" si="650"/>
        <v/>
      </c>
      <c r="BN1004" s="28"/>
      <c r="BO1004" s="304" t="str">
        <f t="shared" si="651"/>
        <v/>
      </c>
      <c r="BP1004" s="304" t="str">
        <f t="shared" si="651"/>
        <v/>
      </c>
      <c r="BQ1004" s="28"/>
      <c r="BR1004" s="304" t="str">
        <f t="shared" si="652"/>
        <v/>
      </c>
      <c r="BS1004" s="304" t="str">
        <f t="shared" si="652"/>
        <v/>
      </c>
      <c r="BT1004" s="28"/>
      <c r="BU1004" s="304" t="str">
        <f t="shared" si="653"/>
        <v/>
      </c>
      <c r="BV1004" s="304" t="str">
        <f t="shared" si="653"/>
        <v/>
      </c>
      <c r="BW1004" s="28"/>
      <c r="BX1004" s="91"/>
    </row>
    <row r="1005" spans="1:76" s="55" customFormat="1" x14ac:dyDescent="0.25">
      <c r="A1005" s="195">
        <v>88</v>
      </c>
      <c r="B1005" s="216" t="str">
        <f t="shared" si="642"/>
        <v>OECD90: Dyer. 2010. The Protein-based GHG Emission Intensity for Livestock Products in Canada</v>
      </c>
      <c r="C1005" s="219" t="s">
        <v>604</v>
      </c>
      <c r="D1005" s="379" t="s">
        <v>613</v>
      </c>
      <c r="E1005" s="219" t="s">
        <v>96</v>
      </c>
      <c r="F1005" s="330" t="s">
        <v>606</v>
      </c>
      <c r="G1005" s="220" t="s">
        <v>24</v>
      </c>
      <c r="H1005" s="221">
        <v>2010</v>
      </c>
      <c r="I1005" s="240"/>
      <c r="J1005" s="377">
        <v>32.6</v>
      </c>
      <c r="K1005" s="223" t="s">
        <v>607</v>
      </c>
      <c r="L1005" s="383">
        <f t="shared" si="661"/>
        <v>1.6300000000000002E-2</v>
      </c>
      <c r="M1005" s="335" t="str">
        <f>'[1]Advanced Controls'!$I$158</f>
        <v>t CH4-CO2eq per kg of protein</v>
      </c>
      <c r="N1005" s="238"/>
      <c r="O1005" s="227" t="s">
        <v>614</v>
      </c>
      <c r="P1005" s="122"/>
      <c r="Q1005" s="228"/>
      <c r="R1005" s="231">
        <f t="shared" si="658"/>
        <v>1.6300000000000002E-2</v>
      </c>
      <c r="S1005" s="230">
        <f t="shared" si="657"/>
        <v>1.6300000000000002E-2</v>
      </c>
      <c r="T1005" s="231">
        <f t="shared" si="659"/>
        <v>0</v>
      </c>
      <c r="U1005" s="232" t="str">
        <f t="shared" si="644"/>
        <v>t CH4-CO2eq per kg of protein</v>
      </c>
      <c r="V1005" s="28"/>
      <c r="W1005" s="28"/>
      <c r="Y1005" s="91"/>
      <c r="AO1005" s="91"/>
      <c r="AP1005" s="28"/>
      <c r="AQ1005" s="28"/>
      <c r="AR1005" s="237"/>
      <c r="AS1005" s="28"/>
      <c r="AT1005" s="304" t="str">
        <f t="shared" si="660"/>
        <v/>
      </c>
      <c r="AU1005" s="304" t="str">
        <f t="shared" si="660"/>
        <v/>
      </c>
      <c r="AV1005" s="28"/>
      <c r="AW1005" s="304">
        <f t="shared" si="645"/>
        <v>1.6300000000000002E-2</v>
      </c>
      <c r="AX1005" s="304">
        <f t="shared" si="645"/>
        <v>1.6300000000000002E-2</v>
      </c>
      <c r="AY1005" s="28"/>
      <c r="AZ1005" s="304" t="str">
        <f t="shared" si="646"/>
        <v/>
      </c>
      <c r="BA1005" s="304" t="str">
        <f t="shared" si="646"/>
        <v/>
      </c>
      <c r="BB1005" s="28"/>
      <c r="BC1005" s="304" t="str">
        <f t="shared" si="647"/>
        <v/>
      </c>
      <c r="BD1005" s="304" t="str">
        <f t="shared" si="647"/>
        <v/>
      </c>
      <c r="BE1005" s="28"/>
      <c r="BF1005" s="304" t="str">
        <f t="shared" si="648"/>
        <v/>
      </c>
      <c r="BG1005" s="304" t="str">
        <f t="shared" si="648"/>
        <v/>
      </c>
      <c r="BH1005" s="28"/>
      <c r="BI1005" s="304" t="str">
        <f t="shared" si="649"/>
        <v/>
      </c>
      <c r="BJ1005" s="304" t="str">
        <f t="shared" si="649"/>
        <v/>
      </c>
      <c r="BK1005" s="28"/>
      <c r="BL1005" s="304" t="str">
        <f t="shared" si="650"/>
        <v/>
      </c>
      <c r="BM1005" s="304" t="str">
        <f t="shared" si="650"/>
        <v/>
      </c>
      <c r="BN1005" s="28"/>
      <c r="BO1005" s="304" t="str">
        <f t="shared" si="651"/>
        <v/>
      </c>
      <c r="BP1005" s="304" t="str">
        <f t="shared" si="651"/>
        <v/>
      </c>
      <c r="BQ1005" s="28"/>
      <c r="BR1005" s="304" t="str">
        <f t="shared" si="652"/>
        <v/>
      </c>
      <c r="BS1005" s="304" t="str">
        <f t="shared" si="652"/>
        <v/>
      </c>
      <c r="BT1005" s="28"/>
      <c r="BU1005" s="304" t="str">
        <f t="shared" si="653"/>
        <v/>
      </c>
      <c r="BV1005" s="304" t="str">
        <f t="shared" si="653"/>
        <v/>
      </c>
      <c r="BW1005" s="28"/>
      <c r="BX1005" s="91"/>
    </row>
    <row r="1006" spans="1:76" s="55" customFormat="1" x14ac:dyDescent="0.25">
      <c r="A1006" s="195">
        <v>89</v>
      </c>
      <c r="B1006" s="216" t="str">
        <f t="shared" si="642"/>
        <v>OECD90: Dyer. 2010. The Protein-based GHG Emission Intensity for Livestock Products in Canada</v>
      </c>
      <c r="C1006" s="219" t="s">
        <v>604</v>
      </c>
      <c r="D1006" s="379" t="s">
        <v>615</v>
      </c>
      <c r="E1006" s="219" t="s">
        <v>96</v>
      </c>
      <c r="F1006" s="330" t="s">
        <v>606</v>
      </c>
      <c r="G1006" s="220" t="s">
        <v>24</v>
      </c>
      <c r="H1006" s="221">
        <v>2010</v>
      </c>
      <c r="I1006" s="240"/>
      <c r="J1006" s="377">
        <v>28.9</v>
      </c>
      <c r="K1006" s="223" t="s">
        <v>607</v>
      </c>
      <c r="L1006" s="383">
        <f t="shared" si="661"/>
        <v>1.4449999999999999E-2</v>
      </c>
      <c r="M1006" s="335" t="str">
        <f>'[1]Advanced Controls'!$I$158</f>
        <v>t CH4-CO2eq per kg of protein</v>
      </c>
      <c r="N1006" s="238"/>
      <c r="O1006" s="227" t="s">
        <v>616</v>
      </c>
      <c r="P1006" s="122"/>
      <c r="Q1006" s="228"/>
      <c r="R1006" s="231">
        <f t="shared" si="658"/>
        <v>1.4449999999999999E-2</v>
      </c>
      <c r="S1006" s="230">
        <f t="shared" si="657"/>
        <v>1.4449999999999999E-2</v>
      </c>
      <c r="T1006" s="231">
        <f t="shared" si="659"/>
        <v>0</v>
      </c>
      <c r="U1006" s="232" t="str">
        <f t="shared" si="644"/>
        <v>t CH4-CO2eq per kg of protein</v>
      </c>
      <c r="V1006" s="28"/>
      <c r="W1006" s="28"/>
      <c r="Y1006" s="91"/>
      <c r="AO1006" s="91"/>
      <c r="AP1006" s="28"/>
      <c r="AQ1006" s="28"/>
      <c r="AR1006" s="237"/>
      <c r="AS1006" s="28"/>
      <c r="AT1006" s="304" t="str">
        <f t="shared" si="660"/>
        <v/>
      </c>
      <c r="AU1006" s="304" t="str">
        <f t="shared" si="660"/>
        <v/>
      </c>
      <c r="AV1006" s="28"/>
      <c r="AW1006" s="304">
        <f t="shared" si="645"/>
        <v>1.4449999999999999E-2</v>
      </c>
      <c r="AX1006" s="304">
        <f t="shared" si="645"/>
        <v>1.4449999999999999E-2</v>
      </c>
      <c r="AY1006" s="28"/>
      <c r="AZ1006" s="304" t="str">
        <f t="shared" si="646"/>
        <v/>
      </c>
      <c r="BA1006" s="304" t="str">
        <f t="shared" si="646"/>
        <v/>
      </c>
      <c r="BB1006" s="28"/>
      <c r="BC1006" s="304" t="str">
        <f t="shared" si="647"/>
        <v/>
      </c>
      <c r="BD1006" s="304" t="str">
        <f t="shared" si="647"/>
        <v/>
      </c>
      <c r="BE1006" s="28"/>
      <c r="BF1006" s="304" t="str">
        <f t="shared" si="648"/>
        <v/>
      </c>
      <c r="BG1006" s="304" t="str">
        <f t="shared" si="648"/>
        <v/>
      </c>
      <c r="BH1006" s="28"/>
      <c r="BI1006" s="304" t="str">
        <f t="shared" si="649"/>
        <v/>
      </c>
      <c r="BJ1006" s="304" t="str">
        <f t="shared" si="649"/>
        <v/>
      </c>
      <c r="BK1006" s="28"/>
      <c r="BL1006" s="304" t="str">
        <f t="shared" si="650"/>
        <v/>
      </c>
      <c r="BM1006" s="304" t="str">
        <f t="shared" si="650"/>
        <v/>
      </c>
      <c r="BN1006" s="28"/>
      <c r="BO1006" s="304" t="str">
        <f t="shared" si="651"/>
        <v/>
      </c>
      <c r="BP1006" s="304" t="str">
        <f t="shared" si="651"/>
        <v/>
      </c>
      <c r="BQ1006" s="28"/>
      <c r="BR1006" s="304" t="str">
        <f t="shared" si="652"/>
        <v/>
      </c>
      <c r="BS1006" s="304" t="str">
        <f t="shared" si="652"/>
        <v/>
      </c>
      <c r="BT1006" s="28"/>
      <c r="BU1006" s="304" t="str">
        <f t="shared" si="653"/>
        <v/>
      </c>
      <c r="BV1006" s="304" t="str">
        <f t="shared" si="653"/>
        <v/>
      </c>
      <c r="BW1006" s="28"/>
      <c r="BX1006" s="91"/>
    </row>
    <row r="1007" spans="1:76" s="55" customFormat="1" x14ac:dyDescent="0.25">
      <c r="A1007" s="195">
        <v>90</v>
      </c>
      <c r="B1007" s="216" t="str">
        <f t="shared" si="642"/>
        <v>OECD90: Dyer. 2010. The Protein-based GHG Emission Intensity for Livestock Products in Canada</v>
      </c>
      <c r="C1007" s="219" t="s">
        <v>604</v>
      </c>
      <c r="D1007" s="379" t="s">
        <v>617</v>
      </c>
      <c r="E1007" s="219" t="s">
        <v>96</v>
      </c>
      <c r="F1007" s="330" t="s">
        <v>606</v>
      </c>
      <c r="G1007" s="220" t="s">
        <v>24</v>
      </c>
      <c r="H1007" s="221">
        <v>2010</v>
      </c>
      <c r="I1007" s="240"/>
      <c r="J1007" s="377">
        <v>31.7</v>
      </c>
      <c r="K1007" s="223" t="s">
        <v>607</v>
      </c>
      <c r="L1007" s="383">
        <f t="shared" si="661"/>
        <v>1.585E-2</v>
      </c>
      <c r="M1007" s="335" t="str">
        <f>'[1]Advanced Controls'!$I$158</f>
        <v>t CH4-CO2eq per kg of protein</v>
      </c>
      <c r="N1007" s="238"/>
      <c r="O1007" s="227" t="s">
        <v>618</v>
      </c>
      <c r="P1007" s="122"/>
      <c r="Q1007" s="228"/>
      <c r="R1007" s="231">
        <f t="shared" si="658"/>
        <v>1.585E-2</v>
      </c>
      <c r="S1007" s="230">
        <f t="shared" si="657"/>
        <v>1.585E-2</v>
      </c>
      <c r="T1007" s="231">
        <f t="shared" si="659"/>
        <v>0</v>
      </c>
      <c r="U1007" s="232" t="str">
        <f t="shared" si="644"/>
        <v>t CH4-CO2eq per kg of protein</v>
      </c>
      <c r="V1007" s="28"/>
      <c r="W1007" s="28"/>
      <c r="Y1007" s="91"/>
      <c r="AO1007" s="91"/>
      <c r="AP1007" s="28"/>
      <c r="AQ1007" s="28"/>
      <c r="AR1007" s="237"/>
      <c r="AS1007" s="28"/>
      <c r="AT1007" s="304" t="str">
        <f t="shared" si="660"/>
        <v/>
      </c>
      <c r="AU1007" s="304" t="str">
        <f t="shared" si="660"/>
        <v/>
      </c>
      <c r="AV1007" s="28"/>
      <c r="AW1007" s="304">
        <f t="shared" si="645"/>
        <v>1.585E-2</v>
      </c>
      <c r="AX1007" s="304">
        <f t="shared" si="645"/>
        <v>1.585E-2</v>
      </c>
      <c r="AY1007" s="28"/>
      <c r="AZ1007" s="304" t="str">
        <f t="shared" si="646"/>
        <v/>
      </c>
      <c r="BA1007" s="304" t="str">
        <f t="shared" si="646"/>
        <v/>
      </c>
      <c r="BB1007" s="28"/>
      <c r="BC1007" s="304" t="str">
        <f t="shared" si="647"/>
        <v/>
      </c>
      <c r="BD1007" s="304" t="str">
        <f t="shared" si="647"/>
        <v/>
      </c>
      <c r="BE1007" s="28"/>
      <c r="BF1007" s="304" t="str">
        <f t="shared" si="648"/>
        <v/>
      </c>
      <c r="BG1007" s="304" t="str">
        <f t="shared" si="648"/>
        <v/>
      </c>
      <c r="BH1007" s="28"/>
      <c r="BI1007" s="304" t="str">
        <f t="shared" si="649"/>
        <v/>
      </c>
      <c r="BJ1007" s="304" t="str">
        <f t="shared" si="649"/>
        <v/>
      </c>
      <c r="BK1007" s="28"/>
      <c r="BL1007" s="304" t="str">
        <f t="shared" si="650"/>
        <v/>
      </c>
      <c r="BM1007" s="304" t="str">
        <f t="shared" si="650"/>
        <v/>
      </c>
      <c r="BN1007" s="28"/>
      <c r="BO1007" s="304" t="str">
        <f t="shared" si="651"/>
        <v/>
      </c>
      <c r="BP1007" s="304" t="str">
        <f t="shared" si="651"/>
        <v/>
      </c>
      <c r="BQ1007" s="28"/>
      <c r="BR1007" s="304" t="str">
        <f t="shared" si="652"/>
        <v/>
      </c>
      <c r="BS1007" s="304" t="str">
        <f t="shared" si="652"/>
        <v/>
      </c>
      <c r="BT1007" s="28"/>
      <c r="BU1007" s="304" t="str">
        <f t="shared" si="653"/>
        <v/>
      </c>
      <c r="BV1007" s="304" t="str">
        <f t="shared" si="653"/>
        <v/>
      </c>
      <c r="BW1007" s="28"/>
      <c r="BX1007" s="91"/>
    </row>
    <row r="1008" spans="1:76" s="55" customFormat="1" x14ac:dyDescent="0.25">
      <c r="A1008" s="195">
        <v>91</v>
      </c>
      <c r="B1008" s="216" t="str">
        <f t="shared" si="642"/>
        <v>OECD90: Pelletier and Tyedmers. 2010. Forecasting potential globbal environmental costs of livestock production 2000-2050</v>
      </c>
      <c r="C1008" s="219" t="s">
        <v>619</v>
      </c>
      <c r="D1008" s="219" t="s">
        <v>620</v>
      </c>
      <c r="E1008" s="219" t="s">
        <v>96</v>
      </c>
      <c r="F1008" s="219" t="s">
        <v>621</v>
      </c>
      <c r="G1008" s="220" t="s">
        <v>24</v>
      </c>
      <c r="H1008" s="221">
        <v>2006</v>
      </c>
      <c r="I1008" s="220"/>
      <c r="J1008" s="377">
        <v>13</v>
      </c>
      <c r="K1008" s="223" t="s">
        <v>622</v>
      </c>
      <c r="L1008" s="334">
        <f>J1008*0.001*0.5/[1]conversions!$E$17</f>
        <v>7.8313253012048195E-2</v>
      </c>
      <c r="M1008" s="335" t="str">
        <f>'[1]Advanced Controls'!$I$158</f>
        <v>t CH4-CO2eq per kg of protein</v>
      </c>
      <c r="N1008" s="238"/>
      <c r="O1008" s="349" t="s">
        <v>623</v>
      </c>
      <c r="P1008" s="122"/>
      <c r="Q1008" s="228"/>
      <c r="R1008" s="231">
        <f t="shared" si="658"/>
        <v>7.8313253012048195E-2</v>
      </c>
      <c r="S1008" s="230">
        <f t="shared" si="657"/>
        <v>7.8313253012048195E-2</v>
      </c>
      <c r="T1008" s="231" t="str">
        <f t="shared" si="659"/>
        <v/>
      </c>
      <c r="U1008" s="232" t="str">
        <f t="shared" si="644"/>
        <v>t CH4-CO2eq per kg of protein</v>
      </c>
      <c r="V1008" s="28"/>
      <c r="W1008" s="28"/>
      <c r="Y1008" s="91"/>
      <c r="AO1008" s="91"/>
      <c r="AP1008" s="28"/>
      <c r="AQ1008" s="28"/>
      <c r="AR1008" s="237"/>
      <c r="AS1008" s="28"/>
      <c r="AT1008" s="304" t="str">
        <f t="shared" si="660"/>
        <v/>
      </c>
      <c r="AU1008" s="304" t="str">
        <f t="shared" si="660"/>
        <v/>
      </c>
      <c r="AV1008" s="28"/>
      <c r="AW1008" s="304">
        <f t="shared" si="645"/>
        <v>7.8313253012048195E-2</v>
      </c>
      <c r="AX1008" s="304">
        <f t="shared" si="645"/>
        <v>7.8313253012048195E-2</v>
      </c>
      <c r="AY1008" s="28"/>
      <c r="AZ1008" s="304" t="str">
        <f t="shared" si="646"/>
        <v/>
      </c>
      <c r="BA1008" s="304" t="str">
        <f t="shared" si="646"/>
        <v/>
      </c>
      <c r="BB1008" s="28"/>
      <c r="BC1008" s="304" t="str">
        <f t="shared" si="647"/>
        <v/>
      </c>
      <c r="BD1008" s="304" t="str">
        <f t="shared" si="647"/>
        <v/>
      </c>
      <c r="BE1008" s="28"/>
      <c r="BF1008" s="304" t="str">
        <f t="shared" si="648"/>
        <v/>
      </c>
      <c r="BG1008" s="304" t="str">
        <f t="shared" si="648"/>
        <v/>
      </c>
      <c r="BH1008" s="28"/>
      <c r="BI1008" s="304" t="str">
        <f t="shared" si="649"/>
        <v/>
      </c>
      <c r="BJ1008" s="304" t="str">
        <f t="shared" si="649"/>
        <v/>
      </c>
      <c r="BK1008" s="28"/>
      <c r="BL1008" s="304" t="str">
        <f t="shared" si="650"/>
        <v/>
      </c>
      <c r="BM1008" s="304" t="str">
        <f t="shared" si="650"/>
        <v/>
      </c>
      <c r="BN1008" s="28"/>
      <c r="BO1008" s="304" t="str">
        <f t="shared" si="651"/>
        <v/>
      </c>
      <c r="BP1008" s="304" t="str">
        <f t="shared" si="651"/>
        <v/>
      </c>
      <c r="BQ1008" s="28"/>
      <c r="BR1008" s="304" t="str">
        <f t="shared" si="652"/>
        <v/>
      </c>
      <c r="BS1008" s="304" t="str">
        <f t="shared" si="652"/>
        <v/>
      </c>
      <c r="BT1008" s="28"/>
      <c r="BU1008" s="304" t="str">
        <f t="shared" si="653"/>
        <v/>
      </c>
      <c r="BV1008" s="304" t="str">
        <f t="shared" si="653"/>
        <v/>
      </c>
      <c r="BW1008" s="28"/>
      <c r="BX1008" s="91"/>
    </row>
    <row r="1009" spans="1:76" s="55" customFormat="1" x14ac:dyDescent="0.25">
      <c r="A1009" s="195">
        <v>92</v>
      </c>
      <c r="B1009" s="216" t="str">
        <f t="shared" si="642"/>
        <v>OECD90: Pelletier and Tyedmers. 2010. Forecasting potential globbal environmental costs of livestock production 2000-2051</v>
      </c>
      <c r="C1009" s="219" t="s">
        <v>624</v>
      </c>
      <c r="D1009" s="219" t="s">
        <v>620</v>
      </c>
      <c r="E1009" s="219" t="s">
        <v>96</v>
      </c>
      <c r="F1009" s="219" t="s">
        <v>625</v>
      </c>
      <c r="G1009" s="220" t="s">
        <v>24</v>
      </c>
      <c r="H1009" s="221">
        <v>2004</v>
      </c>
      <c r="I1009" s="220"/>
      <c r="J1009" s="377">
        <v>13.5</v>
      </c>
      <c r="K1009" s="223" t="s">
        <v>626</v>
      </c>
      <c r="L1009" s="334">
        <f>J1009*0.001*0.41*0.5/[1]conversions!$E$17</f>
        <v>3.3343373493975904E-2</v>
      </c>
      <c r="M1009" s="335" t="str">
        <f>'[1]Advanced Controls'!$I$158</f>
        <v>t CH4-CO2eq per kg of protein</v>
      </c>
      <c r="N1009" s="238"/>
      <c r="O1009" s="349" t="s">
        <v>627</v>
      </c>
      <c r="P1009" s="122"/>
      <c r="Q1009" s="228"/>
      <c r="R1009" s="231">
        <f t="shared" si="658"/>
        <v>3.3343373493975904E-2</v>
      </c>
      <c r="S1009" s="230">
        <f t="shared" si="657"/>
        <v>3.3343373493975904E-2</v>
      </c>
      <c r="T1009" s="231">
        <f t="shared" si="659"/>
        <v>0</v>
      </c>
      <c r="U1009" s="232" t="str">
        <f t="shared" si="644"/>
        <v>t CH4-CO2eq per kg of protein</v>
      </c>
      <c r="V1009" s="28"/>
      <c r="W1009" s="28"/>
      <c r="Y1009" s="91"/>
      <c r="AO1009" s="91"/>
      <c r="AP1009" s="28"/>
      <c r="AQ1009" s="28"/>
      <c r="AR1009" s="237"/>
      <c r="AS1009" s="28"/>
      <c r="AT1009" s="304" t="str">
        <f t="shared" si="660"/>
        <v/>
      </c>
      <c r="AU1009" s="304" t="str">
        <f t="shared" si="660"/>
        <v/>
      </c>
      <c r="AV1009" s="28"/>
      <c r="AW1009" s="304">
        <f t="shared" si="645"/>
        <v>3.3343373493975904E-2</v>
      </c>
      <c r="AX1009" s="304">
        <f t="shared" si="645"/>
        <v>3.3343373493975904E-2</v>
      </c>
      <c r="AY1009" s="28"/>
      <c r="AZ1009" s="304" t="str">
        <f t="shared" si="646"/>
        <v/>
      </c>
      <c r="BA1009" s="304" t="str">
        <f t="shared" si="646"/>
        <v/>
      </c>
      <c r="BB1009" s="28"/>
      <c r="BC1009" s="304" t="str">
        <f t="shared" si="647"/>
        <v/>
      </c>
      <c r="BD1009" s="304" t="str">
        <f t="shared" si="647"/>
        <v/>
      </c>
      <c r="BE1009" s="28"/>
      <c r="BF1009" s="304" t="str">
        <f t="shared" si="648"/>
        <v/>
      </c>
      <c r="BG1009" s="304" t="str">
        <f t="shared" si="648"/>
        <v/>
      </c>
      <c r="BH1009" s="28"/>
      <c r="BI1009" s="304" t="str">
        <f t="shared" si="649"/>
        <v/>
      </c>
      <c r="BJ1009" s="304" t="str">
        <f t="shared" si="649"/>
        <v/>
      </c>
      <c r="BK1009" s="28"/>
      <c r="BL1009" s="304" t="str">
        <f t="shared" si="650"/>
        <v/>
      </c>
      <c r="BM1009" s="304" t="str">
        <f t="shared" si="650"/>
        <v/>
      </c>
      <c r="BN1009" s="28"/>
      <c r="BO1009" s="304" t="str">
        <f t="shared" si="651"/>
        <v/>
      </c>
      <c r="BP1009" s="304" t="str">
        <f t="shared" si="651"/>
        <v/>
      </c>
      <c r="BQ1009" s="28"/>
      <c r="BR1009" s="304" t="str">
        <f t="shared" si="652"/>
        <v/>
      </c>
      <c r="BS1009" s="304" t="str">
        <f t="shared" si="652"/>
        <v/>
      </c>
      <c r="BT1009" s="28"/>
      <c r="BU1009" s="304" t="str">
        <f t="shared" si="653"/>
        <v/>
      </c>
      <c r="BV1009" s="304" t="str">
        <f t="shared" si="653"/>
        <v/>
      </c>
      <c r="BW1009" s="28"/>
      <c r="BX1009" s="91"/>
    </row>
    <row r="1010" spans="1:76" s="55" customFormat="1" x14ac:dyDescent="0.25">
      <c r="A1010" s="195">
        <v>93</v>
      </c>
      <c r="B1010" s="216" t="str">
        <f t="shared" si="642"/>
        <v>OECD90: Pelletier and Tyedmers. 2010. Forecasting potential globbal environmental costs of livestock production 2000-2052</v>
      </c>
      <c r="C1010" s="219" t="s">
        <v>628</v>
      </c>
      <c r="D1010" s="219" t="s">
        <v>620</v>
      </c>
      <c r="E1010" s="219" t="s">
        <v>96</v>
      </c>
      <c r="F1010" s="219" t="s">
        <v>629</v>
      </c>
      <c r="G1010" s="220" t="s">
        <v>24</v>
      </c>
      <c r="H1010" s="221">
        <v>2010</v>
      </c>
      <c r="I1010" s="220"/>
      <c r="J1010" s="377">
        <v>14.3</v>
      </c>
      <c r="K1010" s="223" t="s">
        <v>622</v>
      </c>
      <c r="L1010" s="334">
        <f>J1010*0.001*0.5/[1]conversions!$E$17</f>
        <v>8.6144578313253006E-2</v>
      </c>
      <c r="M1010" s="335" t="str">
        <f>'[1]Advanced Controls'!$I$158</f>
        <v>t CH4-CO2eq per kg of protein</v>
      </c>
      <c r="N1010" s="238"/>
      <c r="O1010" s="349" t="s">
        <v>627</v>
      </c>
      <c r="P1010" s="122"/>
      <c r="Q1010" s="228"/>
      <c r="R1010" s="231">
        <f t="shared" si="658"/>
        <v>8.6144578313253006E-2</v>
      </c>
      <c r="S1010" s="230">
        <f t="shared" si="657"/>
        <v>8.6144578313253006E-2</v>
      </c>
      <c r="T1010" s="231" t="str">
        <f t="shared" si="659"/>
        <v/>
      </c>
      <c r="U1010" s="232" t="str">
        <f t="shared" si="644"/>
        <v>t CH4-CO2eq per kg of protein</v>
      </c>
      <c r="V1010" s="28"/>
      <c r="W1010" s="28"/>
      <c r="Y1010" s="91"/>
      <c r="AO1010" s="91"/>
      <c r="AP1010" s="28"/>
      <c r="AQ1010" s="28"/>
      <c r="AR1010" s="237"/>
      <c r="AS1010" s="28"/>
      <c r="AT1010" s="304" t="str">
        <f t="shared" si="660"/>
        <v/>
      </c>
      <c r="AU1010" s="304" t="str">
        <f t="shared" si="660"/>
        <v/>
      </c>
      <c r="AV1010" s="28"/>
      <c r="AW1010" s="304">
        <f t="shared" si="645"/>
        <v>8.6144578313253006E-2</v>
      </c>
      <c r="AX1010" s="304">
        <f t="shared" si="645"/>
        <v>8.6144578313253006E-2</v>
      </c>
      <c r="AY1010" s="28"/>
      <c r="AZ1010" s="304" t="str">
        <f t="shared" si="646"/>
        <v/>
      </c>
      <c r="BA1010" s="304" t="str">
        <f t="shared" si="646"/>
        <v/>
      </c>
      <c r="BB1010" s="28"/>
      <c r="BC1010" s="304" t="str">
        <f t="shared" si="647"/>
        <v/>
      </c>
      <c r="BD1010" s="304" t="str">
        <f t="shared" si="647"/>
        <v/>
      </c>
      <c r="BE1010" s="28"/>
      <c r="BF1010" s="304" t="str">
        <f t="shared" si="648"/>
        <v/>
      </c>
      <c r="BG1010" s="304" t="str">
        <f t="shared" si="648"/>
        <v/>
      </c>
      <c r="BH1010" s="28"/>
      <c r="BI1010" s="304" t="str">
        <f t="shared" si="649"/>
        <v/>
      </c>
      <c r="BJ1010" s="304" t="str">
        <f t="shared" si="649"/>
        <v/>
      </c>
      <c r="BK1010" s="28"/>
      <c r="BL1010" s="304" t="str">
        <f t="shared" si="650"/>
        <v/>
      </c>
      <c r="BM1010" s="304" t="str">
        <f t="shared" si="650"/>
        <v/>
      </c>
      <c r="BN1010" s="28"/>
      <c r="BO1010" s="304" t="str">
        <f t="shared" si="651"/>
        <v/>
      </c>
      <c r="BP1010" s="304" t="str">
        <f t="shared" si="651"/>
        <v/>
      </c>
      <c r="BQ1010" s="28"/>
      <c r="BR1010" s="304" t="str">
        <f t="shared" si="652"/>
        <v/>
      </c>
      <c r="BS1010" s="304" t="str">
        <f t="shared" si="652"/>
        <v/>
      </c>
      <c r="BT1010" s="28"/>
      <c r="BU1010" s="304" t="str">
        <f t="shared" si="653"/>
        <v/>
      </c>
      <c r="BV1010" s="304" t="str">
        <f t="shared" si="653"/>
        <v/>
      </c>
      <c r="BW1010" s="28"/>
      <c r="BX1010" s="91"/>
    </row>
    <row r="1011" spans="1:76" s="55" customFormat="1" x14ac:dyDescent="0.25">
      <c r="A1011" s="195">
        <v>94</v>
      </c>
      <c r="B1011" s="216" t="str">
        <f t="shared" si="642"/>
        <v>OECD90: Pelletier and Tyedmers. 2010. Forecasting potential globbal environmental costs of livestock production 2000-2053</v>
      </c>
      <c r="C1011" s="219" t="s">
        <v>630</v>
      </c>
      <c r="D1011" s="219" t="s">
        <v>620</v>
      </c>
      <c r="E1011" s="219" t="s">
        <v>96</v>
      </c>
      <c r="F1011" s="219" t="s">
        <v>629</v>
      </c>
      <c r="G1011" s="220" t="s">
        <v>24</v>
      </c>
      <c r="H1011" s="221">
        <v>2010</v>
      </c>
      <c r="I1011" s="220"/>
      <c r="J1011" s="377">
        <v>18.3</v>
      </c>
      <c r="K1011" s="223" t="s">
        <v>622</v>
      </c>
      <c r="L1011" s="334">
        <f>J1011*0.001*0.5/[1]conversions!$E$17</f>
        <v>0.11024096385542169</v>
      </c>
      <c r="M1011" s="335" t="str">
        <f>'[1]Advanced Controls'!$I$158</f>
        <v>t CH4-CO2eq per kg of protein</v>
      </c>
      <c r="N1011" s="238"/>
      <c r="O1011" s="349" t="s">
        <v>627</v>
      </c>
      <c r="P1011" s="122"/>
      <c r="Q1011" s="228"/>
      <c r="R1011" s="231">
        <f t="shared" si="658"/>
        <v>0.11024096385542169</v>
      </c>
      <c r="S1011" s="230">
        <f t="shared" si="657"/>
        <v>0.11024096385542169</v>
      </c>
      <c r="T1011" s="231" t="str">
        <f t="shared" si="659"/>
        <v/>
      </c>
      <c r="U1011" s="232" t="str">
        <f t="shared" si="644"/>
        <v>t CH4-CO2eq per kg of protein</v>
      </c>
      <c r="V1011" s="28"/>
      <c r="W1011" s="28"/>
      <c r="Y1011" s="91"/>
      <c r="AO1011" s="91"/>
      <c r="AP1011" s="28"/>
      <c r="AQ1011" s="28"/>
      <c r="AR1011" s="237"/>
      <c r="AS1011" s="28"/>
      <c r="AT1011" s="304" t="str">
        <f t="shared" si="660"/>
        <v/>
      </c>
      <c r="AU1011" s="304" t="str">
        <f t="shared" si="660"/>
        <v/>
      </c>
      <c r="AV1011" s="28"/>
      <c r="AW1011" s="304">
        <f t="shared" si="645"/>
        <v>0.11024096385542169</v>
      </c>
      <c r="AX1011" s="304">
        <f t="shared" si="645"/>
        <v>0.11024096385542169</v>
      </c>
      <c r="AY1011" s="28"/>
      <c r="AZ1011" s="304" t="str">
        <f t="shared" si="646"/>
        <v/>
      </c>
      <c r="BA1011" s="304" t="str">
        <f t="shared" si="646"/>
        <v/>
      </c>
      <c r="BB1011" s="28"/>
      <c r="BC1011" s="304" t="str">
        <f t="shared" si="647"/>
        <v/>
      </c>
      <c r="BD1011" s="304" t="str">
        <f t="shared" si="647"/>
        <v/>
      </c>
      <c r="BE1011" s="28"/>
      <c r="BF1011" s="304" t="str">
        <f t="shared" si="648"/>
        <v/>
      </c>
      <c r="BG1011" s="304" t="str">
        <f t="shared" si="648"/>
        <v/>
      </c>
      <c r="BH1011" s="28"/>
      <c r="BI1011" s="304" t="str">
        <f t="shared" si="649"/>
        <v/>
      </c>
      <c r="BJ1011" s="304" t="str">
        <f t="shared" si="649"/>
        <v/>
      </c>
      <c r="BK1011" s="28"/>
      <c r="BL1011" s="304" t="str">
        <f t="shared" si="650"/>
        <v/>
      </c>
      <c r="BM1011" s="304" t="str">
        <f t="shared" si="650"/>
        <v/>
      </c>
      <c r="BN1011" s="28"/>
      <c r="BO1011" s="304" t="str">
        <f t="shared" si="651"/>
        <v/>
      </c>
      <c r="BP1011" s="304" t="str">
        <f t="shared" si="651"/>
        <v/>
      </c>
      <c r="BQ1011" s="28"/>
      <c r="BR1011" s="304" t="str">
        <f t="shared" si="652"/>
        <v/>
      </c>
      <c r="BS1011" s="304" t="str">
        <f t="shared" si="652"/>
        <v/>
      </c>
      <c r="BT1011" s="28"/>
      <c r="BU1011" s="304" t="str">
        <f t="shared" si="653"/>
        <v/>
      </c>
      <c r="BV1011" s="304" t="str">
        <f t="shared" si="653"/>
        <v/>
      </c>
      <c r="BW1011" s="28"/>
      <c r="BX1011" s="91"/>
    </row>
    <row r="1012" spans="1:76" s="55" customFormat="1" x14ac:dyDescent="0.25">
      <c r="A1012" s="195">
        <v>95</v>
      </c>
      <c r="B1012" s="216" t="str">
        <f t="shared" si="642"/>
        <v>OECD90: Pelletier and Tyedmers. 2010. Forecasting potential globbal environmental costs of livestock production 2000-2054</v>
      </c>
      <c r="C1012" s="219" t="s">
        <v>631</v>
      </c>
      <c r="D1012" s="219" t="s">
        <v>620</v>
      </c>
      <c r="E1012" s="219" t="s">
        <v>96</v>
      </c>
      <c r="F1012" s="219" t="s">
        <v>632</v>
      </c>
      <c r="G1012" s="220" t="s">
        <v>24</v>
      </c>
      <c r="H1012" s="221">
        <v>2001</v>
      </c>
      <c r="I1012" s="220"/>
      <c r="J1012" s="377">
        <v>13.2</v>
      </c>
      <c r="K1012" s="223" t="s">
        <v>622</v>
      </c>
      <c r="L1012" s="334">
        <f>J1012*0.001*0.5/[1]conversions!$E$17</f>
        <v>7.9518072289156624E-2</v>
      </c>
      <c r="M1012" s="335" t="str">
        <f>'[1]Advanced Controls'!$I$158</f>
        <v>t CH4-CO2eq per kg of protein</v>
      </c>
      <c r="N1012" s="238"/>
      <c r="O1012" s="349" t="s">
        <v>627</v>
      </c>
      <c r="P1012" s="122"/>
      <c r="Q1012" s="228"/>
      <c r="R1012" s="231">
        <f t="shared" si="658"/>
        <v>7.9518072289156624E-2</v>
      </c>
      <c r="S1012" s="230">
        <f t="shared" si="657"/>
        <v>7.9518072289156624E-2</v>
      </c>
      <c r="T1012" s="231" t="str">
        <f t="shared" si="659"/>
        <v/>
      </c>
      <c r="U1012" s="232" t="str">
        <f t="shared" si="644"/>
        <v>t CH4-CO2eq per kg of protein</v>
      </c>
      <c r="V1012" s="28"/>
      <c r="W1012" s="28"/>
      <c r="Y1012" s="91"/>
      <c r="AO1012" s="91"/>
      <c r="AP1012" s="28"/>
      <c r="AQ1012" s="28"/>
      <c r="AR1012" s="237"/>
      <c r="AS1012" s="28"/>
      <c r="AT1012" s="304" t="str">
        <f t="shared" si="660"/>
        <v/>
      </c>
      <c r="AU1012" s="304" t="str">
        <f t="shared" si="660"/>
        <v/>
      </c>
      <c r="AV1012" s="28"/>
      <c r="AW1012" s="304">
        <f t="shared" si="645"/>
        <v>7.9518072289156624E-2</v>
      </c>
      <c r="AX1012" s="304">
        <f t="shared" si="645"/>
        <v>7.9518072289156624E-2</v>
      </c>
      <c r="AY1012" s="28"/>
      <c r="AZ1012" s="304" t="str">
        <f t="shared" si="646"/>
        <v/>
      </c>
      <c r="BA1012" s="304" t="str">
        <f t="shared" si="646"/>
        <v/>
      </c>
      <c r="BB1012" s="28"/>
      <c r="BC1012" s="304" t="str">
        <f t="shared" si="647"/>
        <v/>
      </c>
      <c r="BD1012" s="304" t="str">
        <f t="shared" si="647"/>
        <v/>
      </c>
      <c r="BE1012" s="28"/>
      <c r="BF1012" s="304" t="str">
        <f t="shared" si="648"/>
        <v/>
      </c>
      <c r="BG1012" s="304" t="str">
        <f t="shared" si="648"/>
        <v/>
      </c>
      <c r="BH1012" s="28"/>
      <c r="BI1012" s="304" t="str">
        <f t="shared" si="649"/>
        <v/>
      </c>
      <c r="BJ1012" s="304" t="str">
        <f t="shared" si="649"/>
        <v/>
      </c>
      <c r="BK1012" s="28"/>
      <c r="BL1012" s="304" t="str">
        <f t="shared" si="650"/>
        <v/>
      </c>
      <c r="BM1012" s="304" t="str">
        <f t="shared" si="650"/>
        <v/>
      </c>
      <c r="BN1012" s="28"/>
      <c r="BO1012" s="304" t="str">
        <f t="shared" si="651"/>
        <v/>
      </c>
      <c r="BP1012" s="304" t="str">
        <f t="shared" si="651"/>
        <v/>
      </c>
      <c r="BQ1012" s="28"/>
      <c r="BR1012" s="304" t="str">
        <f t="shared" si="652"/>
        <v/>
      </c>
      <c r="BS1012" s="304" t="str">
        <f t="shared" si="652"/>
        <v/>
      </c>
      <c r="BT1012" s="28"/>
      <c r="BU1012" s="304" t="str">
        <f t="shared" si="653"/>
        <v/>
      </c>
      <c r="BV1012" s="304" t="str">
        <f t="shared" si="653"/>
        <v/>
      </c>
      <c r="BW1012" s="28"/>
      <c r="BX1012" s="91"/>
    </row>
    <row r="1013" spans="1:76" s="55" customFormat="1" x14ac:dyDescent="0.25">
      <c r="A1013" s="195">
        <v>96</v>
      </c>
      <c r="B1013" s="216" t="str">
        <f t="shared" si="642"/>
        <v>OECD90: Pelletier and Tyedmers. 2010. Forecasting potential globbal environmental costs of livestock production 2000-2055</v>
      </c>
      <c r="C1013" s="219" t="s">
        <v>633</v>
      </c>
      <c r="D1013" s="219" t="s">
        <v>620</v>
      </c>
      <c r="E1013" s="219" t="s">
        <v>96</v>
      </c>
      <c r="F1013" s="219" t="s">
        <v>632</v>
      </c>
      <c r="G1013" s="220" t="s">
        <v>24</v>
      </c>
      <c r="H1013" s="221">
        <v>2001</v>
      </c>
      <c r="I1013" s="220"/>
      <c r="J1013" s="377">
        <v>17.8</v>
      </c>
      <c r="K1013" s="223" t="s">
        <v>622</v>
      </c>
      <c r="L1013" s="334">
        <f>J1013*0.001*0.5/[1]conversions!$E$17</f>
        <v>0.1072289156626506</v>
      </c>
      <c r="M1013" s="335" t="str">
        <f>'[1]Advanced Controls'!$I$158</f>
        <v>t CH4-CO2eq per kg of protein</v>
      </c>
      <c r="N1013" s="238"/>
      <c r="O1013" s="349" t="s">
        <v>627</v>
      </c>
      <c r="P1013" s="122"/>
      <c r="Q1013" s="228"/>
      <c r="R1013" s="231">
        <f t="shared" si="658"/>
        <v>0.1072289156626506</v>
      </c>
      <c r="S1013" s="230">
        <f t="shared" si="657"/>
        <v>0.1072289156626506</v>
      </c>
      <c r="T1013" s="231" t="str">
        <f t="shared" si="659"/>
        <v/>
      </c>
      <c r="U1013" s="232" t="str">
        <f t="shared" si="644"/>
        <v>t CH4-CO2eq per kg of protein</v>
      </c>
      <c r="V1013" s="28"/>
      <c r="W1013" s="28"/>
      <c r="Y1013" s="91"/>
      <c r="AO1013" s="91"/>
      <c r="AP1013" s="28"/>
      <c r="AQ1013" s="28"/>
      <c r="AR1013" s="237"/>
      <c r="AS1013" s="28"/>
      <c r="AT1013" s="304" t="str">
        <f t="shared" si="660"/>
        <v/>
      </c>
      <c r="AU1013" s="304" t="str">
        <f t="shared" si="660"/>
        <v/>
      </c>
      <c r="AV1013" s="28"/>
      <c r="AW1013" s="304">
        <f t="shared" si="645"/>
        <v>0.1072289156626506</v>
      </c>
      <c r="AX1013" s="304">
        <f t="shared" si="645"/>
        <v>0.1072289156626506</v>
      </c>
      <c r="AY1013" s="28"/>
      <c r="AZ1013" s="304" t="str">
        <f t="shared" si="646"/>
        <v/>
      </c>
      <c r="BA1013" s="304" t="str">
        <f t="shared" si="646"/>
        <v/>
      </c>
      <c r="BB1013" s="28"/>
      <c r="BC1013" s="304" t="str">
        <f t="shared" si="647"/>
        <v/>
      </c>
      <c r="BD1013" s="304" t="str">
        <f t="shared" si="647"/>
        <v/>
      </c>
      <c r="BE1013" s="28"/>
      <c r="BF1013" s="304" t="str">
        <f t="shared" si="648"/>
        <v/>
      </c>
      <c r="BG1013" s="304" t="str">
        <f t="shared" si="648"/>
        <v/>
      </c>
      <c r="BH1013" s="28"/>
      <c r="BI1013" s="304" t="str">
        <f t="shared" si="649"/>
        <v/>
      </c>
      <c r="BJ1013" s="304" t="str">
        <f t="shared" si="649"/>
        <v/>
      </c>
      <c r="BK1013" s="28"/>
      <c r="BL1013" s="304" t="str">
        <f t="shared" si="650"/>
        <v/>
      </c>
      <c r="BM1013" s="304" t="str">
        <f t="shared" si="650"/>
        <v/>
      </c>
      <c r="BN1013" s="28"/>
      <c r="BO1013" s="304" t="str">
        <f t="shared" si="651"/>
        <v/>
      </c>
      <c r="BP1013" s="304" t="str">
        <f t="shared" si="651"/>
        <v/>
      </c>
      <c r="BQ1013" s="28"/>
      <c r="BR1013" s="304" t="str">
        <f t="shared" si="652"/>
        <v/>
      </c>
      <c r="BS1013" s="304" t="str">
        <f t="shared" si="652"/>
        <v/>
      </c>
      <c r="BT1013" s="28"/>
      <c r="BU1013" s="304" t="str">
        <f t="shared" si="653"/>
        <v/>
      </c>
      <c r="BV1013" s="304" t="str">
        <f t="shared" si="653"/>
        <v/>
      </c>
      <c r="BW1013" s="28"/>
      <c r="BX1013" s="91"/>
    </row>
    <row r="1014" spans="1:76" s="55" customFormat="1" x14ac:dyDescent="0.25">
      <c r="A1014" s="195">
        <v>97</v>
      </c>
      <c r="B1014" s="216" t="str">
        <f t="shared" si="642"/>
        <v>OECD90: Pelletier and Tyedmers. 2010. Forecasting potential globbal environmental costs of livestock production 2000-2056</v>
      </c>
      <c r="C1014" s="219" t="s">
        <v>634</v>
      </c>
      <c r="D1014" s="219" t="s">
        <v>620</v>
      </c>
      <c r="E1014" s="219" t="s">
        <v>96</v>
      </c>
      <c r="F1014" s="219" t="s">
        <v>632</v>
      </c>
      <c r="G1014" s="220" t="s">
        <v>24</v>
      </c>
      <c r="H1014" s="221">
        <v>2010</v>
      </c>
      <c r="I1014" s="220"/>
      <c r="J1014" s="377">
        <v>14.8</v>
      </c>
      <c r="K1014" s="223" t="s">
        <v>622</v>
      </c>
      <c r="L1014" s="334">
        <f>J1014*0.001*0.5/[1]conversions!$E$17</f>
        <v>8.91566265060241E-2</v>
      </c>
      <c r="M1014" s="335" t="str">
        <f>'[1]Advanced Controls'!$I$158</f>
        <v>t CH4-CO2eq per kg of protein</v>
      </c>
      <c r="N1014" s="238"/>
      <c r="O1014" s="349" t="s">
        <v>627</v>
      </c>
      <c r="P1014" s="122"/>
      <c r="Q1014" s="228"/>
      <c r="R1014" s="231">
        <f t="shared" si="658"/>
        <v>8.91566265060241E-2</v>
      </c>
      <c r="S1014" s="230">
        <f t="shared" si="657"/>
        <v>8.91566265060241E-2</v>
      </c>
      <c r="T1014" s="231" t="str">
        <f t="shared" si="659"/>
        <v/>
      </c>
      <c r="U1014" s="232" t="str">
        <f t="shared" si="644"/>
        <v>t CH4-CO2eq per kg of protein</v>
      </c>
      <c r="V1014" s="28"/>
      <c r="W1014" s="28"/>
      <c r="Y1014" s="91"/>
      <c r="AO1014" s="91"/>
      <c r="AP1014" s="28"/>
      <c r="AQ1014" s="28"/>
      <c r="AR1014" s="237"/>
      <c r="AS1014" s="28"/>
      <c r="AT1014" s="304" t="str">
        <f t="shared" si="660"/>
        <v/>
      </c>
      <c r="AU1014" s="304" t="str">
        <f t="shared" si="660"/>
        <v/>
      </c>
      <c r="AV1014" s="28"/>
      <c r="AW1014" s="304">
        <f t="shared" si="645"/>
        <v>8.91566265060241E-2</v>
      </c>
      <c r="AX1014" s="304">
        <f t="shared" si="645"/>
        <v>8.91566265060241E-2</v>
      </c>
      <c r="AY1014" s="28"/>
      <c r="AZ1014" s="304" t="str">
        <f t="shared" si="646"/>
        <v/>
      </c>
      <c r="BA1014" s="304" t="str">
        <f t="shared" si="646"/>
        <v/>
      </c>
      <c r="BB1014" s="28"/>
      <c r="BC1014" s="304" t="str">
        <f t="shared" si="647"/>
        <v/>
      </c>
      <c r="BD1014" s="304" t="str">
        <f t="shared" si="647"/>
        <v/>
      </c>
      <c r="BE1014" s="28"/>
      <c r="BF1014" s="304" t="str">
        <f t="shared" si="648"/>
        <v/>
      </c>
      <c r="BG1014" s="304" t="str">
        <f t="shared" si="648"/>
        <v/>
      </c>
      <c r="BH1014" s="28"/>
      <c r="BI1014" s="304" t="str">
        <f t="shared" si="649"/>
        <v/>
      </c>
      <c r="BJ1014" s="304" t="str">
        <f t="shared" si="649"/>
        <v/>
      </c>
      <c r="BK1014" s="28"/>
      <c r="BL1014" s="304" t="str">
        <f t="shared" si="650"/>
        <v/>
      </c>
      <c r="BM1014" s="304" t="str">
        <f t="shared" si="650"/>
        <v/>
      </c>
      <c r="BN1014" s="28"/>
      <c r="BO1014" s="304" t="str">
        <f t="shared" si="651"/>
        <v/>
      </c>
      <c r="BP1014" s="304" t="str">
        <f t="shared" si="651"/>
        <v/>
      </c>
      <c r="BQ1014" s="28"/>
      <c r="BR1014" s="304" t="str">
        <f t="shared" si="652"/>
        <v/>
      </c>
      <c r="BS1014" s="304" t="str">
        <f t="shared" si="652"/>
        <v/>
      </c>
      <c r="BT1014" s="28"/>
      <c r="BU1014" s="304" t="str">
        <f t="shared" si="653"/>
        <v/>
      </c>
      <c r="BV1014" s="304" t="str">
        <f t="shared" si="653"/>
        <v/>
      </c>
      <c r="BW1014" s="28"/>
      <c r="BX1014" s="91"/>
    </row>
    <row r="1015" spans="1:76" s="55" customFormat="1" x14ac:dyDescent="0.25">
      <c r="A1015" s="195">
        <v>98</v>
      </c>
      <c r="B1015" s="216" t="str">
        <f t="shared" si="642"/>
        <v>OECD90: Pelletier and Tyedmers. 2010. Forecasting potential globbal environmental costs of livestock production 2000-2057</v>
      </c>
      <c r="C1015" s="219" t="s">
        <v>635</v>
      </c>
      <c r="D1015" s="219" t="s">
        <v>620</v>
      </c>
      <c r="E1015" s="219" t="s">
        <v>96</v>
      </c>
      <c r="F1015" s="219" t="s">
        <v>330</v>
      </c>
      <c r="G1015" s="220" t="s">
        <v>24</v>
      </c>
      <c r="H1015" s="221">
        <v>2006</v>
      </c>
      <c r="I1015" s="220"/>
      <c r="J1015" s="377">
        <v>15.8</v>
      </c>
      <c r="K1015" s="223" t="s">
        <v>636</v>
      </c>
      <c r="L1015" s="334">
        <f>J1015*0.001*0.5*0.6/[1]conversions!$E$17</f>
        <v>5.7108433734939762E-2</v>
      </c>
      <c r="M1015" s="335" t="str">
        <f>'[1]Advanced Controls'!$I$158</f>
        <v>t CH4-CO2eq per kg of protein</v>
      </c>
      <c r="N1015" s="238"/>
      <c r="O1015" s="349" t="s">
        <v>627</v>
      </c>
      <c r="P1015" s="122"/>
      <c r="Q1015" s="228"/>
      <c r="R1015" s="231">
        <f t="shared" si="658"/>
        <v>5.7108433734939762E-2</v>
      </c>
      <c r="S1015" s="230">
        <f t="shared" si="657"/>
        <v>5.7108433734939762E-2</v>
      </c>
      <c r="T1015" s="231">
        <f t="shared" si="659"/>
        <v>0</v>
      </c>
      <c r="U1015" s="232" t="str">
        <f t="shared" si="644"/>
        <v>t CH4-CO2eq per kg of protein</v>
      </c>
      <c r="V1015" s="28"/>
      <c r="W1015" s="28"/>
      <c r="Y1015" s="91"/>
      <c r="AO1015" s="91"/>
      <c r="AP1015" s="28"/>
      <c r="AQ1015" s="28"/>
      <c r="AR1015" s="237"/>
      <c r="AS1015" s="28"/>
      <c r="AT1015" s="304" t="str">
        <f t="shared" si="660"/>
        <v/>
      </c>
      <c r="AU1015" s="304" t="str">
        <f t="shared" si="660"/>
        <v/>
      </c>
      <c r="AV1015" s="28"/>
      <c r="AW1015" s="304">
        <f t="shared" si="645"/>
        <v>5.7108433734939762E-2</v>
      </c>
      <c r="AX1015" s="304">
        <f t="shared" si="645"/>
        <v>5.7108433734939762E-2</v>
      </c>
      <c r="AY1015" s="28"/>
      <c r="AZ1015" s="304" t="str">
        <f t="shared" si="646"/>
        <v/>
      </c>
      <c r="BA1015" s="304" t="str">
        <f t="shared" si="646"/>
        <v/>
      </c>
      <c r="BB1015" s="28"/>
      <c r="BC1015" s="304" t="str">
        <f t="shared" si="647"/>
        <v/>
      </c>
      <c r="BD1015" s="304" t="str">
        <f t="shared" si="647"/>
        <v/>
      </c>
      <c r="BE1015" s="28"/>
      <c r="BF1015" s="304" t="str">
        <f t="shared" si="648"/>
        <v/>
      </c>
      <c r="BG1015" s="304" t="str">
        <f t="shared" si="648"/>
        <v/>
      </c>
      <c r="BH1015" s="28"/>
      <c r="BI1015" s="304" t="str">
        <f t="shared" si="649"/>
        <v/>
      </c>
      <c r="BJ1015" s="304" t="str">
        <f t="shared" si="649"/>
        <v/>
      </c>
      <c r="BK1015" s="28"/>
      <c r="BL1015" s="304" t="str">
        <f t="shared" si="650"/>
        <v/>
      </c>
      <c r="BM1015" s="304" t="str">
        <f t="shared" si="650"/>
        <v/>
      </c>
      <c r="BN1015" s="28"/>
      <c r="BO1015" s="304" t="str">
        <f t="shared" si="651"/>
        <v/>
      </c>
      <c r="BP1015" s="304" t="str">
        <f t="shared" si="651"/>
        <v/>
      </c>
      <c r="BQ1015" s="28"/>
      <c r="BR1015" s="304" t="str">
        <f t="shared" si="652"/>
        <v/>
      </c>
      <c r="BS1015" s="304" t="str">
        <f t="shared" si="652"/>
        <v/>
      </c>
      <c r="BT1015" s="28"/>
      <c r="BU1015" s="304" t="str">
        <f t="shared" si="653"/>
        <v/>
      </c>
      <c r="BV1015" s="304" t="str">
        <f t="shared" si="653"/>
        <v/>
      </c>
      <c r="BW1015" s="28"/>
      <c r="BX1015" s="91"/>
    </row>
    <row r="1016" spans="1:76" s="55" customFormat="1" x14ac:dyDescent="0.25">
      <c r="A1016" s="195">
        <v>99</v>
      </c>
      <c r="B1016" s="216" t="str">
        <f t="shared" si="642"/>
        <v>OECD90: Pelletier and Tyedmers. 2010. Forecasting potential globbal environmental costs of livestock production 2000-2058</v>
      </c>
      <c r="C1016" s="219" t="s">
        <v>637</v>
      </c>
      <c r="D1016" s="219" t="s">
        <v>620</v>
      </c>
      <c r="E1016" s="219" t="s">
        <v>96</v>
      </c>
      <c r="F1016" s="219" t="s">
        <v>330</v>
      </c>
      <c r="G1016" s="220" t="s">
        <v>24</v>
      </c>
      <c r="H1016" s="221">
        <v>2006</v>
      </c>
      <c r="I1016" s="220"/>
      <c r="J1016" s="369">
        <v>25.8</v>
      </c>
      <c r="K1016" s="223" t="s">
        <v>636</v>
      </c>
      <c r="L1016" s="334">
        <f>J1016*0.001*0.5*0.6/[1]conversions!$E$17</f>
        <v>9.3253012048192765E-2</v>
      </c>
      <c r="M1016" s="335" t="str">
        <f>'[1]Advanced Controls'!$I$158</f>
        <v>t CH4-CO2eq per kg of protein</v>
      </c>
      <c r="N1016" s="238"/>
      <c r="O1016" s="349" t="s">
        <v>627</v>
      </c>
      <c r="P1016" s="122"/>
      <c r="Q1016" s="228"/>
      <c r="R1016" s="231">
        <f t="shared" si="658"/>
        <v>9.3253012048192765E-2</v>
      </c>
      <c r="S1016" s="230">
        <f t="shared" si="657"/>
        <v>9.3253012048192765E-2</v>
      </c>
      <c r="T1016" s="231" t="str">
        <f t="shared" si="659"/>
        <v/>
      </c>
      <c r="U1016" s="232" t="str">
        <f t="shared" si="644"/>
        <v>t CH4-CO2eq per kg of protein</v>
      </c>
      <c r="V1016" s="28"/>
      <c r="W1016" s="28"/>
      <c r="Y1016" s="91"/>
      <c r="AO1016" s="91"/>
      <c r="AP1016" s="28"/>
      <c r="AQ1016" s="28"/>
      <c r="AR1016" s="237"/>
      <c r="AS1016" s="28"/>
      <c r="AT1016" s="304" t="str">
        <f t="shared" si="660"/>
        <v/>
      </c>
      <c r="AU1016" s="304" t="str">
        <f t="shared" si="660"/>
        <v/>
      </c>
      <c r="AV1016" s="28"/>
      <c r="AW1016" s="304">
        <f t="shared" si="645"/>
        <v>9.3253012048192765E-2</v>
      </c>
      <c r="AX1016" s="304">
        <f t="shared" si="645"/>
        <v>9.3253012048192765E-2</v>
      </c>
      <c r="AY1016" s="28"/>
      <c r="AZ1016" s="304" t="str">
        <f t="shared" si="646"/>
        <v/>
      </c>
      <c r="BA1016" s="304" t="str">
        <f t="shared" si="646"/>
        <v/>
      </c>
      <c r="BB1016" s="28"/>
      <c r="BC1016" s="304" t="str">
        <f t="shared" si="647"/>
        <v/>
      </c>
      <c r="BD1016" s="304" t="str">
        <f t="shared" si="647"/>
        <v/>
      </c>
      <c r="BE1016" s="28"/>
      <c r="BF1016" s="304" t="str">
        <f t="shared" si="648"/>
        <v/>
      </c>
      <c r="BG1016" s="304" t="str">
        <f t="shared" si="648"/>
        <v/>
      </c>
      <c r="BH1016" s="28"/>
      <c r="BI1016" s="304" t="str">
        <f t="shared" si="649"/>
        <v/>
      </c>
      <c r="BJ1016" s="304" t="str">
        <f t="shared" si="649"/>
        <v/>
      </c>
      <c r="BK1016" s="28"/>
      <c r="BL1016" s="304" t="str">
        <f t="shared" si="650"/>
        <v/>
      </c>
      <c r="BM1016" s="304" t="str">
        <f t="shared" si="650"/>
        <v/>
      </c>
      <c r="BN1016" s="28"/>
      <c r="BO1016" s="304" t="str">
        <f t="shared" si="651"/>
        <v/>
      </c>
      <c r="BP1016" s="304" t="str">
        <f t="shared" si="651"/>
        <v/>
      </c>
      <c r="BQ1016" s="28"/>
      <c r="BR1016" s="304" t="str">
        <f t="shared" si="652"/>
        <v/>
      </c>
      <c r="BS1016" s="304" t="str">
        <f t="shared" si="652"/>
        <v/>
      </c>
      <c r="BT1016" s="28"/>
      <c r="BU1016" s="304" t="str">
        <f t="shared" si="653"/>
        <v/>
      </c>
      <c r="BV1016" s="304" t="str">
        <f t="shared" si="653"/>
        <v/>
      </c>
      <c r="BW1016" s="28"/>
      <c r="BX1016" s="91"/>
    </row>
    <row r="1017" spans="1:76" s="55" customFormat="1" x14ac:dyDescent="0.25">
      <c r="A1017" s="195">
        <v>100</v>
      </c>
      <c r="B1017" s="216" t="str">
        <f t="shared" si="642"/>
        <v>OECD90: Pelletier and Tyedmers. 2010. Forecasting potential globbal environmental costs of livestock production 2000-2059</v>
      </c>
      <c r="C1017" s="219" t="s">
        <v>638</v>
      </c>
      <c r="D1017" s="219" t="s">
        <v>620</v>
      </c>
      <c r="E1017" s="219" t="s">
        <v>96</v>
      </c>
      <c r="F1017" s="219" t="s">
        <v>625</v>
      </c>
      <c r="G1017" s="220" t="s">
        <v>24</v>
      </c>
      <c r="H1017" s="221">
        <v>2003</v>
      </c>
      <c r="I1017" s="220"/>
      <c r="J1017" s="369">
        <v>22.3</v>
      </c>
      <c r="K1017" s="384" t="s">
        <v>639</v>
      </c>
      <c r="L1017" s="334">
        <f>J1017*0.001*0.5*0.5/[1]conversions!$E$17</f>
        <v>6.7168674698795172E-2</v>
      </c>
      <c r="M1017" s="335" t="str">
        <f>'[1]Advanced Controls'!$I$158</f>
        <v>t CH4-CO2eq per kg of protein</v>
      </c>
      <c r="N1017" s="238"/>
      <c r="O1017" s="349" t="s">
        <v>627</v>
      </c>
      <c r="P1017" s="122"/>
      <c r="Q1017" s="228"/>
      <c r="R1017" s="231">
        <f t="shared" si="658"/>
        <v>6.7168674698795172E-2</v>
      </c>
      <c r="S1017" s="230">
        <f t="shared" si="657"/>
        <v>6.7168674698795172E-2</v>
      </c>
      <c r="T1017" s="231" t="str">
        <f t="shared" si="659"/>
        <v/>
      </c>
      <c r="U1017" s="232" t="str">
        <f t="shared" si="644"/>
        <v>t CH4-CO2eq per kg of protein</v>
      </c>
      <c r="V1017" s="28"/>
      <c r="W1017" s="28"/>
      <c r="Y1017" s="91"/>
      <c r="AO1017" s="91"/>
      <c r="AP1017" s="28"/>
      <c r="AQ1017" s="28"/>
      <c r="AR1017" s="237"/>
      <c r="AS1017" s="28"/>
      <c r="AT1017" s="304" t="str">
        <f t="shared" si="660"/>
        <v/>
      </c>
      <c r="AU1017" s="304" t="str">
        <f t="shared" si="660"/>
        <v/>
      </c>
      <c r="AV1017" s="28"/>
      <c r="AW1017" s="304">
        <f t="shared" si="645"/>
        <v>6.7168674698795172E-2</v>
      </c>
      <c r="AX1017" s="304">
        <f t="shared" si="645"/>
        <v>6.7168674698795172E-2</v>
      </c>
      <c r="AY1017" s="28"/>
      <c r="AZ1017" s="304" t="str">
        <f t="shared" si="646"/>
        <v/>
      </c>
      <c r="BA1017" s="304" t="str">
        <f t="shared" si="646"/>
        <v/>
      </c>
      <c r="BB1017" s="28"/>
      <c r="BC1017" s="304" t="str">
        <f t="shared" si="647"/>
        <v/>
      </c>
      <c r="BD1017" s="304" t="str">
        <f t="shared" si="647"/>
        <v/>
      </c>
      <c r="BE1017" s="28"/>
      <c r="BF1017" s="304" t="str">
        <f t="shared" si="648"/>
        <v/>
      </c>
      <c r="BG1017" s="304" t="str">
        <f t="shared" si="648"/>
        <v/>
      </c>
      <c r="BH1017" s="28"/>
      <c r="BI1017" s="304" t="str">
        <f t="shared" si="649"/>
        <v/>
      </c>
      <c r="BJ1017" s="304" t="str">
        <f t="shared" si="649"/>
        <v/>
      </c>
      <c r="BK1017" s="28"/>
      <c r="BL1017" s="304" t="str">
        <f t="shared" si="650"/>
        <v/>
      </c>
      <c r="BM1017" s="304" t="str">
        <f t="shared" si="650"/>
        <v/>
      </c>
      <c r="BN1017" s="28"/>
      <c r="BO1017" s="304" t="str">
        <f t="shared" si="651"/>
        <v/>
      </c>
      <c r="BP1017" s="304" t="str">
        <f t="shared" si="651"/>
        <v/>
      </c>
      <c r="BQ1017" s="28"/>
      <c r="BR1017" s="304" t="str">
        <f t="shared" si="652"/>
        <v/>
      </c>
      <c r="BS1017" s="304" t="str">
        <f t="shared" si="652"/>
        <v/>
      </c>
      <c r="BT1017" s="28"/>
      <c r="BU1017" s="304" t="str">
        <f t="shared" si="653"/>
        <v/>
      </c>
      <c r="BV1017" s="304" t="str">
        <f t="shared" si="653"/>
        <v/>
      </c>
      <c r="BW1017" s="28"/>
      <c r="BX1017" s="91"/>
    </row>
    <row r="1018" spans="1:76" s="55" customFormat="1" x14ac:dyDescent="0.25">
      <c r="A1018" s="195">
        <v>101</v>
      </c>
      <c r="B1018" s="216" t="str">
        <f t="shared" si="642"/>
        <v>OECD90: Pelletier and Tyedmers. 2010. Forecasting potential globbal environmental costs of livestock production 2000-2060</v>
      </c>
      <c r="C1018" s="219" t="s">
        <v>640</v>
      </c>
      <c r="D1018" s="219" t="s">
        <v>620</v>
      </c>
      <c r="E1018" s="219" t="s">
        <v>96</v>
      </c>
      <c r="F1018" s="219" t="s">
        <v>625</v>
      </c>
      <c r="G1018" s="220" t="s">
        <v>24</v>
      </c>
      <c r="H1018" s="221">
        <v>2009</v>
      </c>
      <c r="I1018" s="220"/>
      <c r="J1018" s="369">
        <v>29</v>
      </c>
      <c r="K1018" s="223" t="s">
        <v>636</v>
      </c>
      <c r="L1018" s="334">
        <f>J1018*0.001*0.5*0.6/[1]conversions!$E$17</f>
        <v>0.10481927710843372</v>
      </c>
      <c r="M1018" s="335" t="str">
        <f>'[1]Advanced Controls'!$I$158</f>
        <v>t CH4-CO2eq per kg of protein</v>
      </c>
      <c r="N1018" s="238"/>
      <c r="O1018" s="227" t="s">
        <v>641</v>
      </c>
      <c r="P1018" s="122"/>
      <c r="Q1018" s="228"/>
      <c r="R1018" s="231">
        <f t="shared" si="658"/>
        <v>0.10481927710843372</v>
      </c>
      <c r="S1018" s="230">
        <f t="shared" si="657"/>
        <v>0.10481927710843372</v>
      </c>
      <c r="T1018" s="231" t="str">
        <f t="shared" si="659"/>
        <v/>
      </c>
      <c r="U1018" s="232" t="str">
        <f t="shared" si="644"/>
        <v>t CH4-CO2eq per kg of protein</v>
      </c>
      <c r="V1018" s="28"/>
      <c r="W1018" s="28"/>
      <c r="Y1018" s="91"/>
      <c r="AO1018" s="91"/>
      <c r="AP1018" s="28"/>
      <c r="AQ1018" s="28"/>
      <c r="AR1018" s="237"/>
      <c r="AS1018" s="28"/>
      <c r="AT1018" s="304" t="str">
        <f t="shared" si="660"/>
        <v/>
      </c>
      <c r="AU1018" s="304" t="str">
        <f t="shared" si="660"/>
        <v/>
      </c>
      <c r="AV1018" s="28"/>
      <c r="AW1018" s="304">
        <f t="shared" si="645"/>
        <v>0.10481927710843372</v>
      </c>
      <c r="AX1018" s="304">
        <f t="shared" si="645"/>
        <v>0.10481927710843372</v>
      </c>
      <c r="AY1018" s="28"/>
      <c r="AZ1018" s="304" t="str">
        <f t="shared" si="646"/>
        <v/>
      </c>
      <c r="BA1018" s="304" t="str">
        <f t="shared" si="646"/>
        <v/>
      </c>
      <c r="BB1018" s="28"/>
      <c r="BC1018" s="304" t="str">
        <f t="shared" si="647"/>
        <v/>
      </c>
      <c r="BD1018" s="304" t="str">
        <f t="shared" si="647"/>
        <v/>
      </c>
      <c r="BE1018" s="28"/>
      <c r="BF1018" s="304" t="str">
        <f t="shared" si="648"/>
        <v/>
      </c>
      <c r="BG1018" s="304" t="str">
        <f t="shared" si="648"/>
        <v/>
      </c>
      <c r="BH1018" s="28"/>
      <c r="BI1018" s="304" t="str">
        <f t="shared" si="649"/>
        <v/>
      </c>
      <c r="BJ1018" s="304" t="str">
        <f t="shared" si="649"/>
        <v/>
      </c>
      <c r="BK1018" s="28"/>
      <c r="BL1018" s="304" t="str">
        <f t="shared" si="650"/>
        <v/>
      </c>
      <c r="BM1018" s="304" t="str">
        <f t="shared" si="650"/>
        <v/>
      </c>
      <c r="BN1018" s="28"/>
      <c r="BO1018" s="304" t="str">
        <f t="shared" si="651"/>
        <v/>
      </c>
      <c r="BP1018" s="304" t="str">
        <f t="shared" si="651"/>
        <v/>
      </c>
      <c r="BQ1018" s="28"/>
      <c r="BR1018" s="304" t="str">
        <f t="shared" si="652"/>
        <v/>
      </c>
      <c r="BS1018" s="304" t="str">
        <f t="shared" si="652"/>
        <v/>
      </c>
      <c r="BT1018" s="28"/>
      <c r="BU1018" s="304" t="str">
        <f t="shared" si="653"/>
        <v/>
      </c>
      <c r="BV1018" s="304" t="str">
        <f t="shared" si="653"/>
        <v/>
      </c>
      <c r="BW1018" s="28"/>
      <c r="BX1018" s="91"/>
    </row>
    <row r="1019" spans="1:76" s="55" customFormat="1" ht="15.75" x14ac:dyDescent="0.25">
      <c r="A1019" s="195">
        <v>102</v>
      </c>
      <c r="B1019" s="216" t="str">
        <f t="shared" si="642"/>
        <v>OECD90: Arsenault et al. 2009. Comparing the environomental impacts of pasture-based and confinement-based dairy systems in Novia Scotia using life cycle assesssment</v>
      </c>
      <c r="C1019" s="219" t="s">
        <v>642</v>
      </c>
      <c r="D1019" s="375" t="s">
        <v>643</v>
      </c>
      <c r="E1019" s="219" t="s">
        <v>96</v>
      </c>
      <c r="F1019" s="219" t="s">
        <v>606</v>
      </c>
      <c r="G1019" s="220" t="s">
        <v>24</v>
      </c>
      <c r="H1019" s="221">
        <v>2009</v>
      </c>
      <c r="I1019" s="220"/>
      <c r="J1019" s="369">
        <v>1</v>
      </c>
      <c r="K1019" s="223" t="s">
        <v>644</v>
      </c>
      <c r="L1019" s="334">
        <f>J1020*0.5/(1000*0.032)</f>
        <v>1.40625E-2</v>
      </c>
      <c r="M1019" s="335" t="str">
        <f>'[1]Advanced Controls'!$I$158</f>
        <v>t CH4-CO2eq per kg of protein</v>
      </c>
      <c r="N1019" s="238"/>
      <c r="O1019" s="227" t="s">
        <v>645</v>
      </c>
      <c r="P1019" s="122"/>
      <c r="Q1019" s="228"/>
      <c r="R1019" s="231">
        <f t="shared" si="658"/>
        <v>1.40625E-2</v>
      </c>
      <c r="S1019" s="230">
        <f t="shared" si="657"/>
        <v>1.40625E-2</v>
      </c>
      <c r="T1019" s="231">
        <f t="shared" si="659"/>
        <v>0</v>
      </c>
      <c r="U1019" s="232" t="str">
        <f t="shared" si="644"/>
        <v>t CH4-CO2eq per kg of protein</v>
      </c>
      <c r="V1019" s="28"/>
      <c r="W1019" s="28"/>
      <c r="Y1019" s="91"/>
      <c r="AO1019" s="91"/>
      <c r="AP1019" s="28"/>
      <c r="AQ1019" s="28"/>
      <c r="AR1019" s="237"/>
      <c r="AS1019" s="28"/>
      <c r="AT1019" s="304" t="str">
        <f t="shared" si="660"/>
        <v/>
      </c>
      <c r="AU1019" s="304" t="str">
        <f t="shared" si="660"/>
        <v/>
      </c>
      <c r="AV1019" s="28"/>
      <c r="AW1019" s="304">
        <f t="shared" si="645"/>
        <v>1.40625E-2</v>
      </c>
      <c r="AX1019" s="304">
        <f t="shared" si="645"/>
        <v>1.40625E-2</v>
      </c>
      <c r="AY1019" s="28"/>
      <c r="AZ1019" s="304" t="str">
        <f t="shared" si="646"/>
        <v/>
      </c>
      <c r="BA1019" s="304" t="str">
        <f t="shared" si="646"/>
        <v/>
      </c>
      <c r="BB1019" s="28"/>
      <c r="BC1019" s="304" t="str">
        <f t="shared" si="647"/>
        <v/>
      </c>
      <c r="BD1019" s="304" t="str">
        <f t="shared" si="647"/>
        <v/>
      </c>
      <c r="BE1019" s="28"/>
      <c r="BF1019" s="304" t="str">
        <f t="shared" si="648"/>
        <v/>
      </c>
      <c r="BG1019" s="304" t="str">
        <f t="shared" si="648"/>
        <v/>
      </c>
      <c r="BH1019" s="28"/>
      <c r="BI1019" s="304" t="str">
        <f t="shared" si="649"/>
        <v/>
      </c>
      <c r="BJ1019" s="304" t="str">
        <f t="shared" si="649"/>
        <v/>
      </c>
      <c r="BK1019" s="28"/>
      <c r="BL1019" s="304" t="str">
        <f t="shared" si="650"/>
        <v/>
      </c>
      <c r="BM1019" s="304" t="str">
        <f t="shared" si="650"/>
        <v/>
      </c>
      <c r="BN1019" s="28"/>
      <c r="BO1019" s="304" t="str">
        <f t="shared" si="651"/>
        <v/>
      </c>
      <c r="BP1019" s="304" t="str">
        <f t="shared" si="651"/>
        <v/>
      </c>
      <c r="BQ1019" s="28"/>
      <c r="BR1019" s="304" t="str">
        <f t="shared" si="652"/>
        <v/>
      </c>
      <c r="BS1019" s="304" t="str">
        <f t="shared" si="652"/>
        <v/>
      </c>
      <c r="BT1019" s="28"/>
      <c r="BU1019" s="304" t="str">
        <f t="shared" si="653"/>
        <v/>
      </c>
      <c r="BV1019" s="304" t="str">
        <f t="shared" si="653"/>
        <v/>
      </c>
      <c r="BW1019" s="28"/>
      <c r="BX1019" s="91"/>
    </row>
    <row r="1020" spans="1:76" s="55" customFormat="1" ht="15.75" x14ac:dyDescent="0.25">
      <c r="A1020" s="195">
        <v>103</v>
      </c>
      <c r="B1020" s="216" t="str">
        <f t="shared" si="642"/>
        <v>OECD90: Cederberg and Mattsson. 2000. Life cycle assessment of milk production—A comparison of conventional and organic farming.</v>
      </c>
      <c r="C1020" s="219" t="s">
        <v>646</v>
      </c>
      <c r="D1020" s="375" t="s">
        <v>647</v>
      </c>
      <c r="E1020" s="219" t="s">
        <v>96</v>
      </c>
      <c r="F1020" s="219" t="s">
        <v>625</v>
      </c>
      <c r="G1020" s="220" t="s">
        <v>24</v>
      </c>
      <c r="H1020" s="221">
        <v>2000</v>
      </c>
      <c r="I1020" s="220"/>
      <c r="J1020" s="369">
        <v>0.9</v>
      </c>
      <c r="K1020" s="382" t="s">
        <v>648</v>
      </c>
      <c r="L1020" s="334">
        <f>J1021*0.5*0.001/0.032</f>
        <v>1.7031250000000001E-2</v>
      </c>
      <c r="M1020" s="335" t="str">
        <f>'[1]Advanced Controls'!$I$158</f>
        <v>t CH4-CO2eq per kg of protein</v>
      </c>
      <c r="N1020" s="238"/>
      <c r="O1020" s="227" t="s">
        <v>649</v>
      </c>
      <c r="P1020" s="122"/>
      <c r="Q1020" s="228"/>
      <c r="R1020" s="231">
        <f t="shared" si="658"/>
        <v>1.7031250000000001E-2</v>
      </c>
      <c r="S1020" s="230">
        <f t="shared" si="657"/>
        <v>1.7031250000000001E-2</v>
      </c>
      <c r="T1020" s="231">
        <f t="shared" si="659"/>
        <v>0</v>
      </c>
      <c r="U1020" s="232" t="str">
        <f t="shared" si="644"/>
        <v>t CH4-CO2eq per kg of protein</v>
      </c>
      <c r="V1020" s="28"/>
      <c r="W1020" s="28"/>
      <c r="Y1020" s="91"/>
      <c r="AO1020" s="91"/>
      <c r="AP1020" s="28"/>
      <c r="AQ1020" s="28"/>
      <c r="AR1020" s="237"/>
      <c r="AS1020" s="28"/>
      <c r="AT1020" s="304" t="str">
        <f t="shared" si="660"/>
        <v/>
      </c>
      <c r="AU1020" s="304" t="str">
        <f t="shared" si="660"/>
        <v/>
      </c>
      <c r="AV1020" s="28"/>
      <c r="AW1020" s="304">
        <f t="shared" si="645"/>
        <v>1.7031250000000001E-2</v>
      </c>
      <c r="AX1020" s="304">
        <f t="shared" si="645"/>
        <v>1.7031250000000001E-2</v>
      </c>
      <c r="AY1020" s="28"/>
      <c r="AZ1020" s="304" t="str">
        <f t="shared" si="646"/>
        <v/>
      </c>
      <c r="BA1020" s="304" t="str">
        <f t="shared" si="646"/>
        <v/>
      </c>
      <c r="BB1020" s="28"/>
      <c r="BC1020" s="304" t="str">
        <f t="shared" si="647"/>
        <v/>
      </c>
      <c r="BD1020" s="304" t="str">
        <f t="shared" si="647"/>
        <v/>
      </c>
      <c r="BE1020" s="28"/>
      <c r="BF1020" s="304" t="str">
        <f t="shared" si="648"/>
        <v/>
      </c>
      <c r="BG1020" s="304" t="str">
        <f t="shared" si="648"/>
        <v/>
      </c>
      <c r="BH1020" s="28"/>
      <c r="BI1020" s="304" t="str">
        <f t="shared" si="649"/>
        <v/>
      </c>
      <c r="BJ1020" s="304" t="str">
        <f t="shared" si="649"/>
        <v/>
      </c>
      <c r="BK1020" s="28"/>
      <c r="BL1020" s="304" t="str">
        <f t="shared" si="650"/>
        <v/>
      </c>
      <c r="BM1020" s="304" t="str">
        <f t="shared" si="650"/>
        <v/>
      </c>
      <c r="BN1020" s="28"/>
      <c r="BO1020" s="304" t="str">
        <f t="shared" si="651"/>
        <v/>
      </c>
      <c r="BP1020" s="304" t="str">
        <f t="shared" si="651"/>
        <v/>
      </c>
      <c r="BQ1020" s="28"/>
      <c r="BR1020" s="304" t="str">
        <f t="shared" si="652"/>
        <v/>
      </c>
      <c r="BS1020" s="304" t="str">
        <f t="shared" si="652"/>
        <v/>
      </c>
      <c r="BT1020" s="28"/>
      <c r="BU1020" s="304" t="str">
        <f t="shared" si="653"/>
        <v/>
      </c>
      <c r="BV1020" s="304" t="str">
        <f t="shared" si="653"/>
        <v/>
      </c>
      <c r="BW1020" s="28"/>
      <c r="BX1020" s="91"/>
    </row>
    <row r="1021" spans="1:76" s="55" customFormat="1" ht="15.75" x14ac:dyDescent="0.25">
      <c r="A1021" s="195">
        <v>104</v>
      </c>
      <c r="B1021" s="216" t="str">
        <f t="shared" si="642"/>
        <v>OECD90: Phetteplace et al. 2001. Greenhouse gas emissions from simulated beef and dairy livestock systems in the United States</v>
      </c>
      <c r="C1021" s="219" t="s">
        <v>650</v>
      </c>
      <c r="D1021" s="375" t="s">
        <v>651</v>
      </c>
      <c r="E1021" s="219" t="s">
        <v>96</v>
      </c>
      <c r="F1021" s="219" t="s">
        <v>632</v>
      </c>
      <c r="G1021" s="220" t="s">
        <v>24</v>
      </c>
      <c r="H1021" s="221">
        <v>2001</v>
      </c>
      <c r="I1021" s="220"/>
      <c r="J1021" s="369">
        <v>1.0900000000000001</v>
      </c>
      <c r="K1021" s="382" t="s">
        <v>489</v>
      </c>
      <c r="L1021" s="334">
        <f>J1025*0.5*0.001/0.032</f>
        <v>1.515625E-2</v>
      </c>
      <c r="M1021" s="335" t="str">
        <f>'[1]Advanced Controls'!$I$158</f>
        <v>t CH4-CO2eq per kg of protein</v>
      </c>
      <c r="N1021" s="238"/>
      <c r="O1021" s="227" t="s">
        <v>645</v>
      </c>
      <c r="P1021" s="122"/>
      <c r="Q1021" s="228"/>
      <c r="R1021" s="231">
        <f t="shared" si="658"/>
        <v>1.515625E-2</v>
      </c>
      <c r="S1021" s="230">
        <f t="shared" si="657"/>
        <v>1.515625E-2</v>
      </c>
      <c r="T1021" s="231">
        <f t="shared" si="659"/>
        <v>0</v>
      </c>
      <c r="U1021" s="232" t="str">
        <f t="shared" si="644"/>
        <v>t CH4-CO2eq per kg of protein</v>
      </c>
      <c r="V1021" s="28"/>
      <c r="W1021" s="28"/>
      <c r="Y1021" s="91"/>
      <c r="AO1021" s="91"/>
      <c r="AP1021" s="28"/>
      <c r="AQ1021" s="28"/>
      <c r="AR1021" s="237"/>
      <c r="AS1021" s="28"/>
      <c r="AT1021" s="304" t="str">
        <f t="shared" si="660"/>
        <v/>
      </c>
      <c r="AU1021" s="304" t="str">
        <f t="shared" si="660"/>
        <v/>
      </c>
      <c r="AV1021" s="28"/>
      <c r="AW1021" s="304">
        <f t="shared" si="645"/>
        <v>1.515625E-2</v>
      </c>
      <c r="AX1021" s="304">
        <f t="shared" si="645"/>
        <v>1.515625E-2</v>
      </c>
      <c r="AY1021" s="28"/>
      <c r="AZ1021" s="304" t="str">
        <f t="shared" si="646"/>
        <v/>
      </c>
      <c r="BA1021" s="304" t="str">
        <f t="shared" si="646"/>
        <v/>
      </c>
      <c r="BB1021" s="28"/>
      <c r="BC1021" s="304" t="str">
        <f t="shared" si="647"/>
        <v/>
      </c>
      <c r="BD1021" s="304" t="str">
        <f t="shared" si="647"/>
        <v/>
      </c>
      <c r="BE1021" s="28"/>
      <c r="BF1021" s="304" t="str">
        <f t="shared" si="648"/>
        <v/>
      </c>
      <c r="BG1021" s="304" t="str">
        <f t="shared" si="648"/>
        <v/>
      </c>
      <c r="BH1021" s="28"/>
      <c r="BI1021" s="304" t="str">
        <f t="shared" si="649"/>
        <v/>
      </c>
      <c r="BJ1021" s="304" t="str">
        <f t="shared" si="649"/>
        <v/>
      </c>
      <c r="BK1021" s="28"/>
      <c r="BL1021" s="304" t="str">
        <f t="shared" si="650"/>
        <v/>
      </c>
      <c r="BM1021" s="304" t="str">
        <f t="shared" si="650"/>
        <v/>
      </c>
      <c r="BN1021" s="28"/>
      <c r="BO1021" s="304" t="str">
        <f t="shared" si="651"/>
        <v/>
      </c>
      <c r="BP1021" s="304" t="str">
        <f t="shared" si="651"/>
        <v/>
      </c>
      <c r="BQ1021" s="28"/>
      <c r="BR1021" s="304" t="str">
        <f t="shared" si="652"/>
        <v/>
      </c>
      <c r="BS1021" s="304" t="str">
        <f t="shared" si="652"/>
        <v/>
      </c>
      <c r="BT1021" s="28"/>
      <c r="BU1021" s="304" t="str">
        <f t="shared" si="653"/>
        <v/>
      </c>
      <c r="BV1021" s="304" t="str">
        <f t="shared" si="653"/>
        <v/>
      </c>
      <c r="BW1021" s="28"/>
      <c r="BX1021" s="91"/>
    </row>
    <row r="1022" spans="1:76" s="55" customFormat="1" x14ac:dyDescent="0.25">
      <c r="A1022" s="195">
        <v>105</v>
      </c>
      <c r="B1022" s="216" t="str">
        <f t="shared" si="642"/>
        <v>OECD90: Phetteplace et al. 2001. Greenhouse gas emissions from simulated beef and dairy livestock systems in the United States</v>
      </c>
      <c r="C1022" s="219" t="s">
        <v>650</v>
      </c>
      <c r="D1022" s="219" t="s">
        <v>651</v>
      </c>
      <c r="E1022" s="219" t="s">
        <v>96</v>
      </c>
      <c r="F1022" s="219" t="s">
        <v>632</v>
      </c>
      <c r="G1022" s="220" t="s">
        <v>24</v>
      </c>
      <c r="H1022" s="221">
        <v>2001</v>
      </c>
      <c r="I1022" s="220"/>
      <c r="J1022" s="369">
        <v>20.6</v>
      </c>
      <c r="K1022" s="223" t="s">
        <v>622</v>
      </c>
      <c r="L1022" s="334">
        <f>J1022*0.5*0.001/[1]conversions!$E$17</f>
        <v>0.12409638554216867</v>
      </c>
      <c r="M1022" s="335" t="str">
        <f>'[1]Advanced Controls'!$I$158</f>
        <v>t CH4-CO2eq per kg of protein</v>
      </c>
      <c r="N1022" s="238"/>
      <c r="O1022" s="227" t="s">
        <v>652</v>
      </c>
      <c r="P1022" s="122"/>
      <c r="Q1022" s="228"/>
      <c r="R1022" s="231">
        <f t="shared" si="658"/>
        <v>0.12409638554216867</v>
      </c>
      <c r="S1022" s="230">
        <f t="shared" si="657"/>
        <v>0.12409638554216867</v>
      </c>
      <c r="T1022" s="231">
        <f t="shared" si="659"/>
        <v>0</v>
      </c>
      <c r="U1022" s="232" t="str">
        <f t="shared" si="644"/>
        <v>t CH4-CO2eq per kg of protein</v>
      </c>
      <c r="V1022" s="28"/>
      <c r="W1022" s="28"/>
      <c r="Y1022" s="91"/>
      <c r="AO1022" s="91"/>
      <c r="AP1022" s="28"/>
      <c r="AQ1022" s="28"/>
      <c r="AR1022" s="237"/>
      <c r="AS1022" s="28"/>
      <c r="AT1022" s="304" t="str">
        <f t="shared" si="660"/>
        <v/>
      </c>
      <c r="AU1022" s="304" t="str">
        <f t="shared" si="660"/>
        <v/>
      </c>
      <c r="AV1022" s="28"/>
      <c r="AW1022" s="304">
        <f t="shared" si="645"/>
        <v>0.12409638554216867</v>
      </c>
      <c r="AX1022" s="304">
        <f t="shared" si="645"/>
        <v>0.12409638554216867</v>
      </c>
      <c r="AY1022" s="28"/>
      <c r="AZ1022" s="304" t="str">
        <f t="shared" si="646"/>
        <v/>
      </c>
      <c r="BA1022" s="304" t="str">
        <f t="shared" si="646"/>
        <v/>
      </c>
      <c r="BB1022" s="28"/>
      <c r="BC1022" s="304" t="str">
        <f t="shared" si="647"/>
        <v/>
      </c>
      <c r="BD1022" s="304" t="str">
        <f t="shared" si="647"/>
        <v/>
      </c>
      <c r="BE1022" s="28"/>
      <c r="BF1022" s="304" t="str">
        <f t="shared" si="648"/>
        <v/>
      </c>
      <c r="BG1022" s="304" t="str">
        <f t="shared" si="648"/>
        <v/>
      </c>
      <c r="BH1022" s="28"/>
      <c r="BI1022" s="304" t="str">
        <f t="shared" si="649"/>
        <v/>
      </c>
      <c r="BJ1022" s="304" t="str">
        <f t="shared" si="649"/>
        <v/>
      </c>
      <c r="BK1022" s="28"/>
      <c r="BL1022" s="304" t="str">
        <f t="shared" si="650"/>
        <v/>
      </c>
      <c r="BM1022" s="304" t="str">
        <f t="shared" si="650"/>
        <v/>
      </c>
      <c r="BN1022" s="28"/>
      <c r="BO1022" s="304" t="str">
        <f t="shared" si="651"/>
        <v/>
      </c>
      <c r="BP1022" s="304" t="str">
        <f t="shared" si="651"/>
        <v/>
      </c>
      <c r="BQ1022" s="28"/>
      <c r="BR1022" s="304" t="str">
        <f t="shared" si="652"/>
        <v/>
      </c>
      <c r="BS1022" s="304" t="str">
        <f t="shared" si="652"/>
        <v/>
      </c>
      <c r="BT1022" s="28"/>
      <c r="BU1022" s="304" t="str">
        <f t="shared" si="653"/>
        <v/>
      </c>
      <c r="BV1022" s="304" t="str">
        <f t="shared" si="653"/>
        <v/>
      </c>
      <c r="BW1022" s="28"/>
      <c r="BX1022" s="91"/>
    </row>
    <row r="1023" spans="1:76" s="55" customFormat="1" x14ac:dyDescent="0.25">
      <c r="A1023" s="195">
        <v>106</v>
      </c>
      <c r="B1023" s="216" t="str">
        <f t="shared" si="642"/>
        <v>OECD90: Phetteplace et al. 2001. Greenhouse gas emissions from simulated beef and dairy livestock systems in the United States</v>
      </c>
      <c r="C1023" s="219" t="s">
        <v>650</v>
      </c>
      <c r="D1023" s="219" t="s">
        <v>651</v>
      </c>
      <c r="E1023" s="219" t="s">
        <v>96</v>
      </c>
      <c r="F1023" s="219" t="s">
        <v>632</v>
      </c>
      <c r="G1023" s="220" t="s">
        <v>24</v>
      </c>
      <c r="H1023" s="221">
        <v>2001</v>
      </c>
      <c r="I1023" s="220"/>
      <c r="J1023" s="369">
        <v>14.4</v>
      </c>
      <c r="K1023" s="223" t="s">
        <v>622</v>
      </c>
      <c r="L1023" s="334">
        <f>J1023*0.5*0.001/[1]conversions!$E$17</f>
        <v>8.6746987951807228E-2</v>
      </c>
      <c r="M1023" s="335" t="str">
        <f>'[1]Advanced Controls'!$I$158</f>
        <v>t CH4-CO2eq per kg of protein</v>
      </c>
      <c r="N1023" s="227"/>
      <c r="O1023" s="227" t="s">
        <v>653</v>
      </c>
      <c r="P1023" s="122"/>
      <c r="Q1023" s="228"/>
      <c r="R1023" s="231">
        <f t="shared" si="658"/>
        <v>8.6746987951807228E-2</v>
      </c>
      <c r="S1023" s="230">
        <f t="shared" si="657"/>
        <v>8.6746987951807228E-2</v>
      </c>
      <c r="T1023" s="231">
        <f t="shared" si="659"/>
        <v>0</v>
      </c>
      <c r="U1023" s="232" t="str">
        <f t="shared" si="644"/>
        <v>t CH4-CO2eq per kg of protein</v>
      </c>
      <c r="V1023" s="28"/>
      <c r="W1023" s="28"/>
      <c r="Y1023" s="91"/>
      <c r="AO1023" s="91"/>
      <c r="AP1023" s="28"/>
      <c r="AQ1023" s="28"/>
      <c r="AR1023" s="237"/>
      <c r="AS1023" s="28"/>
      <c r="AT1023" s="304" t="str">
        <f t="shared" si="660"/>
        <v/>
      </c>
      <c r="AU1023" s="304" t="str">
        <f t="shared" si="660"/>
        <v/>
      </c>
      <c r="AV1023" s="28"/>
      <c r="AW1023" s="304">
        <f t="shared" si="645"/>
        <v>8.6746987951807228E-2</v>
      </c>
      <c r="AX1023" s="304">
        <f t="shared" si="645"/>
        <v>8.6746987951807228E-2</v>
      </c>
      <c r="AY1023" s="28"/>
      <c r="AZ1023" s="304" t="str">
        <f t="shared" si="646"/>
        <v/>
      </c>
      <c r="BA1023" s="304" t="str">
        <f t="shared" si="646"/>
        <v/>
      </c>
      <c r="BB1023" s="28"/>
      <c r="BC1023" s="304" t="str">
        <f t="shared" si="647"/>
        <v/>
      </c>
      <c r="BD1023" s="304" t="str">
        <f t="shared" si="647"/>
        <v/>
      </c>
      <c r="BE1023" s="28"/>
      <c r="BF1023" s="304" t="str">
        <f t="shared" si="648"/>
        <v/>
      </c>
      <c r="BG1023" s="304" t="str">
        <f t="shared" si="648"/>
        <v/>
      </c>
      <c r="BH1023" s="28"/>
      <c r="BI1023" s="304" t="str">
        <f t="shared" si="649"/>
        <v/>
      </c>
      <c r="BJ1023" s="304" t="str">
        <f t="shared" si="649"/>
        <v/>
      </c>
      <c r="BK1023" s="28"/>
      <c r="BL1023" s="304" t="str">
        <f t="shared" si="650"/>
        <v/>
      </c>
      <c r="BM1023" s="304" t="str">
        <f t="shared" si="650"/>
        <v/>
      </c>
      <c r="BN1023" s="28"/>
      <c r="BO1023" s="304" t="str">
        <f t="shared" si="651"/>
        <v/>
      </c>
      <c r="BP1023" s="304" t="str">
        <f t="shared" si="651"/>
        <v/>
      </c>
      <c r="BQ1023" s="28"/>
      <c r="BR1023" s="304" t="str">
        <f t="shared" si="652"/>
        <v/>
      </c>
      <c r="BS1023" s="304" t="str">
        <f t="shared" si="652"/>
        <v/>
      </c>
      <c r="BT1023" s="28"/>
      <c r="BU1023" s="304" t="str">
        <f t="shared" si="653"/>
        <v/>
      </c>
      <c r="BV1023" s="304" t="str">
        <f t="shared" si="653"/>
        <v/>
      </c>
      <c r="BW1023" s="28"/>
      <c r="BX1023" s="91"/>
    </row>
    <row r="1024" spans="1:76" s="55" customFormat="1" x14ac:dyDescent="0.25">
      <c r="A1024" s="195">
        <v>107</v>
      </c>
      <c r="B1024" s="216" t="str">
        <f t="shared" si="642"/>
        <v>OECD90: Phetteplace et al. 2001. Greenhouse gas emissions from simulated beef and dairy livestock systems in the United States</v>
      </c>
      <c r="C1024" s="219" t="s">
        <v>650</v>
      </c>
      <c r="D1024" s="219" t="s">
        <v>651</v>
      </c>
      <c r="E1024" s="219" t="s">
        <v>96</v>
      </c>
      <c r="F1024" s="219" t="s">
        <v>632</v>
      </c>
      <c r="G1024" s="220" t="s">
        <v>24</v>
      </c>
      <c r="H1024" s="221">
        <v>2001</v>
      </c>
      <c r="I1024" s="240"/>
      <c r="J1024" s="369">
        <v>5.66</v>
      </c>
      <c r="K1024" s="223" t="s">
        <v>622</v>
      </c>
      <c r="L1024" s="334">
        <f>J1024*0.5*0.001/[1]conversions!$E$17</f>
        <v>3.4096385542168671E-2</v>
      </c>
      <c r="M1024" s="335" t="str">
        <f>'[1]Advanced Controls'!$I$158</f>
        <v>t CH4-CO2eq per kg of protein</v>
      </c>
      <c r="N1024" s="227"/>
      <c r="O1024" s="227" t="s">
        <v>654</v>
      </c>
      <c r="P1024" s="122"/>
      <c r="Q1024" s="228"/>
      <c r="R1024" s="231">
        <f t="shared" si="658"/>
        <v>3.4096385542168671E-2</v>
      </c>
      <c r="S1024" s="230">
        <f t="shared" si="657"/>
        <v>3.4096385542168671E-2</v>
      </c>
      <c r="T1024" s="231">
        <f t="shared" si="659"/>
        <v>0</v>
      </c>
      <c r="U1024" s="232" t="str">
        <f t="shared" si="644"/>
        <v>t CH4-CO2eq per kg of protein</v>
      </c>
      <c r="V1024" s="28"/>
      <c r="W1024" s="28"/>
      <c r="Y1024" s="91"/>
      <c r="AO1024" s="91"/>
      <c r="AP1024" s="28"/>
      <c r="AQ1024" s="28"/>
      <c r="AR1024" s="237"/>
      <c r="AS1024" s="28"/>
      <c r="AT1024" s="304" t="str">
        <f t="shared" si="660"/>
        <v/>
      </c>
      <c r="AU1024" s="304" t="str">
        <f t="shared" si="660"/>
        <v/>
      </c>
      <c r="AV1024" s="28"/>
      <c r="AW1024" s="304">
        <f t="shared" si="645"/>
        <v>3.4096385542168671E-2</v>
      </c>
      <c r="AX1024" s="304">
        <f t="shared" si="645"/>
        <v>3.4096385542168671E-2</v>
      </c>
      <c r="AY1024" s="28"/>
      <c r="AZ1024" s="304" t="str">
        <f t="shared" si="646"/>
        <v/>
      </c>
      <c r="BA1024" s="304" t="str">
        <f t="shared" si="646"/>
        <v/>
      </c>
      <c r="BB1024" s="28"/>
      <c r="BC1024" s="304" t="str">
        <f t="shared" si="647"/>
        <v/>
      </c>
      <c r="BD1024" s="304" t="str">
        <f t="shared" si="647"/>
        <v/>
      </c>
      <c r="BE1024" s="28"/>
      <c r="BF1024" s="304" t="str">
        <f t="shared" si="648"/>
        <v/>
      </c>
      <c r="BG1024" s="304" t="str">
        <f t="shared" si="648"/>
        <v/>
      </c>
      <c r="BH1024" s="28"/>
      <c r="BI1024" s="304" t="str">
        <f t="shared" si="649"/>
        <v/>
      </c>
      <c r="BJ1024" s="304" t="str">
        <f t="shared" si="649"/>
        <v/>
      </c>
      <c r="BK1024" s="28"/>
      <c r="BL1024" s="304" t="str">
        <f t="shared" si="650"/>
        <v/>
      </c>
      <c r="BM1024" s="304" t="str">
        <f t="shared" si="650"/>
        <v/>
      </c>
      <c r="BN1024" s="28"/>
      <c r="BO1024" s="304" t="str">
        <f t="shared" si="651"/>
        <v/>
      </c>
      <c r="BP1024" s="304" t="str">
        <f t="shared" si="651"/>
        <v/>
      </c>
      <c r="BQ1024" s="28"/>
      <c r="BR1024" s="304" t="str">
        <f t="shared" si="652"/>
        <v/>
      </c>
      <c r="BS1024" s="304" t="str">
        <f t="shared" si="652"/>
        <v/>
      </c>
      <c r="BT1024" s="28"/>
      <c r="BU1024" s="304" t="str">
        <f t="shared" si="653"/>
        <v/>
      </c>
      <c r="BV1024" s="304" t="str">
        <f t="shared" si="653"/>
        <v/>
      </c>
      <c r="BW1024" s="28"/>
      <c r="BX1024" s="91"/>
    </row>
    <row r="1025" spans="1:76" s="55" customFormat="1" ht="15.75" x14ac:dyDescent="0.25">
      <c r="A1025" s="195">
        <v>108</v>
      </c>
      <c r="B1025" s="216" t="str">
        <f t="shared" si="642"/>
        <v>OECD90: Cederberg and Stadig. 2003. System expansion and allocation in life cycle assessment of milk and beef production</v>
      </c>
      <c r="C1025" s="219" t="s">
        <v>655</v>
      </c>
      <c r="D1025" s="375" t="s">
        <v>656</v>
      </c>
      <c r="E1025" s="219" t="s">
        <v>96</v>
      </c>
      <c r="F1025" s="219" t="s">
        <v>625</v>
      </c>
      <c r="G1025" s="220" t="s">
        <v>24</v>
      </c>
      <c r="H1025" s="221">
        <v>2003</v>
      </c>
      <c r="I1025" s="220"/>
      <c r="J1025" s="369">
        <v>0.97</v>
      </c>
      <c r="K1025" s="382" t="s">
        <v>489</v>
      </c>
      <c r="L1025" s="334">
        <f t="shared" ref="L1025:L1043" si="662">J1025*0.5*0.001/0.032</f>
        <v>1.515625E-2</v>
      </c>
      <c r="M1025" s="335" t="str">
        <f>'[1]Advanced Controls'!$I$158</f>
        <v>t CH4-CO2eq per kg of protein</v>
      </c>
      <c r="N1025" s="227"/>
      <c r="O1025" s="227" t="s">
        <v>657</v>
      </c>
      <c r="P1025" s="122"/>
      <c r="Q1025" s="228"/>
      <c r="R1025" s="231">
        <f t="shared" si="658"/>
        <v>1.515625E-2</v>
      </c>
      <c r="S1025" s="230">
        <f t="shared" si="657"/>
        <v>1.515625E-2</v>
      </c>
      <c r="T1025" s="231">
        <f t="shared" si="659"/>
        <v>0</v>
      </c>
      <c r="U1025" s="232" t="str">
        <f t="shared" si="644"/>
        <v>t CH4-CO2eq per kg of protein</v>
      </c>
      <c r="V1025" s="28"/>
      <c r="W1025" s="28"/>
      <c r="Y1025" s="91"/>
      <c r="AO1025" s="91"/>
      <c r="AP1025" s="28"/>
      <c r="AQ1025" s="28"/>
      <c r="AR1025" s="237"/>
      <c r="AS1025" s="28"/>
      <c r="AT1025" s="304" t="str">
        <f t="shared" si="660"/>
        <v/>
      </c>
      <c r="AU1025" s="304" t="str">
        <f t="shared" si="660"/>
        <v/>
      </c>
      <c r="AV1025" s="28"/>
      <c r="AW1025" s="304">
        <f t="shared" si="645"/>
        <v>1.515625E-2</v>
      </c>
      <c r="AX1025" s="304">
        <f t="shared" si="645"/>
        <v>1.515625E-2</v>
      </c>
      <c r="AY1025" s="28"/>
      <c r="AZ1025" s="304" t="str">
        <f t="shared" si="646"/>
        <v/>
      </c>
      <c r="BA1025" s="304" t="str">
        <f t="shared" si="646"/>
        <v/>
      </c>
      <c r="BB1025" s="28"/>
      <c r="BC1025" s="304" t="str">
        <f t="shared" si="647"/>
        <v/>
      </c>
      <c r="BD1025" s="304" t="str">
        <f t="shared" si="647"/>
        <v/>
      </c>
      <c r="BE1025" s="28"/>
      <c r="BF1025" s="304" t="str">
        <f t="shared" si="648"/>
        <v/>
      </c>
      <c r="BG1025" s="304" t="str">
        <f t="shared" si="648"/>
        <v/>
      </c>
      <c r="BH1025" s="28"/>
      <c r="BI1025" s="304" t="str">
        <f t="shared" si="649"/>
        <v/>
      </c>
      <c r="BJ1025" s="304" t="str">
        <f t="shared" si="649"/>
        <v/>
      </c>
      <c r="BK1025" s="28"/>
      <c r="BL1025" s="304" t="str">
        <f t="shared" si="650"/>
        <v/>
      </c>
      <c r="BM1025" s="304" t="str">
        <f t="shared" si="650"/>
        <v/>
      </c>
      <c r="BN1025" s="28"/>
      <c r="BO1025" s="304" t="str">
        <f t="shared" si="651"/>
        <v/>
      </c>
      <c r="BP1025" s="304" t="str">
        <f t="shared" si="651"/>
        <v/>
      </c>
      <c r="BQ1025" s="28"/>
      <c r="BR1025" s="304" t="str">
        <f t="shared" si="652"/>
        <v/>
      </c>
      <c r="BS1025" s="304" t="str">
        <f t="shared" si="652"/>
        <v/>
      </c>
      <c r="BT1025" s="28"/>
      <c r="BU1025" s="304" t="str">
        <f t="shared" si="653"/>
        <v/>
      </c>
      <c r="BV1025" s="304" t="str">
        <f t="shared" si="653"/>
        <v/>
      </c>
      <c r="BW1025" s="28"/>
      <c r="BX1025" s="91"/>
    </row>
    <row r="1026" spans="1:76" s="55" customFormat="1" ht="15.75" x14ac:dyDescent="0.25">
      <c r="A1026" s="195">
        <v>109</v>
      </c>
      <c r="B1026" s="216" t="str">
        <f t="shared" si="642"/>
        <v>OECD90: Casey and Holden. 2005. Analysis of greenhouse gas emissions from the Irish milk production system.</v>
      </c>
      <c r="C1026" s="219" t="s">
        <v>658</v>
      </c>
      <c r="D1026" s="375" t="s">
        <v>659</v>
      </c>
      <c r="E1026" s="219" t="s">
        <v>96</v>
      </c>
      <c r="F1026" s="219" t="s">
        <v>621</v>
      </c>
      <c r="G1026" s="220" t="s">
        <v>24</v>
      </c>
      <c r="H1026" s="221">
        <v>2005</v>
      </c>
      <c r="I1026" s="240"/>
      <c r="J1026" s="369">
        <v>1.3</v>
      </c>
      <c r="K1026" s="382" t="s">
        <v>489</v>
      </c>
      <c r="L1026" s="334">
        <f t="shared" si="662"/>
        <v>2.0312500000000001E-2</v>
      </c>
      <c r="M1026" s="335" t="str">
        <f>'[1]Advanced Controls'!$I$158</f>
        <v>t CH4-CO2eq per kg of protein</v>
      </c>
      <c r="N1026" s="227"/>
      <c r="O1026" s="227" t="s">
        <v>660</v>
      </c>
      <c r="P1026" s="122"/>
      <c r="Q1026" s="228"/>
      <c r="R1026" s="231">
        <f t="shared" si="658"/>
        <v>2.0312500000000001E-2</v>
      </c>
      <c r="S1026" s="230">
        <f t="shared" si="657"/>
        <v>2.0312500000000001E-2</v>
      </c>
      <c r="T1026" s="231">
        <f t="shared" si="659"/>
        <v>0</v>
      </c>
      <c r="U1026" s="232" t="str">
        <f t="shared" si="644"/>
        <v>t CH4-CO2eq per kg of protein</v>
      </c>
      <c r="V1026" s="28"/>
      <c r="W1026" s="28"/>
      <c r="Y1026" s="91"/>
      <c r="AO1026" s="91"/>
      <c r="AP1026" s="28"/>
      <c r="AQ1026" s="28"/>
      <c r="AR1026" s="237"/>
      <c r="AS1026" s="28"/>
      <c r="AT1026" s="304" t="str">
        <f t="shared" si="660"/>
        <v/>
      </c>
      <c r="AU1026" s="304" t="str">
        <f t="shared" si="660"/>
        <v/>
      </c>
      <c r="AV1026" s="28"/>
      <c r="AW1026" s="304">
        <f t="shared" si="645"/>
        <v>2.0312500000000001E-2</v>
      </c>
      <c r="AX1026" s="304">
        <f t="shared" si="645"/>
        <v>2.0312500000000001E-2</v>
      </c>
      <c r="AY1026" s="28"/>
      <c r="AZ1026" s="304" t="str">
        <f t="shared" si="646"/>
        <v/>
      </c>
      <c r="BA1026" s="304" t="str">
        <f t="shared" si="646"/>
        <v/>
      </c>
      <c r="BB1026" s="28"/>
      <c r="BC1026" s="304" t="str">
        <f t="shared" si="647"/>
        <v/>
      </c>
      <c r="BD1026" s="304" t="str">
        <f t="shared" si="647"/>
        <v/>
      </c>
      <c r="BE1026" s="28"/>
      <c r="BF1026" s="304" t="str">
        <f t="shared" si="648"/>
        <v/>
      </c>
      <c r="BG1026" s="304" t="str">
        <f t="shared" si="648"/>
        <v/>
      </c>
      <c r="BH1026" s="28"/>
      <c r="BI1026" s="304" t="str">
        <f t="shared" si="649"/>
        <v/>
      </c>
      <c r="BJ1026" s="304" t="str">
        <f t="shared" si="649"/>
        <v/>
      </c>
      <c r="BK1026" s="28"/>
      <c r="BL1026" s="304" t="str">
        <f t="shared" si="650"/>
        <v/>
      </c>
      <c r="BM1026" s="304" t="str">
        <f t="shared" si="650"/>
        <v/>
      </c>
      <c r="BN1026" s="28"/>
      <c r="BO1026" s="304" t="str">
        <f t="shared" si="651"/>
        <v/>
      </c>
      <c r="BP1026" s="304" t="str">
        <f t="shared" si="651"/>
        <v/>
      </c>
      <c r="BQ1026" s="28"/>
      <c r="BR1026" s="304" t="str">
        <f t="shared" si="652"/>
        <v/>
      </c>
      <c r="BS1026" s="304" t="str">
        <f t="shared" si="652"/>
        <v/>
      </c>
      <c r="BT1026" s="28"/>
      <c r="BU1026" s="304" t="str">
        <f t="shared" si="653"/>
        <v/>
      </c>
      <c r="BV1026" s="304" t="str">
        <f t="shared" si="653"/>
        <v/>
      </c>
      <c r="BW1026" s="28"/>
      <c r="BX1026" s="91"/>
    </row>
    <row r="1027" spans="1:76" s="55" customFormat="1" ht="15.75" x14ac:dyDescent="0.25">
      <c r="A1027" s="195">
        <v>110</v>
      </c>
      <c r="B1027" s="216" t="str">
        <f t="shared" si="642"/>
        <v>OECD90: Verge et al. 2007. Greenhouse gas emissions from the Canadian dairy industry in 2001</v>
      </c>
      <c r="C1027" s="219" t="s">
        <v>661</v>
      </c>
      <c r="D1027" s="375" t="s">
        <v>662</v>
      </c>
      <c r="E1027" s="219" t="s">
        <v>96</v>
      </c>
      <c r="F1027" s="219" t="s">
        <v>606</v>
      </c>
      <c r="G1027" s="220" t="s">
        <v>24</v>
      </c>
      <c r="H1027" s="221">
        <v>2007</v>
      </c>
      <c r="I1027" s="240"/>
      <c r="J1027" s="369">
        <v>1</v>
      </c>
      <c r="K1027" s="382" t="s">
        <v>648</v>
      </c>
      <c r="L1027" s="334">
        <f t="shared" si="662"/>
        <v>1.5625E-2</v>
      </c>
      <c r="M1027" s="335" t="str">
        <f>'[1]Advanced Controls'!$I$158</f>
        <v>t CH4-CO2eq per kg of protein</v>
      </c>
      <c r="N1027" s="227"/>
      <c r="O1027" s="227" t="s">
        <v>663</v>
      </c>
      <c r="P1027" s="122"/>
      <c r="Q1027" s="228"/>
      <c r="R1027" s="231">
        <f t="shared" si="658"/>
        <v>1.5625E-2</v>
      </c>
      <c r="S1027" s="230">
        <f t="shared" si="657"/>
        <v>1.5625E-2</v>
      </c>
      <c r="T1027" s="231">
        <f t="shared" si="659"/>
        <v>0</v>
      </c>
      <c r="U1027" s="232" t="str">
        <f t="shared" si="644"/>
        <v>t CH4-CO2eq per kg of protein</v>
      </c>
      <c r="V1027" s="28"/>
      <c r="W1027" s="28"/>
      <c r="Y1027" s="91"/>
      <c r="AO1027" s="91"/>
      <c r="AP1027" s="28"/>
      <c r="AQ1027" s="28"/>
      <c r="AR1027" s="237"/>
      <c r="AS1027" s="28"/>
      <c r="AT1027" s="304" t="str">
        <f t="shared" si="660"/>
        <v/>
      </c>
      <c r="AU1027" s="304" t="str">
        <f t="shared" si="660"/>
        <v/>
      </c>
      <c r="AV1027" s="28"/>
      <c r="AW1027" s="304">
        <f t="shared" si="645"/>
        <v>1.5625E-2</v>
      </c>
      <c r="AX1027" s="304">
        <f t="shared" si="645"/>
        <v>1.5625E-2</v>
      </c>
      <c r="AY1027" s="28"/>
      <c r="AZ1027" s="304" t="str">
        <f t="shared" si="646"/>
        <v/>
      </c>
      <c r="BA1027" s="304" t="str">
        <f t="shared" si="646"/>
        <v/>
      </c>
      <c r="BB1027" s="28"/>
      <c r="BC1027" s="304" t="str">
        <f t="shared" si="647"/>
        <v/>
      </c>
      <c r="BD1027" s="304" t="str">
        <f t="shared" si="647"/>
        <v/>
      </c>
      <c r="BE1027" s="28"/>
      <c r="BF1027" s="304" t="str">
        <f t="shared" si="648"/>
        <v/>
      </c>
      <c r="BG1027" s="304" t="str">
        <f t="shared" si="648"/>
        <v/>
      </c>
      <c r="BH1027" s="28"/>
      <c r="BI1027" s="304" t="str">
        <f t="shared" si="649"/>
        <v/>
      </c>
      <c r="BJ1027" s="304" t="str">
        <f t="shared" si="649"/>
        <v/>
      </c>
      <c r="BK1027" s="28"/>
      <c r="BL1027" s="304" t="str">
        <f t="shared" si="650"/>
        <v/>
      </c>
      <c r="BM1027" s="304" t="str">
        <f t="shared" si="650"/>
        <v/>
      </c>
      <c r="BN1027" s="28"/>
      <c r="BO1027" s="304" t="str">
        <f t="shared" si="651"/>
        <v/>
      </c>
      <c r="BP1027" s="304" t="str">
        <f t="shared" si="651"/>
        <v/>
      </c>
      <c r="BQ1027" s="28"/>
      <c r="BR1027" s="304" t="str">
        <f t="shared" si="652"/>
        <v/>
      </c>
      <c r="BS1027" s="304" t="str">
        <f t="shared" si="652"/>
        <v/>
      </c>
      <c r="BT1027" s="28"/>
      <c r="BU1027" s="304" t="str">
        <f t="shared" si="653"/>
        <v/>
      </c>
      <c r="BV1027" s="304" t="str">
        <f t="shared" si="653"/>
        <v/>
      </c>
      <c r="BW1027" s="28"/>
      <c r="BX1027" s="91"/>
    </row>
    <row r="1028" spans="1:76" s="55" customFormat="1" ht="15.75" x14ac:dyDescent="0.25">
      <c r="A1028" s="195">
        <v>111</v>
      </c>
      <c r="B1028" s="216" t="str">
        <f t="shared" si="642"/>
        <v>OECD90: Thomassen et al 2008. Life cycle assessment of conventional and organic milk production in the Netherlands</v>
      </c>
      <c r="C1028" s="219" t="s">
        <v>664</v>
      </c>
      <c r="D1028" s="375" t="s">
        <v>665</v>
      </c>
      <c r="E1028" s="219" t="s">
        <v>96</v>
      </c>
      <c r="F1028" s="219" t="s">
        <v>334</v>
      </c>
      <c r="G1028" s="220" t="s">
        <v>24</v>
      </c>
      <c r="H1028" s="221">
        <v>2008</v>
      </c>
      <c r="I1028" s="240"/>
      <c r="J1028" s="369">
        <v>1.5</v>
      </c>
      <c r="K1028" s="382" t="s">
        <v>489</v>
      </c>
      <c r="L1028" s="334">
        <f t="shared" si="662"/>
        <v>2.34375E-2</v>
      </c>
      <c r="M1028" s="335" t="str">
        <f>'[1]Advanced Controls'!$I$158</f>
        <v>t CH4-CO2eq per kg of protein</v>
      </c>
      <c r="N1028" s="227"/>
      <c r="O1028" s="227" t="s">
        <v>666</v>
      </c>
      <c r="P1028" s="122"/>
      <c r="Q1028" s="228"/>
      <c r="R1028" s="231">
        <f t="shared" si="658"/>
        <v>2.34375E-2</v>
      </c>
      <c r="S1028" s="230">
        <f t="shared" si="657"/>
        <v>2.34375E-2</v>
      </c>
      <c r="T1028" s="231">
        <f t="shared" si="659"/>
        <v>0</v>
      </c>
      <c r="U1028" s="232" t="str">
        <f t="shared" si="644"/>
        <v>t CH4-CO2eq per kg of protein</v>
      </c>
      <c r="V1028" s="28"/>
      <c r="W1028" s="28"/>
      <c r="Y1028" s="91"/>
      <c r="AO1028" s="91"/>
      <c r="AP1028" s="28"/>
      <c r="AQ1028" s="28"/>
      <c r="AR1028" s="237"/>
      <c r="AS1028" s="28"/>
      <c r="AT1028" s="304" t="str">
        <f t="shared" si="660"/>
        <v/>
      </c>
      <c r="AU1028" s="304" t="str">
        <f t="shared" si="660"/>
        <v/>
      </c>
      <c r="AV1028" s="28"/>
      <c r="AW1028" s="304">
        <f t="shared" si="645"/>
        <v>2.34375E-2</v>
      </c>
      <c r="AX1028" s="304">
        <f t="shared" si="645"/>
        <v>2.34375E-2</v>
      </c>
      <c r="AY1028" s="28"/>
      <c r="AZ1028" s="304" t="str">
        <f t="shared" si="646"/>
        <v/>
      </c>
      <c r="BA1028" s="304" t="str">
        <f t="shared" si="646"/>
        <v/>
      </c>
      <c r="BB1028" s="28"/>
      <c r="BC1028" s="304" t="str">
        <f t="shared" si="647"/>
        <v/>
      </c>
      <c r="BD1028" s="304" t="str">
        <f t="shared" si="647"/>
        <v/>
      </c>
      <c r="BE1028" s="28"/>
      <c r="BF1028" s="304" t="str">
        <f t="shared" si="648"/>
        <v/>
      </c>
      <c r="BG1028" s="304" t="str">
        <f t="shared" si="648"/>
        <v/>
      </c>
      <c r="BH1028" s="28"/>
      <c r="BI1028" s="304" t="str">
        <f t="shared" si="649"/>
        <v/>
      </c>
      <c r="BJ1028" s="304" t="str">
        <f t="shared" si="649"/>
        <v/>
      </c>
      <c r="BK1028" s="28"/>
      <c r="BL1028" s="304" t="str">
        <f t="shared" si="650"/>
        <v/>
      </c>
      <c r="BM1028" s="304" t="str">
        <f t="shared" si="650"/>
        <v/>
      </c>
      <c r="BN1028" s="28"/>
      <c r="BO1028" s="304" t="str">
        <f t="shared" si="651"/>
        <v/>
      </c>
      <c r="BP1028" s="304" t="str">
        <f t="shared" si="651"/>
        <v/>
      </c>
      <c r="BQ1028" s="28"/>
      <c r="BR1028" s="304" t="str">
        <f t="shared" si="652"/>
        <v/>
      </c>
      <c r="BS1028" s="304" t="str">
        <f t="shared" si="652"/>
        <v/>
      </c>
      <c r="BT1028" s="28"/>
      <c r="BU1028" s="304" t="str">
        <f t="shared" si="653"/>
        <v/>
      </c>
      <c r="BV1028" s="304" t="str">
        <f t="shared" si="653"/>
        <v/>
      </c>
      <c r="BW1028" s="28"/>
      <c r="BX1028" s="91"/>
    </row>
    <row r="1029" spans="1:76" s="55" customFormat="1" ht="15.75" x14ac:dyDescent="0.25">
      <c r="A1029" s="195">
        <v>112</v>
      </c>
      <c r="B1029" s="216" t="str">
        <f t="shared" si="642"/>
        <v>OECD90: Rotz et al. 2010 The carbon footprint of dairy production systems through partial life cycle assessment</v>
      </c>
      <c r="C1029" s="219" t="s">
        <v>667</v>
      </c>
      <c r="D1029" s="375" t="s">
        <v>668</v>
      </c>
      <c r="E1029" s="219" t="s">
        <v>96</v>
      </c>
      <c r="F1029" s="219" t="s">
        <v>204</v>
      </c>
      <c r="G1029" s="220" t="s">
        <v>24</v>
      </c>
      <c r="H1029" s="221">
        <v>2010</v>
      </c>
      <c r="I1029" s="240"/>
      <c r="J1029" s="369">
        <v>0.55000000000000004</v>
      </c>
      <c r="K1029" s="382" t="s">
        <v>489</v>
      </c>
      <c r="L1029" s="334">
        <f t="shared" si="662"/>
        <v>8.5937500000000007E-3</v>
      </c>
      <c r="M1029" s="335" t="str">
        <f>'[1]Advanced Controls'!$I$158</f>
        <v>t CH4-CO2eq per kg of protein</v>
      </c>
      <c r="N1029" s="227"/>
      <c r="O1029" s="227" t="s">
        <v>669</v>
      </c>
      <c r="P1029" s="122"/>
      <c r="Q1029" s="228"/>
      <c r="R1029" s="231">
        <f t="shared" si="658"/>
        <v>8.5937500000000007E-3</v>
      </c>
      <c r="S1029" s="230">
        <f t="shared" si="657"/>
        <v>8.5937500000000007E-3</v>
      </c>
      <c r="T1029" s="231">
        <f>IF(OR(Q1029="Y",IFERROR(R1029&gt;R1048+R1052*$AA$35,0),IFERROR(R1029&lt;R1048-R1052*$AA$35,0)),"",IFERROR(R1029*N1029,""))</f>
        <v>0</v>
      </c>
      <c r="U1029" s="232" t="str">
        <f t="shared" si="644"/>
        <v>t CH4-CO2eq per kg of protein</v>
      </c>
      <c r="V1029" s="28"/>
      <c r="W1029" s="28"/>
      <c r="Y1029" s="91"/>
      <c r="AO1029" s="91"/>
      <c r="AP1029" s="28"/>
      <c r="AQ1029" s="28"/>
      <c r="AR1029" s="237"/>
      <c r="AS1029" s="28"/>
      <c r="AT1029" s="304" t="str">
        <f t="shared" ref="AT1029:AU1047" si="663">IF($E1029=$AT$47,R1029,"")</f>
        <v/>
      </c>
      <c r="AU1029" s="304" t="str">
        <f t="shared" si="663"/>
        <v/>
      </c>
      <c r="AV1029" s="28"/>
      <c r="AW1029" s="304">
        <f t="shared" si="645"/>
        <v>8.5937500000000007E-3</v>
      </c>
      <c r="AX1029" s="304">
        <f t="shared" si="645"/>
        <v>8.5937500000000007E-3</v>
      </c>
      <c r="AY1029" s="28"/>
      <c r="AZ1029" s="304" t="str">
        <f t="shared" si="646"/>
        <v/>
      </c>
      <c r="BA1029" s="304" t="str">
        <f t="shared" si="646"/>
        <v/>
      </c>
      <c r="BB1029" s="28"/>
      <c r="BC1029" s="304" t="str">
        <f t="shared" si="647"/>
        <v/>
      </c>
      <c r="BD1029" s="304" t="str">
        <f t="shared" si="647"/>
        <v/>
      </c>
      <c r="BE1029" s="28"/>
      <c r="BF1029" s="304" t="str">
        <f t="shared" si="648"/>
        <v/>
      </c>
      <c r="BG1029" s="304" t="str">
        <f t="shared" si="648"/>
        <v/>
      </c>
      <c r="BH1029" s="28"/>
      <c r="BI1029" s="304" t="str">
        <f t="shared" si="649"/>
        <v/>
      </c>
      <c r="BJ1029" s="304" t="str">
        <f t="shared" si="649"/>
        <v/>
      </c>
      <c r="BK1029" s="28"/>
      <c r="BL1029" s="304" t="str">
        <f t="shared" si="650"/>
        <v/>
      </c>
      <c r="BM1029" s="304" t="str">
        <f t="shared" si="650"/>
        <v/>
      </c>
      <c r="BN1029" s="28"/>
      <c r="BO1029" s="304" t="str">
        <f t="shared" si="651"/>
        <v/>
      </c>
      <c r="BP1029" s="304" t="str">
        <f t="shared" si="651"/>
        <v/>
      </c>
      <c r="BQ1029" s="28"/>
      <c r="BR1029" s="304" t="str">
        <f t="shared" si="652"/>
        <v/>
      </c>
      <c r="BS1029" s="304" t="str">
        <f t="shared" si="652"/>
        <v/>
      </c>
      <c r="BT1029" s="28"/>
      <c r="BU1029" s="304" t="str">
        <f t="shared" si="653"/>
        <v/>
      </c>
      <c r="BV1029" s="304" t="str">
        <f t="shared" si="653"/>
        <v/>
      </c>
      <c r="BW1029" s="28"/>
      <c r="BX1029" s="91"/>
    </row>
    <row r="1030" spans="1:76" s="55" customFormat="1" x14ac:dyDescent="0.25">
      <c r="A1030" s="195">
        <v>113</v>
      </c>
      <c r="B1030" s="216" t="str">
        <f>CONCATENATE(E1030,": ",C1030)</f>
        <v>OECD90: Rotz et al. 2010 The carbon footprint of dairy production systems through partial life cycle assessment</v>
      </c>
      <c r="C1030" s="219" t="s">
        <v>667</v>
      </c>
      <c r="D1030" s="219" t="s">
        <v>668</v>
      </c>
      <c r="E1030" s="219" t="s">
        <v>96</v>
      </c>
      <c r="F1030" s="219" t="s">
        <v>204</v>
      </c>
      <c r="G1030" s="220" t="s">
        <v>24</v>
      </c>
      <c r="H1030" s="221">
        <v>2010</v>
      </c>
      <c r="I1030" s="240"/>
      <c r="J1030" s="369">
        <v>0.7</v>
      </c>
      <c r="K1030" s="382" t="s">
        <v>489</v>
      </c>
      <c r="L1030" s="334">
        <f t="shared" si="662"/>
        <v>1.0937499999999999E-2</v>
      </c>
      <c r="M1030" s="335" t="str">
        <f>'[1]Advanced Controls'!$I$158</f>
        <v>t CH4-CO2eq per kg of protein</v>
      </c>
      <c r="N1030" s="227"/>
      <c r="O1030" s="227" t="s">
        <v>670</v>
      </c>
      <c r="P1030" s="122"/>
      <c r="Q1030" s="228"/>
      <c r="R1030" s="231">
        <f t="shared" si="658"/>
        <v>1.0937499999999999E-2</v>
      </c>
      <c r="S1030" s="230">
        <f t="shared" si="657"/>
        <v>1.0937499999999999E-2</v>
      </c>
      <c r="T1030" s="231">
        <f>IF(OR(Q1030="Y",IFERROR(R1030&gt;R1048+R1052*$AA$35,0),IFERROR(R1030&lt;R1048-R1052*$AA$35,0)),"",IFERROR(R1030*N1030,""))</f>
        <v>0</v>
      </c>
      <c r="U1030" s="232" t="str">
        <f t="shared" si="644"/>
        <v>t CH4-CO2eq per kg of protein</v>
      </c>
      <c r="V1030" s="28"/>
      <c r="W1030" s="28"/>
      <c r="Y1030" s="91"/>
      <c r="AO1030" s="91"/>
      <c r="AP1030" s="28"/>
      <c r="AQ1030" s="28"/>
      <c r="AR1030" s="237"/>
      <c r="AS1030" s="28"/>
      <c r="AT1030" s="304" t="str">
        <f t="shared" si="663"/>
        <v/>
      </c>
      <c r="AU1030" s="304" t="str">
        <f t="shared" si="663"/>
        <v/>
      </c>
      <c r="AV1030" s="28"/>
      <c r="AW1030" s="304">
        <f t="shared" si="645"/>
        <v>1.0937499999999999E-2</v>
      </c>
      <c r="AX1030" s="304">
        <f t="shared" si="645"/>
        <v>1.0937499999999999E-2</v>
      </c>
      <c r="AY1030" s="28"/>
      <c r="AZ1030" s="304" t="str">
        <f t="shared" si="646"/>
        <v/>
      </c>
      <c r="BA1030" s="304" t="str">
        <f t="shared" si="646"/>
        <v/>
      </c>
      <c r="BB1030" s="28"/>
      <c r="BC1030" s="304" t="str">
        <f t="shared" si="647"/>
        <v/>
      </c>
      <c r="BD1030" s="304" t="str">
        <f t="shared" si="647"/>
        <v/>
      </c>
      <c r="BE1030" s="28"/>
      <c r="BF1030" s="304" t="str">
        <f t="shared" si="648"/>
        <v/>
      </c>
      <c r="BG1030" s="304" t="str">
        <f t="shared" si="648"/>
        <v/>
      </c>
      <c r="BH1030" s="28"/>
      <c r="BI1030" s="304" t="str">
        <f t="shared" si="649"/>
        <v/>
      </c>
      <c r="BJ1030" s="304" t="str">
        <f t="shared" si="649"/>
        <v/>
      </c>
      <c r="BK1030" s="28"/>
      <c r="BL1030" s="304" t="str">
        <f t="shared" si="650"/>
        <v/>
      </c>
      <c r="BM1030" s="304" t="str">
        <f t="shared" si="650"/>
        <v/>
      </c>
      <c r="BN1030" s="28"/>
      <c r="BO1030" s="304" t="str">
        <f t="shared" si="651"/>
        <v/>
      </c>
      <c r="BP1030" s="304" t="str">
        <f t="shared" si="651"/>
        <v/>
      </c>
      <c r="BQ1030" s="28"/>
      <c r="BR1030" s="304" t="str">
        <f t="shared" si="652"/>
        <v/>
      </c>
      <c r="BS1030" s="304" t="str">
        <f t="shared" si="652"/>
        <v/>
      </c>
      <c r="BT1030" s="28"/>
      <c r="BU1030" s="304" t="str">
        <f t="shared" si="653"/>
        <v/>
      </c>
      <c r="BV1030" s="304" t="str">
        <f t="shared" si="653"/>
        <v/>
      </c>
      <c r="BW1030" s="28"/>
      <c r="BX1030" s="91"/>
    </row>
    <row r="1031" spans="1:76" s="55" customFormat="1" x14ac:dyDescent="0.25">
      <c r="A1031" s="195">
        <v>114</v>
      </c>
      <c r="B1031" s="216" t="str">
        <f t="shared" si="642"/>
        <v>OECD90: Rotz et al. 2010 The carbon footprint of dairy production systems through partial life cycle assessment</v>
      </c>
      <c r="C1031" s="219" t="s">
        <v>667</v>
      </c>
      <c r="D1031" s="219" t="s">
        <v>668</v>
      </c>
      <c r="E1031" s="219" t="s">
        <v>96</v>
      </c>
      <c r="F1031" s="219" t="s">
        <v>204</v>
      </c>
      <c r="G1031" s="220" t="s">
        <v>24</v>
      </c>
      <c r="H1031" s="221">
        <v>2010</v>
      </c>
      <c r="I1031" s="240"/>
      <c r="J1031" s="369">
        <v>0.52</v>
      </c>
      <c r="K1031" s="382" t="s">
        <v>489</v>
      </c>
      <c r="L1031" s="334">
        <f t="shared" si="662"/>
        <v>8.1250000000000003E-3</v>
      </c>
      <c r="M1031" s="335" t="str">
        <f>'[1]Advanced Controls'!$I$158</f>
        <v>t CH4-CO2eq per kg of protein</v>
      </c>
      <c r="N1031" s="227"/>
      <c r="O1031" s="227" t="s">
        <v>671</v>
      </c>
      <c r="P1031" s="122"/>
      <c r="Q1031" s="228"/>
      <c r="R1031" s="231">
        <f t="shared" si="658"/>
        <v>8.1250000000000003E-3</v>
      </c>
      <c r="S1031" s="230">
        <f t="shared" si="657"/>
        <v>8.1250000000000003E-3</v>
      </c>
      <c r="T1031" s="231">
        <f>IF(OR(Q1031="Y",IFERROR(R1031&gt;R1048+R1052*$AA$35,0),IFERROR(R1031&lt;R1048-R1052*$AA$35,0)),"",IFERROR(R1031*N1031,""))</f>
        <v>0</v>
      </c>
      <c r="U1031" s="232" t="str">
        <f t="shared" si="644"/>
        <v>t CH4-CO2eq per kg of protein</v>
      </c>
      <c r="V1031" s="28"/>
      <c r="W1031" s="28"/>
      <c r="Y1031" s="91"/>
      <c r="AO1031" s="91"/>
      <c r="AP1031" s="28"/>
      <c r="AQ1031" s="28"/>
      <c r="AR1031" s="237"/>
      <c r="AS1031" s="28"/>
      <c r="AT1031" s="304" t="str">
        <f t="shared" si="663"/>
        <v/>
      </c>
      <c r="AU1031" s="304" t="str">
        <f t="shared" si="663"/>
        <v/>
      </c>
      <c r="AV1031" s="28"/>
      <c r="AW1031" s="304">
        <f t="shared" si="645"/>
        <v>8.1250000000000003E-3</v>
      </c>
      <c r="AX1031" s="304">
        <f t="shared" si="645"/>
        <v>8.1250000000000003E-3</v>
      </c>
      <c r="AY1031" s="28"/>
      <c r="AZ1031" s="304" t="str">
        <f t="shared" si="646"/>
        <v/>
      </c>
      <c r="BA1031" s="304" t="str">
        <f t="shared" si="646"/>
        <v/>
      </c>
      <c r="BB1031" s="28"/>
      <c r="BC1031" s="304" t="str">
        <f t="shared" si="647"/>
        <v/>
      </c>
      <c r="BD1031" s="304" t="str">
        <f t="shared" si="647"/>
        <v/>
      </c>
      <c r="BE1031" s="28"/>
      <c r="BF1031" s="304" t="str">
        <f t="shared" si="648"/>
        <v/>
      </c>
      <c r="BG1031" s="304" t="str">
        <f t="shared" si="648"/>
        <v/>
      </c>
      <c r="BH1031" s="28"/>
      <c r="BI1031" s="304" t="str">
        <f t="shared" si="649"/>
        <v/>
      </c>
      <c r="BJ1031" s="304" t="str">
        <f t="shared" si="649"/>
        <v/>
      </c>
      <c r="BK1031" s="28"/>
      <c r="BL1031" s="304" t="str">
        <f t="shared" si="650"/>
        <v/>
      </c>
      <c r="BM1031" s="304" t="str">
        <f t="shared" si="650"/>
        <v/>
      </c>
      <c r="BN1031" s="28"/>
      <c r="BO1031" s="304" t="str">
        <f t="shared" si="651"/>
        <v/>
      </c>
      <c r="BP1031" s="304" t="str">
        <f t="shared" si="651"/>
        <v/>
      </c>
      <c r="BQ1031" s="28"/>
      <c r="BR1031" s="304" t="str">
        <f t="shared" si="652"/>
        <v/>
      </c>
      <c r="BS1031" s="304" t="str">
        <f t="shared" si="652"/>
        <v/>
      </c>
      <c r="BT1031" s="28"/>
      <c r="BU1031" s="304" t="str">
        <f t="shared" si="653"/>
        <v/>
      </c>
      <c r="BV1031" s="304" t="str">
        <f t="shared" si="653"/>
        <v/>
      </c>
      <c r="BW1031" s="28"/>
      <c r="BX1031" s="91"/>
    </row>
    <row r="1032" spans="1:76" s="55" customFormat="1" x14ac:dyDescent="0.25">
      <c r="A1032" s="195">
        <v>115</v>
      </c>
      <c r="B1032" s="216" t="str">
        <f t="shared" si="642"/>
        <v>OECD90: Veltman et al. 2018, A quantitative assessment of Beneficial Management Practices to reduce carbon and reactive nitrogen footprints and phosphorus losses on dairy farms in the US Great Lakes region</v>
      </c>
      <c r="C1032" s="219" t="s">
        <v>345</v>
      </c>
      <c r="D1032" s="352" t="s">
        <v>346</v>
      </c>
      <c r="E1032" s="219" t="s">
        <v>96</v>
      </c>
      <c r="F1032" s="352" t="s">
        <v>347</v>
      </c>
      <c r="G1032" s="220" t="s">
        <v>24</v>
      </c>
      <c r="H1032" s="221">
        <v>2018</v>
      </c>
      <c r="I1032" s="240"/>
      <c r="J1032" s="369">
        <v>0.91</v>
      </c>
      <c r="K1032" s="382" t="s">
        <v>672</v>
      </c>
      <c r="L1032" s="334">
        <f t="shared" si="662"/>
        <v>1.421875E-2</v>
      </c>
      <c r="M1032" s="335" t="str">
        <f>'[1]Advanced Controls'!$I$158</f>
        <v>t CH4-CO2eq per kg of protein</v>
      </c>
      <c r="N1032" s="227"/>
      <c r="O1032" s="227" t="s">
        <v>673</v>
      </c>
      <c r="P1032" s="122"/>
      <c r="Q1032" s="228"/>
      <c r="R1032" s="231">
        <f t="shared" si="658"/>
        <v>1.421875E-2</v>
      </c>
      <c r="S1032" s="230">
        <f t="shared" si="657"/>
        <v>1.421875E-2</v>
      </c>
      <c r="T1032" s="231">
        <f>IF(OR(Q1032="Y",IFERROR(R1032&gt;R1048+R1052*$AA$35,0),IFERROR(R1032&lt;R1048-R1052*$AA$35,0)),"",IFERROR(R1032*N1032,""))</f>
        <v>0</v>
      </c>
      <c r="U1032" s="232" t="str">
        <f t="shared" si="644"/>
        <v>t CH4-CO2eq per kg of protein</v>
      </c>
      <c r="V1032" s="28"/>
      <c r="W1032" s="28"/>
      <c r="Y1032" s="91"/>
      <c r="AO1032" s="91"/>
      <c r="AP1032" s="28"/>
      <c r="AQ1032" s="28"/>
      <c r="AR1032" s="237"/>
      <c r="AS1032" s="28"/>
      <c r="AT1032" s="304" t="str">
        <f t="shared" si="663"/>
        <v/>
      </c>
      <c r="AU1032" s="304" t="str">
        <f t="shared" si="663"/>
        <v/>
      </c>
      <c r="AV1032" s="28"/>
      <c r="AW1032" s="304">
        <f t="shared" si="645"/>
        <v>1.421875E-2</v>
      </c>
      <c r="AX1032" s="304">
        <f t="shared" si="645"/>
        <v>1.421875E-2</v>
      </c>
      <c r="AY1032" s="28"/>
      <c r="AZ1032" s="304" t="str">
        <f t="shared" si="646"/>
        <v/>
      </c>
      <c r="BA1032" s="304" t="str">
        <f t="shared" si="646"/>
        <v/>
      </c>
      <c r="BB1032" s="28"/>
      <c r="BC1032" s="304" t="str">
        <f t="shared" si="647"/>
        <v/>
      </c>
      <c r="BD1032" s="304" t="str">
        <f t="shared" si="647"/>
        <v/>
      </c>
      <c r="BE1032" s="28"/>
      <c r="BF1032" s="304" t="str">
        <f t="shared" si="648"/>
        <v/>
      </c>
      <c r="BG1032" s="304" t="str">
        <f t="shared" si="648"/>
        <v/>
      </c>
      <c r="BH1032" s="28"/>
      <c r="BI1032" s="304" t="str">
        <f t="shared" si="649"/>
        <v/>
      </c>
      <c r="BJ1032" s="304" t="str">
        <f t="shared" si="649"/>
        <v/>
      </c>
      <c r="BK1032" s="28"/>
      <c r="BL1032" s="304" t="str">
        <f t="shared" si="650"/>
        <v/>
      </c>
      <c r="BM1032" s="304" t="str">
        <f t="shared" si="650"/>
        <v/>
      </c>
      <c r="BN1032" s="28"/>
      <c r="BO1032" s="304" t="str">
        <f t="shared" si="651"/>
        <v/>
      </c>
      <c r="BP1032" s="304" t="str">
        <f t="shared" si="651"/>
        <v/>
      </c>
      <c r="BQ1032" s="28"/>
      <c r="BR1032" s="304" t="str">
        <f t="shared" si="652"/>
        <v/>
      </c>
      <c r="BS1032" s="304" t="str">
        <f t="shared" si="652"/>
        <v/>
      </c>
      <c r="BT1032" s="28"/>
      <c r="BU1032" s="304" t="str">
        <f t="shared" si="653"/>
        <v/>
      </c>
      <c r="BV1032" s="304" t="str">
        <f t="shared" si="653"/>
        <v/>
      </c>
      <c r="BW1032" s="28"/>
      <c r="BX1032" s="91"/>
    </row>
    <row r="1033" spans="1:76" s="55" customFormat="1" x14ac:dyDescent="0.25">
      <c r="A1033" s="195">
        <v>116</v>
      </c>
      <c r="B1033" s="216" t="str">
        <f t="shared" si="642"/>
        <v>OECD90: Veltman et al. 2018, A quantitative assessment of Beneficial Management Practices to reduce carbon and reactive nitrogen footprints and phosphorus losses on dairy farms in the US Great Lakes region</v>
      </c>
      <c r="C1033" s="219" t="s">
        <v>345</v>
      </c>
      <c r="D1033" s="352" t="s">
        <v>346</v>
      </c>
      <c r="E1033" s="219" t="s">
        <v>96</v>
      </c>
      <c r="F1033" s="352" t="s">
        <v>347</v>
      </c>
      <c r="G1033" s="220" t="s">
        <v>24</v>
      </c>
      <c r="H1033" s="221">
        <v>2018</v>
      </c>
      <c r="I1033" s="240"/>
      <c r="J1033" s="369">
        <v>0.92</v>
      </c>
      <c r="K1033" s="382" t="s">
        <v>672</v>
      </c>
      <c r="L1033" s="334">
        <f t="shared" si="662"/>
        <v>1.4375000000000001E-2</v>
      </c>
      <c r="M1033" s="335" t="str">
        <f>'[1]Advanced Controls'!$I$158</f>
        <v>t CH4-CO2eq per kg of protein</v>
      </c>
      <c r="N1033" s="227"/>
      <c r="O1033" s="227" t="s">
        <v>674</v>
      </c>
      <c r="P1033" s="122"/>
      <c r="Q1033" s="228"/>
      <c r="R1033" s="231">
        <f t="shared" si="658"/>
        <v>1.4375000000000001E-2</v>
      </c>
      <c r="S1033" s="230">
        <f t="shared" si="657"/>
        <v>1.4375000000000001E-2</v>
      </c>
      <c r="T1033" s="231">
        <f>IF(OR(Q1033="Y",IFERROR(R1033&gt;R1048+R1052*$AA$35,0),IFERROR(R1033&lt;R1048-R1052*$AA$35,0)),"",IFERROR(R1033*N1033,""))</f>
        <v>0</v>
      </c>
      <c r="U1033" s="232" t="str">
        <f t="shared" si="644"/>
        <v>t CH4-CO2eq per kg of protein</v>
      </c>
      <c r="V1033" s="28"/>
      <c r="W1033" s="28"/>
      <c r="Y1033" s="91"/>
      <c r="AO1033" s="91"/>
      <c r="AP1033" s="28"/>
      <c r="AQ1033" s="28"/>
      <c r="AR1033" s="237"/>
      <c r="AS1033" s="28"/>
      <c r="AT1033" s="304" t="str">
        <f t="shared" si="663"/>
        <v/>
      </c>
      <c r="AU1033" s="304" t="str">
        <f t="shared" si="663"/>
        <v/>
      </c>
      <c r="AV1033" s="28"/>
      <c r="AW1033" s="304">
        <f t="shared" si="645"/>
        <v>1.4375000000000001E-2</v>
      </c>
      <c r="AX1033" s="304">
        <f t="shared" si="645"/>
        <v>1.4375000000000001E-2</v>
      </c>
      <c r="AY1033" s="28"/>
      <c r="AZ1033" s="304" t="str">
        <f t="shared" si="646"/>
        <v/>
      </c>
      <c r="BA1033" s="304" t="str">
        <f t="shared" si="646"/>
        <v/>
      </c>
      <c r="BB1033" s="28"/>
      <c r="BC1033" s="304" t="str">
        <f t="shared" si="647"/>
        <v/>
      </c>
      <c r="BD1033" s="304" t="str">
        <f t="shared" si="647"/>
        <v/>
      </c>
      <c r="BE1033" s="28"/>
      <c r="BF1033" s="304" t="str">
        <f t="shared" si="648"/>
        <v/>
      </c>
      <c r="BG1033" s="304" t="str">
        <f t="shared" si="648"/>
        <v/>
      </c>
      <c r="BH1033" s="28"/>
      <c r="BI1033" s="304" t="str">
        <f t="shared" si="649"/>
        <v/>
      </c>
      <c r="BJ1033" s="304" t="str">
        <f t="shared" si="649"/>
        <v/>
      </c>
      <c r="BK1033" s="28"/>
      <c r="BL1033" s="304" t="str">
        <f t="shared" si="650"/>
        <v/>
      </c>
      <c r="BM1033" s="304" t="str">
        <f t="shared" si="650"/>
        <v/>
      </c>
      <c r="BN1033" s="28"/>
      <c r="BO1033" s="304" t="str">
        <f t="shared" si="651"/>
        <v/>
      </c>
      <c r="BP1033" s="304" t="str">
        <f t="shared" si="651"/>
        <v/>
      </c>
      <c r="BQ1033" s="28"/>
      <c r="BR1033" s="304" t="str">
        <f t="shared" si="652"/>
        <v/>
      </c>
      <c r="BS1033" s="304" t="str">
        <f t="shared" si="652"/>
        <v/>
      </c>
      <c r="BT1033" s="28"/>
      <c r="BU1033" s="304" t="str">
        <f t="shared" si="653"/>
        <v/>
      </c>
      <c r="BV1033" s="304" t="str">
        <f t="shared" si="653"/>
        <v/>
      </c>
      <c r="BW1033" s="28"/>
      <c r="BX1033" s="91"/>
    </row>
    <row r="1034" spans="1:76" s="55" customFormat="1" x14ac:dyDescent="0.25">
      <c r="A1034" s="195">
        <v>117</v>
      </c>
      <c r="B1034" s="216" t="str">
        <f t="shared" si="642"/>
        <v>OECD90: Veltman et al. 2018, A quantitative assessment of Beneficial Management Practices to reduce carbon and reactive nitrogen footprints and phosphorus losses on dairy farms in the US Great Lakes region</v>
      </c>
      <c r="C1034" s="219" t="s">
        <v>345</v>
      </c>
      <c r="D1034" s="352" t="s">
        <v>346</v>
      </c>
      <c r="E1034" s="219" t="s">
        <v>96</v>
      </c>
      <c r="F1034" s="352" t="s">
        <v>347</v>
      </c>
      <c r="G1034" s="220" t="s">
        <v>24</v>
      </c>
      <c r="H1034" s="221">
        <v>2018</v>
      </c>
      <c r="I1034" s="240"/>
      <c r="J1034" s="369">
        <v>0.95</v>
      </c>
      <c r="K1034" s="382" t="s">
        <v>672</v>
      </c>
      <c r="L1034" s="334">
        <f t="shared" si="662"/>
        <v>1.4843749999999999E-2</v>
      </c>
      <c r="M1034" s="335" t="str">
        <f>'[1]Advanced Controls'!$I$158</f>
        <v>t CH4-CO2eq per kg of protein</v>
      </c>
      <c r="N1034" s="227"/>
      <c r="O1034" s="227" t="s">
        <v>675</v>
      </c>
      <c r="P1034" s="122"/>
      <c r="Q1034" s="228"/>
      <c r="R1034" s="231">
        <f t="shared" si="658"/>
        <v>1.4843749999999999E-2</v>
      </c>
      <c r="S1034" s="230">
        <f t="shared" si="657"/>
        <v>1.4843749999999999E-2</v>
      </c>
      <c r="T1034" s="231">
        <f>IF(OR(Q1034="Y",IFERROR(R1034&gt;R1048+R1052*$AA$35,0),IFERROR(R1034&lt;R1048-R1052*$AA$35,0)),"",IFERROR(R1034*N1034,""))</f>
        <v>0</v>
      </c>
      <c r="U1034" s="232" t="str">
        <f t="shared" si="644"/>
        <v>t CH4-CO2eq per kg of protein</v>
      </c>
      <c r="V1034" s="28"/>
      <c r="W1034" s="28"/>
      <c r="Y1034" s="91"/>
      <c r="AO1034" s="91"/>
      <c r="AP1034" s="28"/>
      <c r="AQ1034" s="28"/>
      <c r="AR1034" s="237"/>
      <c r="AS1034" s="28"/>
      <c r="AT1034" s="304" t="str">
        <f t="shared" si="663"/>
        <v/>
      </c>
      <c r="AU1034" s="304" t="str">
        <f t="shared" si="663"/>
        <v/>
      </c>
      <c r="AV1034" s="28"/>
      <c r="AW1034" s="304">
        <f t="shared" si="645"/>
        <v>1.4843749999999999E-2</v>
      </c>
      <c r="AX1034" s="304">
        <f t="shared" si="645"/>
        <v>1.4843749999999999E-2</v>
      </c>
      <c r="AY1034" s="28"/>
      <c r="AZ1034" s="304" t="str">
        <f t="shared" si="646"/>
        <v/>
      </c>
      <c r="BA1034" s="304" t="str">
        <f t="shared" si="646"/>
        <v/>
      </c>
      <c r="BB1034" s="28"/>
      <c r="BC1034" s="304" t="str">
        <f t="shared" si="647"/>
        <v/>
      </c>
      <c r="BD1034" s="304" t="str">
        <f t="shared" si="647"/>
        <v/>
      </c>
      <c r="BE1034" s="28"/>
      <c r="BF1034" s="304" t="str">
        <f t="shared" si="648"/>
        <v/>
      </c>
      <c r="BG1034" s="304" t="str">
        <f t="shared" si="648"/>
        <v/>
      </c>
      <c r="BH1034" s="28"/>
      <c r="BI1034" s="304" t="str">
        <f t="shared" si="649"/>
        <v/>
      </c>
      <c r="BJ1034" s="304" t="str">
        <f t="shared" si="649"/>
        <v/>
      </c>
      <c r="BK1034" s="28"/>
      <c r="BL1034" s="304" t="str">
        <f t="shared" si="650"/>
        <v/>
      </c>
      <c r="BM1034" s="304" t="str">
        <f t="shared" si="650"/>
        <v/>
      </c>
      <c r="BN1034" s="28"/>
      <c r="BO1034" s="304" t="str">
        <f t="shared" si="651"/>
        <v/>
      </c>
      <c r="BP1034" s="304" t="str">
        <f t="shared" si="651"/>
        <v/>
      </c>
      <c r="BQ1034" s="28"/>
      <c r="BR1034" s="304" t="str">
        <f t="shared" si="652"/>
        <v/>
      </c>
      <c r="BS1034" s="304" t="str">
        <f t="shared" si="652"/>
        <v/>
      </c>
      <c r="BT1034" s="28"/>
      <c r="BU1034" s="304" t="str">
        <f t="shared" si="653"/>
        <v/>
      </c>
      <c r="BV1034" s="304" t="str">
        <f t="shared" si="653"/>
        <v/>
      </c>
      <c r="BW1034" s="28"/>
      <c r="BX1034" s="91"/>
    </row>
    <row r="1035" spans="1:76" s="55" customFormat="1" x14ac:dyDescent="0.25">
      <c r="A1035" s="195">
        <v>118</v>
      </c>
      <c r="B1035" s="216" t="str">
        <f t="shared" si="642"/>
        <v>OECD90: Veltman et al. 2018, A quantitative assessment of Beneficial Management Practices to reduce carbon and reactive nitrogen footprints and phosphorus losses on dairy farms in the US Great Lakes region</v>
      </c>
      <c r="C1035" s="219" t="s">
        <v>345</v>
      </c>
      <c r="D1035" s="352" t="s">
        <v>346</v>
      </c>
      <c r="E1035" s="219" t="s">
        <v>96</v>
      </c>
      <c r="F1035" s="352" t="s">
        <v>347</v>
      </c>
      <c r="G1035" s="220" t="s">
        <v>24</v>
      </c>
      <c r="H1035" s="221">
        <v>2018</v>
      </c>
      <c r="I1035" s="240"/>
      <c r="J1035" s="369">
        <v>0.97</v>
      </c>
      <c r="K1035" s="382" t="s">
        <v>672</v>
      </c>
      <c r="L1035" s="334">
        <f t="shared" si="662"/>
        <v>1.515625E-2</v>
      </c>
      <c r="M1035" s="335" t="str">
        <f>'[1]Advanced Controls'!$I$158</f>
        <v>t CH4-CO2eq per kg of protein</v>
      </c>
      <c r="N1035" s="227"/>
      <c r="O1035" s="227" t="s">
        <v>676</v>
      </c>
      <c r="P1035" s="122"/>
      <c r="Q1035" s="228"/>
      <c r="R1035" s="231">
        <f t="shared" si="658"/>
        <v>1.515625E-2</v>
      </c>
      <c r="S1035" s="230">
        <f t="shared" si="657"/>
        <v>1.515625E-2</v>
      </c>
      <c r="T1035" s="231">
        <f>IF(OR(Q1035="Y",IFERROR(R1035&gt;R1048+R1052*$AA$35,0),IFERROR(R1035&lt;R1048-R1052*$AA$35,0)),"",IFERROR(R1035*N1035,""))</f>
        <v>0</v>
      </c>
      <c r="U1035" s="232" t="str">
        <f t="shared" si="644"/>
        <v>t CH4-CO2eq per kg of protein</v>
      </c>
      <c r="V1035" s="28"/>
      <c r="W1035" s="28"/>
      <c r="Y1035" s="91"/>
      <c r="AO1035" s="91"/>
      <c r="AP1035" s="28"/>
      <c r="AQ1035" s="28"/>
      <c r="AR1035" s="237"/>
      <c r="AS1035" s="28"/>
      <c r="AT1035" s="304" t="str">
        <f t="shared" si="663"/>
        <v/>
      </c>
      <c r="AU1035" s="304" t="str">
        <f t="shared" si="663"/>
        <v/>
      </c>
      <c r="AV1035" s="28"/>
      <c r="AW1035" s="304">
        <f t="shared" si="645"/>
        <v>1.515625E-2</v>
      </c>
      <c r="AX1035" s="304">
        <f t="shared" si="645"/>
        <v>1.515625E-2</v>
      </c>
      <c r="AY1035" s="28"/>
      <c r="AZ1035" s="304" t="str">
        <f t="shared" si="646"/>
        <v/>
      </c>
      <c r="BA1035" s="304" t="str">
        <f t="shared" si="646"/>
        <v/>
      </c>
      <c r="BB1035" s="28"/>
      <c r="BC1035" s="304" t="str">
        <f t="shared" si="647"/>
        <v/>
      </c>
      <c r="BD1035" s="304" t="str">
        <f t="shared" si="647"/>
        <v/>
      </c>
      <c r="BE1035" s="28"/>
      <c r="BF1035" s="304" t="str">
        <f t="shared" si="648"/>
        <v/>
      </c>
      <c r="BG1035" s="304" t="str">
        <f t="shared" si="648"/>
        <v/>
      </c>
      <c r="BH1035" s="28"/>
      <c r="BI1035" s="304" t="str">
        <f t="shared" si="649"/>
        <v/>
      </c>
      <c r="BJ1035" s="304" t="str">
        <f t="shared" si="649"/>
        <v/>
      </c>
      <c r="BK1035" s="28"/>
      <c r="BL1035" s="304" t="str">
        <f t="shared" si="650"/>
        <v/>
      </c>
      <c r="BM1035" s="304" t="str">
        <f t="shared" si="650"/>
        <v/>
      </c>
      <c r="BN1035" s="28"/>
      <c r="BO1035" s="304" t="str">
        <f t="shared" si="651"/>
        <v/>
      </c>
      <c r="BP1035" s="304" t="str">
        <f t="shared" si="651"/>
        <v/>
      </c>
      <c r="BQ1035" s="28"/>
      <c r="BR1035" s="304" t="str">
        <f t="shared" si="652"/>
        <v/>
      </c>
      <c r="BS1035" s="304" t="str">
        <f t="shared" si="652"/>
        <v/>
      </c>
      <c r="BT1035" s="28"/>
      <c r="BU1035" s="304" t="str">
        <f t="shared" si="653"/>
        <v/>
      </c>
      <c r="BV1035" s="304" t="str">
        <f t="shared" si="653"/>
        <v/>
      </c>
      <c r="BW1035" s="28"/>
      <c r="BX1035" s="91"/>
    </row>
    <row r="1036" spans="1:76" s="55" customFormat="1" x14ac:dyDescent="0.25">
      <c r="A1036" s="195">
        <v>119</v>
      </c>
      <c r="B1036" s="216" t="str">
        <f t="shared" si="642"/>
        <v>OECD90: Veltman et al. 2018, A quantitative assessment of Beneficial Management Practices to reduce carbon and reactive nitrogen footprints and phosphorus losses on dairy farms in the US Great Lakes region</v>
      </c>
      <c r="C1036" s="219" t="s">
        <v>345</v>
      </c>
      <c r="D1036" s="352" t="s">
        <v>346</v>
      </c>
      <c r="E1036" s="219" t="s">
        <v>96</v>
      </c>
      <c r="F1036" s="352" t="s">
        <v>347</v>
      </c>
      <c r="G1036" s="220" t="s">
        <v>24</v>
      </c>
      <c r="H1036" s="221">
        <v>2018</v>
      </c>
      <c r="I1036" s="240"/>
      <c r="J1036" s="369">
        <v>0.99</v>
      </c>
      <c r="K1036" s="382" t="s">
        <v>672</v>
      </c>
      <c r="L1036" s="334">
        <f t="shared" si="662"/>
        <v>1.546875E-2</v>
      </c>
      <c r="M1036" s="335" t="str">
        <f>'[1]Advanced Controls'!$I$158</f>
        <v>t CH4-CO2eq per kg of protein</v>
      </c>
      <c r="N1036" s="227"/>
      <c r="O1036" s="227" t="s">
        <v>677</v>
      </c>
      <c r="P1036" s="122"/>
      <c r="Q1036" s="228"/>
      <c r="R1036" s="231">
        <f t="shared" si="658"/>
        <v>1.546875E-2</v>
      </c>
      <c r="S1036" s="230">
        <f t="shared" si="657"/>
        <v>1.546875E-2</v>
      </c>
      <c r="T1036" s="231">
        <f>IF(OR(Q1036="Y",IFERROR(R1036&gt;R1048+R1052*$AA$35,0),IFERROR(R1036&lt;R1048-R1052*$AA$35,0)),"",IFERROR(R1036*N1036,""))</f>
        <v>0</v>
      </c>
      <c r="U1036" s="232" t="str">
        <f t="shared" si="644"/>
        <v>t CH4-CO2eq per kg of protein</v>
      </c>
      <c r="V1036" s="28"/>
      <c r="W1036" s="28"/>
      <c r="Y1036" s="91"/>
      <c r="AO1036" s="91"/>
      <c r="AP1036" s="28"/>
      <c r="AQ1036" s="28"/>
      <c r="AR1036" s="237"/>
      <c r="AS1036" s="28"/>
      <c r="AT1036" s="304" t="str">
        <f t="shared" si="663"/>
        <v/>
      </c>
      <c r="AU1036" s="304" t="str">
        <f t="shared" si="663"/>
        <v/>
      </c>
      <c r="AV1036" s="28"/>
      <c r="AW1036" s="304">
        <f t="shared" si="645"/>
        <v>1.546875E-2</v>
      </c>
      <c r="AX1036" s="304">
        <f t="shared" si="645"/>
        <v>1.546875E-2</v>
      </c>
      <c r="AY1036" s="28"/>
      <c r="AZ1036" s="304" t="str">
        <f t="shared" si="646"/>
        <v/>
      </c>
      <c r="BA1036" s="304" t="str">
        <f t="shared" si="646"/>
        <v/>
      </c>
      <c r="BB1036" s="28"/>
      <c r="BC1036" s="304" t="str">
        <f t="shared" si="647"/>
        <v/>
      </c>
      <c r="BD1036" s="304" t="str">
        <f t="shared" si="647"/>
        <v/>
      </c>
      <c r="BE1036" s="28"/>
      <c r="BF1036" s="304" t="str">
        <f t="shared" si="648"/>
        <v/>
      </c>
      <c r="BG1036" s="304" t="str">
        <f t="shared" si="648"/>
        <v/>
      </c>
      <c r="BH1036" s="28"/>
      <c r="BI1036" s="304" t="str">
        <f t="shared" si="649"/>
        <v/>
      </c>
      <c r="BJ1036" s="304" t="str">
        <f t="shared" si="649"/>
        <v/>
      </c>
      <c r="BK1036" s="28"/>
      <c r="BL1036" s="304" t="str">
        <f t="shared" si="650"/>
        <v/>
      </c>
      <c r="BM1036" s="304" t="str">
        <f t="shared" si="650"/>
        <v/>
      </c>
      <c r="BN1036" s="28"/>
      <c r="BO1036" s="304" t="str">
        <f t="shared" si="651"/>
        <v/>
      </c>
      <c r="BP1036" s="304" t="str">
        <f t="shared" si="651"/>
        <v/>
      </c>
      <c r="BQ1036" s="28"/>
      <c r="BR1036" s="304" t="str">
        <f t="shared" si="652"/>
        <v/>
      </c>
      <c r="BS1036" s="304" t="str">
        <f t="shared" si="652"/>
        <v/>
      </c>
      <c r="BT1036" s="28"/>
      <c r="BU1036" s="304" t="str">
        <f t="shared" si="653"/>
        <v/>
      </c>
      <c r="BV1036" s="304" t="str">
        <f t="shared" si="653"/>
        <v/>
      </c>
      <c r="BW1036" s="28"/>
      <c r="BX1036" s="91"/>
    </row>
    <row r="1037" spans="1:76" s="55" customFormat="1" x14ac:dyDescent="0.25">
      <c r="A1037" s="195">
        <v>120</v>
      </c>
      <c r="B1037" s="216" t="str">
        <f t="shared" si="642"/>
        <v>OECD90: Veltman et al. 2018, A quantitative assessment of Beneficial Management Practices to reduce carbon and reactive nitrogen footprints and phosphorus losses on dairy farms in the US Great Lakes region</v>
      </c>
      <c r="C1037" s="219" t="s">
        <v>345</v>
      </c>
      <c r="D1037" s="352" t="s">
        <v>346</v>
      </c>
      <c r="E1037" s="219" t="s">
        <v>96</v>
      </c>
      <c r="F1037" s="352" t="s">
        <v>347</v>
      </c>
      <c r="G1037" s="220" t="s">
        <v>24</v>
      </c>
      <c r="H1037" s="221">
        <v>2018</v>
      </c>
      <c r="I1037" s="240"/>
      <c r="J1037" s="369">
        <v>0.79</v>
      </c>
      <c r="K1037" s="382" t="s">
        <v>672</v>
      </c>
      <c r="L1037" s="334">
        <f t="shared" si="662"/>
        <v>1.2343750000000001E-2</v>
      </c>
      <c r="M1037" s="335" t="str">
        <f>'[1]Advanced Controls'!$I$158</f>
        <v>t CH4-CO2eq per kg of protein</v>
      </c>
      <c r="N1037" s="227"/>
      <c r="O1037" s="227" t="s">
        <v>678</v>
      </c>
      <c r="P1037" s="122"/>
      <c r="Q1037" s="228"/>
      <c r="R1037" s="231">
        <f t="shared" si="658"/>
        <v>1.2343750000000001E-2</v>
      </c>
      <c r="S1037" s="230">
        <f t="shared" si="657"/>
        <v>1.2343750000000001E-2</v>
      </c>
      <c r="T1037" s="231">
        <f>IF(OR(Q1037="Y",IFERROR(R1037&gt;R1048+R1052*$AA$35,0),IFERROR(R1037&lt;R1048-R1052*$AA$35,0)),"",IFERROR(R1037*N1037,""))</f>
        <v>0</v>
      </c>
      <c r="U1037" s="232" t="str">
        <f t="shared" si="644"/>
        <v>t CH4-CO2eq per kg of protein</v>
      </c>
      <c r="V1037" s="28"/>
      <c r="W1037" s="28"/>
      <c r="Y1037" s="91"/>
      <c r="AO1037" s="91"/>
      <c r="AP1037" s="28"/>
      <c r="AQ1037" s="28"/>
      <c r="AR1037" s="237"/>
      <c r="AS1037" s="28"/>
      <c r="AT1037" s="304" t="str">
        <f t="shared" si="663"/>
        <v/>
      </c>
      <c r="AU1037" s="304" t="str">
        <f t="shared" si="663"/>
        <v/>
      </c>
      <c r="AV1037" s="28"/>
      <c r="AW1037" s="304">
        <f t="shared" si="645"/>
        <v>1.2343750000000001E-2</v>
      </c>
      <c r="AX1037" s="304">
        <f t="shared" si="645"/>
        <v>1.2343750000000001E-2</v>
      </c>
      <c r="AY1037" s="28"/>
      <c r="AZ1037" s="304" t="str">
        <f t="shared" si="646"/>
        <v/>
      </c>
      <c r="BA1037" s="304" t="str">
        <f t="shared" si="646"/>
        <v/>
      </c>
      <c r="BB1037" s="28"/>
      <c r="BC1037" s="304" t="str">
        <f t="shared" si="647"/>
        <v/>
      </c>
      <c r="BD1037" s="304" t="str">
        <f t="shared" si="647"/>
        <v/>
      </c>
      <c r="BE1037" s="28"/>
      <c r="BF1037" s="304" t="str">
        <f t="shared" si="648"/>
        <v/>
      </c>
      <c r="BG1037" s="304" t="str">
        <f t="shared" si="648"/>
        <v/>
      </c>
      <c r="BH1037" s="28"/>
      <c r="BI1037" s="304" t="str">
        <f t="shared" si="649"/>
        <v/>
      </c>
      <c r="BJ1037" s="304" t="str">
        <f t="shared" si="649"/>
        <v/>
      </c>
      <c r="BK1037" s="28"/>
      <c r="BL1037" s="304" t="str">
        <f t="shared" si="650"/>
        <v/>
      </c>
      <c r="BM1037" s="304" t="str">
        <f t="shared" si="650"/>
        <v/>
      </c>
      <c r="BN1037" s="28"/>
      <c r="BO1037" s="304" t="str">
        <f t="shared" si="651"/>
        <v/>
      </c>
      <c r="BP1037" s="304" t="str">
        <f t="shared" si="651"/>
        <v/>
      </c>
      <c r="BQ1037" s="28"/>
      <c r="BR1037" s="304" t="str">
        <f t="shared" si="652"/>
        <v/>
      </c>
      <c r="BS1037" s="304" t="str">
        <f t="shared" si="652"/>
        <v/>
      </c>
      <c r="BT1037" s="28"/>
      <c r="BU1037" s="304" t="str">
        <f t="shared" si="653"/>
        <v/>
      </c>
      <c r="BV1037" s="304" t="str">
        <f t="shared" si="653"/>
        <v/>
      </c>
      <c r="BW1037" s="28"/>
      <c r="BX1037" s="91"/>
    </row>
    <row r="1038" spans="1:76" s="55" customFormat="1" x14ac:dyDescent="0.25">
      <c r="A1038" s="195">
        <v>121</v>
      </c>
      <c r="B1038" s="216" t="str">
        <f t="shared" si="642"/>
        <v>OECD90: Veltman et al. 2018, A quantitative assessment of Beneficial Management Practices to reduce carbon and reactive nitrogen footprints and phosphorus losses on dairy farms in the US Great Lakes region</v>
      </c>
      <c r="C1038" s="219" t="s">
        <v>345</v>
      </c>
      <c r="D1038" s="352" t="s">
        <v>346</v>
      </c>
      <c r="E1038" s="219" t="s">
        <v>96</v>
      </c>
      <c r="F1038" s="352" t="s">
        <v>354</v>
      </c>
      <c r="G1038" s="220" t="s">
        <v>24</v>
      </c>
      <c r="H1038" s="221">
        <v>2018</v>
      </c>
      <c r="I1038" s="240"/>
      <c r="J1038" s="369">
        <v>0.98</v>
      </c>
      <c r="K1038" s="382" t="s">
        <v>672</v>
      </c>
      <c r="L1038" s="334">
        <f t="shared" si="662"/>
        <v>1.53125E-2</v>
      </c>
      <c r="M1038" s="335" t="str">
        <f>'[1]Advanced Controls'!$I$158</f>
        <v>t CH4-CO2eq per kg of protein</v>
      </c>
      <c r="N1038" s="227"/>
      <c r="O1038" s="227" t="s">
        <v>679</v>
      </c>
      <c r="P1038" s="122"/>
      <c r="Q1038" s="228"/>
      <c r="R1038" s="231">
        <f t="shared" si="658"/>
        <v>1.53125E-2</v>
      </c>
      <c r="S1038" s="230">
        <f t="shared" si="657"/>
        <v>1.53125E-2</v>
      </c>
      <c r="T1038" s="231">
        <f>IF(OR(Q1038="Y",IFERROR(R1038&gt;R1048+R1052*$AA$35,0),IFERROR(R1038&lt;R1048-R1052*$AA$35,0)),"",IFERROR(R1038*N1038,""))</f>
        <v>0</v>
      </c>
      <c r="U1038" s="232" t="str">
        <f t="shared" si="644"/>
        <v>t CH4-CO2eq per kg of protein</v>
      </c>
      <c r="V1038" s="28"/>
      <c r="W1038" s="28"/>
      <c r="Y1038" s="91"/>
      <c r="AO1038" s="91"/>
      <c r="AP1038" s="28"/>
      <c r="AQ1038" s="28"/>
      <c r="AR1038" s="237"/>
      <c r="AS1038" s="28"/>
      <c r="AT1038" s="304" t="str">
        <f t="shared" si="663"/>
        <v/>
      </c>
      <c r="AU1038" s="304" t="str">
        <f t="shared" si="663"/>
        <v/>
      </c>
      <c r="AV1038" s="28"/>
      <c r="AW1038" s="304">
        <f t="shared" si="645"/>
        <v>1.53125E-2</v>
      </c>
      <c r="AX1038" s="304">
        <f t="shared" si="645"/>
        <v>1.53125E-2</v>
      </c>
      <c r="AY1038" s="28"/>
      <c r="AZ1038" s="304" t="str">
        <f t="shared" si="646"/>
        <v/>
      </c>
      <c r="BA1038" s="304" t="str">
        <f t="shared" si="646"/>
        <v/>
      </c>
      <c r="BB1038" s="28"/>
      <c r="BC1038" s="304" t="str">
        <f t="shared" si="647"/>
        <v/>
      </c>
      <c r="BD1038" s="304" t="str">
        <f t="shared" si="647"/>
        <v/>
      </c>
      <c r="BE1038" s="28"/>
      <c r="BF1038" s="304" t="str">
        <f t="shared" si="648"/>
        <v/>
      </c>
      <c r="BG1038" s="304" t="str">
        <f t="shared" si="648"/>
        <v/>
      </c>
      <c r="BH1038" s="28"/>
      <c r="BI1038" s="304" t="str">
        <f t="shared" si="649"/>
        <v/>
      </c>
      <c r="BJ1038" s="304" t="str">
        <f t="shared" si="649"/>
        <v/>
      </c>
      <c r="BK1038" s="28"/>
      <c r="BL1038" s="304" t="str">
        <f t="shared" si="650"/>
        <v/>
      </c>
      <c r="BM1038" s="304" t="str">
        <f t="shared" si="650"/>
        <v/>
      </c>
      <c r="BN1038" s="28"/>
      <c r="BO1038" s="304" t="str">
        <f t="shared" si="651"/>
        <v/>
      </c>
      <c r="BP1038" s="304" t="str">
        <f t="shared" si="651"/>
        <v/>
      </c>
      <c r="BQ1038" s="28"/>
      <c r="BR1038" s="304" t="str">
        <f t="shared" si="652"/>
        <v/>
      </c>
      <c r="BS1038" s="304" t="str">
        <f t="shared" si="652"/>
        <v/>
      </c>
      <c r="BT1038" s="28"/>
      <c r="BU1038" s="304" t="str">
        <f t="shared" si="653"/>
        <v/>
      </c>
      <c r="BV1038" s="304" t="str">
        <f t="shared" si="653"/>
        <v/>
      </c>
      <c r="BW1038" s="28"/>
      <c r="BX1038" s="91"/>
    </row>
    <row r="1039" spans="1:76" s="55" customFormat="1" x14ac:dyDescent="0.25">
      <c r="A1039" s="195">
        <v>122</v>
      </c>
      <c r="B1039" s="216" t="str">
        <f t="shared" si="642"/>
        <v>OECD90: Veltman et al. 2018, A quantitative assessment of Beneficial Management Practices to reduce carbon and reactive nitrogen footprints and phosphorus losses on dairy farms in the US Great Lakes region</v>
      </c>
      <c r="C1039" s="219" t="s">
        <v>345</v>
      </c>
      <c r="D1039" s="352" t="s">
        <v>346</v>
      </c>
      <c r="E1039" s="219" t="s">
        <v>96</v>
      </c>
      <c r="F1039" s="352" t="s">
        <v>354</v>
      </c>
      <c r="G1039" s="220" t="s">
        <v>24</v>
      </c>
      <c r="H1039" s="221">
        <v>2018</v>
      </c>
      <c r="I1039" s="240"/>
      <c r="J1039" s="369">
        <v>1.03</v>
      </c>
      <c r="K1039" s="382" t="s">
        <v>672</v>
      </c>
      <c r="L1039" s="334">
        <f t="shared" si="662"/>
        <v>1.609375E-2</v>
      </c>
      <c r="M1039" s="335" t="str">
        <f>'[1]Advanced Controls'!$I$158</f>
        <v>t CH4-CO2eq per kg of protein</v>
      </c>
      <c r="N1039" s="227"/>
      <c r="O1039" s="227" t="s">
        <v>680</v>
      </c>
      <c r="P1039" s="122"/>
      <c r="Q1039" s="228"/>
      <c r="R1039" s="231">
        <f t="shared" si="658"/>
        <v>1.609375E-2</v>
      </c>
      <c r="S1039" s="230">
        <f t="shared" si="657"/>
        <v>1.609375E-2</v>
      </c>
      <c r="T1039" s="231">
        <f>IF(OR(Q1039="Y",IFERROR(R1039&gt;R1048+R1052*$AA$35,0),IFERROR(R1039&lt;R1048-R1052*$AA$35,0)),"",IFERROR(R1039*N1039,""))</f>
        <v>0</v>
      </c>
      <c r="U1039" s="232" t="str">
        <f t="shared" si="644"/>
        <v>t CH4-CO2eq per kg of protein</v>
      </c>
      <c r="V1039" s="28"/>
      <c r="W1039" s="28"/>
      <c r="Y1039" s="91"/>
      <c r="AO1039" s="91"/>
      <c r="AP1039" s="28"/>
      <c r="AQ1039" s="28"/>
      <c r="AR1039" s="237"/>
      <c r="AS1039" s="28"/>
      <c r="AT1039" s="304" t="str">
        <f t="shared" si="663"/>
        <v/>
      </c>
      <c r="AU1039" s="304" t="str">
        <f t="shared" si="663"/>
        <v/>
      </c>
      <c r="AV1039" s="28"/>
      <c r="AW1039" s="304">
        <f t="shared" si="645"/>
        <v>1.609375E-2</v>
      </c>
      <c r="AX1039" s="304">
        <f t="shared" si="645"/>
        <v>1.609375E-2</v>
      </c>
      <c r="AY1039" s="28"/>
      <c r="AZ1039" s="304" t="str">
        <f t="shared" si="646"/>
        <v/>
      </c>
      <c r="BA1039" s="304" t="str">
        <f t="shared" si="646"/>
        <v/>
      </c>
      <c r="BB1039" s="28"/>
      <c r="BC1039" s="304" t="str">
        <f t="shared" si="647"/>
        <v/>
      </c>
      <c r="BD1039" s="304" t="str">
        <f t="shared" si="647"/>
        <v/>
      </c>
      <c r="BE1039" s="28"/>
      <c r="BF1039" s="304" t="str">
        <f t="shared" si="648"/>
        <v/>
      </c>
      <c r="BG1039" s="304" t="str">
        <f t="shared" si="648"/>
        <v/>
      </c>
      <c r="BH1039" s="28"/>
      <c r="BI1039" s="304" t="str">
        <f t="shared" si="649"/>
        <v/>
      </c>
      <c r="BJ1039" s="304" t="str">
        <f t="shared" si="649"/>
        <v/>
      </c>
      <c r="BK1039" s="28"/>
      <c r="BL1039" s="304" t="str">
        <f t="shared" si="650"/>
        <v/>
      </c>
      <c r="BM1039" s="304" t="str">
        <f t="shared" si="650"/>
        <v/>
      </c>
      <c r="BN1039" s="28"/>
      <c r="BO1039" s="304" t="str">
        <f t="shared" si="651"/>
        <v/>
      </c>
      <c r="BP1039" s="304" t="str">
        <f t="shared" si="651"/>
        <v/>
      </c>
      <c r="BQ1039" s="28"/>
      <c r="BR1039" s="304" t="str">
        <f t="shared" si="652"/>
        <v/>
      </c>
      <c r="BS1039" s="304" t="str">
        <f t="shared" si="652"/>
        <v/>
      </c>
      <c r="BT1039" s="28"/>
      <c r="BU1039" s="304" t="str">
        <f t="shared" si="653"/>
        <v/>
      </c>
      <c r="BV1039" s="304" t="str">
        <f t="shared" si="653"/>
        <v/>
      </c>
      <c r="BW1039" s="28"/>
      <c r="BX1039" s="91"/>
    </row>
    <row r="1040" spans="1:76" s="55" customFormat="1" x14ac:dyDescent="0.25">
      <c r="A1040" s="195">
        <v>123</v>
      </c>
      <c r="B1040" s="216" t="str">
        <f t="shared" si="642"/>
        <v>OECD90: Veltman et al. 2018, A quantitative assessment of Beneficial Management Practices to reduce carbon and reactive nitrogen footprints and phosphorus losses on dairy farms in the US Great Lakes region</v>
      </c>
      <c r="C1040" s="219" t="s">
        <v>345</v>
      </c>
      <c r="D1040" s="352" t="s">
        <v>346</v>
      </c>
      <c r="E1040" s="219" t="s">
        <v>96</v>
      </c>
      <c r="F1040" s="352" t="s">
        <v>354</v>
      </c>
      <c r="G1040" s="220" t="s">
        <v>24</v>
      </c>
      <c r="H1040" s="221">
        <v>2018</v>
      </c>
      <c r="I1040" s="240"/>
      <c r="J1040" s="369">
        <v>1.07</v>
      </c>
      <c r="K1040" s="382" t="s">
        <v>672</v>
      </c>
      <c r="L1040" s="334">
        <f t="shared" si="662"/>
        <v>1.6718750000000001E-2</v>
      </c>
      <c r="M1040" s="335" t="str">
        <f>'[1]Advanced Controls'!$I$158</f>
        <v>t CH4-CO2eq per kg of protein</v>
      </c>
      <c r="N1040" s="227"/>
      <c r="O1040" s="227" t="s">
        <v>681</v>
      </c>
      <c r="P1040" s="122"/>
      <c r="Q1040" s="228"/>
      <c r="R1040" s="231">
        <f t="shared" si="658"/>
        <v>1.6718750000000001E-2</v>
      </c>
      <c r="S1040" s="230">
        <f t="shared" si="657"/>
        <v>1.6718750000000001E-2</v>
      </c>
      <c r="T1040" s="231">
        <f>IF(OR(Q1040="Y",IFERROR(R1040&gt;R1048+R1052*$AA$35,0),IFERROR(R1040&lt;R1048-R1052*$AA$35,0)),"",IFERROR(R1040*N1040,""))</f>
        <v>0</v>
      </c>
      <c r="U1040" s="232" t="str">
        <f t="shared" si="644"/>
        <v>t CH4-CO2eq per kg of protein</v>
      </c>
      <c r="V1040" s="28"/>
      <c r="W1040" s="28"/>
      <c r="Y1040" s="91"/>
      <c r="AO1040" s="91"/>
      <c r="AP1040" s="28"/>
      <c r="AQ1040" s="28"/>
      <c r="AR1040" s="237"/>
      <c r="AS1040" s="28"/>
      <c r="AT1040" s="304" t="str">
        <f t="shared" si="663"/>
        <v/>
      </c>
      <c r="AU1040" s="304" t="str">
        <f t="shared" si="663"/>
        <v/>
      </c>
      <c r="AV1040" s="28"/>
      <c r="AW1040" s="304">
        <f t="shared" si="645"/>
        <v>1.6718750000000001E-2</v>
      </c>
      <c r="AX1040" s="304">
        <f t="shared" si="645"/>
        <v>1.6718750000000001E-2</v>
      </c>
      <c r="AY1040" s="28"/>
      <c r="AZ1040" s="304" t="str">
        <f t="shared" si="646"/>
        <v/>
      </c>
      <c r="BA1040" s="304" t="str">
        <f t="shared" si="646"/>
        <v/>
      </c>
      <c r="BB1040" s="28"/>
      <c r="BC1040" s="304" t="str">
        <f t="shared" si="647"/>
        <v/>
      </c>
      <c r="BD1040" s="304" t="str">
        <f t="shared" si="647"/>
        <v/>
      </c>
      <c r="BE1040" s="28"/>
      <c r="BF1040" s="304" t="str">
        <f t="shared" si="648"/>
        <v/>
      </c>
      <c r="BG1040" s="304" t="str">
        <f t="shared" si="648"/>
        <v/>
      </c>
      <c r="BH1040" s="28"/>
      <c r="BI1040" s="304" t="str">
        <f t="shared" si="649"/>
        <v/>
      </c>
      <c r="BJ1040" s="304" t="str">
        <f t="shared" si="649"/>
        <v/>
      </c>
      <c r="BK1040" s="28"/>
      <c r="BL1040" s="304" t="str">
        <f t="shared" si="650"/>
        <v/>
      </c>
      <c r="BM1040" s="304" t="str">
        <f t="shared" si="650"/>
        <v/>
      </c>
      <c r="BN1040" s="28"/>
      <c r="BO1040" s="304" t="str">
        <f t="shared" si="651"/>
        <v/>
      </c>
      <c r="BP1040" s="304" t="str">
        <f t="shared" si="651"/>
        <v/>
      </c>
      <c r="BQ1040" s="28"/>
      <c r="BR1040" s="304" t="str">
        <f t="shared" si="652"/>
        <v/>
      </c>
      <c r="BS1040" s="304" t="str">
        <f t="shared" si="652"/>
        <v/>
      </c>
      <c r="BT1040" s="28"/>
      <c r="BU1040" s="304" t="str">
        <f t="shared" si="653"/>
        <v/>
      </c>
      <c r="BV1040" s="304" t="str">
        <f t="shared" si="653"/>
        <v/>
      </c>
      <c r="BW1040" s="28"/>
      <c r="BX1040" s="91"/>
    </row>
    <row r="1041" spans="1:76" s="55" customFormat="1" x14ac:dyDescent="0.25">
      <c r="A1041" s="195">
        <v>124</v>
      </c>
      <c r="B1041" s="216" t="str">
        <f t="shared" si="642"/>
        <v>OECD90: Veltman et al. 2018, A quantitative assessment of Beneficial Management Practices to reduce carbon and reactive nitrogen footprints and phosphorus losses on dairy farms in the US Great Lakes region</v>
      </c>
      <c r="C1041" s="219" t="s">
        <v>345</v>
      </c>
      <c r="D1041" s="352" t="s">
        <v>346</v>
      </c>
      <c r="E1041" s="219" t="s">
        <v>96</v>
      </c>
      <c r="F1041" s="352" t="s">
        <v>354</v>
      </c>
      <c r="G1041" s="220" t="s">
        <v>24</v>
      </c>
      <c r="H1041" s="221">
        <v>2018</v>
      </c>
      <c r="I1041" s="240"/>
      <c r="J1041" s="369">
        <v>1.08</v>
      </c>
      <c r="K1041" s="382" t="s">
        <v>672</v>
      </c>
      <c r="L1041" s="334">
        <f t="shared" si="662"/>
        <v>1.6875000000000001E-2</v>
      </c>
      <c r="M1041" s="335" t="str">
        <f>'[1]Advanced Controls'!$I$158</f>
        <v>t CH4-CO2eq per kg of protein</v>
      </c>
      <c r="N1041" s="227"/>
      <c r="O1041" s="227" t="s">
        <v>682</v>
      </c>
      <c r="P1041" s="122"/>
      <c r="Q1041" s="228"/>
      <c r="R1041" s="231">
        <f t="shared" si="658"/>
        <v>1.6875000000000001E-2</v>
      </c>
      <c r="S1041" s="230">
        <f t="shared" si="657"/>
        <v>1.6875000000000001E-2</v>
      </c>
      <c r="T1041" s="231">
        <f>IF(OR(Q1041="Y",IFERROR(R1041&gt;R1048+R1052*$AA$35,0),IFERROR(R1041&lt;R1048-R1052*$AA$35,0)),"",IFERROR(R1041*N1041,""))</f>
        <v>0</v>
      </c>
      <c r="U1041" s="232" t="str">
        <f t="shared" si="644"/>
        <v>t CH4-CO2eq per kg of protein</v>
      </c>
      <c r="V1041" s="28"/>
      <c r="W1041" s="28"/>
      <c r="Y1041" s="91"/>
      <c r="AO1041" s="91"/>
      <c r="AP1041" s="28"/>
      <c r="AQ1041" s="28"/>
      <c r="AR1041" s="237"/>
      <c r="AS1041" s="28"/>
      <c r="AT1041" s="304" t="str">
        <f t="shared" si="663"/>
        <v/>
      </c>
      <c r="AU1041" s="304" t="str">
        <f t="shared" si="663"/>
        <v/>
      </c>
      <c r="AV1041" s="28"/>
      <c r="AW1041" s="304">
        <f t="shared" si="645"/>
        <v>1.6875000000000001E-2</v>
      </c>
      <c r="AX1041" s="304">
        <f t="shared" si="645"/>
        <v>1.6875000000000001E-2</v>
      </c>
      <c r="AY1041" s="28"/>
      <c r="AZ1041" s="304" t="str">
        <f t="shared" si="646"/>
        <v/>
      </c>
      <c r="BA1041" s="304" t="str">
        <f t="shared" si="646"/>
        <v/>
      </c>
      <c r="BB1041" s="28"/>
      <c r="BC1041" s="304" t="str">
        <f t="shared" si="647"/>
        <v/>
      </c>
      <c r="BD1041" s="304" t="str">
        <f t="shared" si="647"/>
        <v/>
      </c>
      <c r="BE1041" s="28"/>
      <c r="BF1041" s="304" t="str">
        <f t="shared" si="648"/>
        <v/>
      </c>
      <c r="BG1041" s="304" t="str">
        <f t="shared" si="648"/>
        <v/>
      </c>
      <c r="BH1041" s="28"/>
      <c r="BI1041" s="304" t="str">
        <f t="shared" si="649"/>
        <v/>
      </c>
      <c r="BJ1041" s="304" t="str">
        <f t="shared" si="649"/>
        <v/>
      </c>
      <c r="BK1041" s="28"/>
      <c r="BL1041" s="304" t="str">
        <f t="shared" si="650"/>
        <v/>
      </c>
      <c r="BM1041" s="304" t="str">
        <f t="shared" si="650"/>
        <v/>
      </c>
      <c r="BN1041" s="28"/>
      <c r="BO1041" s="304" t="str">
        <f t="shared" si="651"/>
        <v/>
      </c>
      <c r="BP1041" s="304" t="str">
        <f t="shared" si="651"/>
        <v/>
      </c>
      <c r="BQ1041" s="28"/>
      <c r="BR1041" s="304" t="str">
        <f t="shared" si="652"/>
        <v/>
      </c>
      <c r="BS1041" s="304" t="str">
        <f t="shared" si="652"/>
        <v/>
      </c>
      <c r="BT1041" s="28"/>
      <c r="BU1041" s="304" t="str">
        <f t="shared" si="653"/>
        <v/>
      </c>
      <c r="BV1041" s="304" t="str">
        <f t="shared" si="653"/>
        <v/>
      </c>
      <c r="BW1041" s="28"/>
      <c r="BX1041" s="91"/>
    </row>
    <row r="1042" spans="1:76" s="55" customFormat="1" x14ac:dyDescent="0.25">
      <c r="A1042" s="195">
        <v>125</v>
      </c>
      <c r="B1042" s="216" t="str">
        <f t="shared" si="642"/>
        <v>OECD90: Veltman et al. 2018, A quantitative assessment of Beneficial Management Practices to reduce carbon and reactive nitrogen footprints and phosphorus losses on dairy farms in the US Great Lakes region</v>
      </c>
      <c r="C1042" s="219" t="s">
        <v>345</v>
      </c>
      <c r="D1042" s="352" t="s">
        <v>346</v>
      </c>
      <c r="E1042" s="219" t="s">
        <v>96</v>
      </c>
      <c r="F1042" s="352" t="s">
        <v>354</v>
      </c>
      <c r="G1042" s="220" t="s">
        <v>24</v>
      </c>
      <c r="H1042" s="221">
        <v>2018</v>
      </c>
      <c r="I1042" s="240"/>
      <c r="J1042" s="369">
        <v>1.1000000000000001</v>
      </c>
      <c r="K1042" s="382" t="s">
        <v>672</v>
      </c>
      <c r="L1042" s="334">
        <f t="shared" si="662"/>
        <v>1.7187500000000001E-2</v>
      </c>
      <c r="M1042" s="335" t="str">
        <f>'[1]Advanced Controls'!$I$158</f>
        <v>t CH4-CO2eq per kg of protein</v>
      </c>
      <c r="N1042" s="227"/>
      <c r="O1042" s="227" t="s">
        <v>683</v>
      </c>
      <c r="P1042" s="122"/>
      <c r="Q1042" s="228"/>
      <c r="R1042" s="231">
        <f t="shared" si="658"/>
        <v>1.7187500000000001E-2</v>
      </c>
      <c r="S1042" s="230">
        <f t="shared" si="657"/>
        <v>1.7187500000000001E-2</v>
      </c>
      <c r="T1042" s="231">
        <f>IF(OR(Q1042="Y",IFERROR(R1042&gt;R1048+R1052*$AA$35,0),IFERROR(R1042&lt;R1048-R1052*$AA$35,0)),"",IFERROR(R1042*N1042,""))</f>
        <v>0</v>
      </c>
      <c r="U1042" s="232" t="str">
        <f t="shared" si="644"/>
        <v>t CH4-CO2eq per kg of protein</v>
      </c>
      <c r="V1042" s="28"/>
      <c r="W1042" s="28"/>
      <c r="Y1042" s="91"/>
      <c r="AO1042" s="91"/>
      <c r="AP1042" s="28"/>
      <c r="AQ1042" s="28"/>
      <c r="AR1042" s="237"/>
      <c r="AS1042" s="28"/>
      <c r="AT1042" s="304" t="str">
        <f t="shared" si="663"/>
        <v/>
      </c>
      <c r="AU1042" s="304" t="str">
        <f t="shared" si="663"/>
        <v/>
      </c>
      <c r="AV1042" s="28"/>
      <c r="AW1042" s="304">
        <f t="shared" si="645"/>
        <v>1.7187500000000001E-2</v>
      </c>
      <c r="AX1042" s="304">
        <f t="shared" si="645"/>
        <v>1.7187500000000001E-2</v>
      </c>
      <c r="AY1042" s="28"/>
      <c r="AZ1042" s="304" t="str">
        <f t="shared" si="646"/>
        <v/>
      </c>
      <c r="BA1042" s="304" t="str">
        <f t="shared" si="646"/>
        <v/>
      </c>
      <c r="BB1042" s="28"/>
      <c r="BC1042" s="304" t="str">
        <f t="shared" si="647"/>
        <v/>
      </c>
      <c r="BD1042" s="304" t="str">
        <f t="shared" si="647"/>
        <v/>
      </c>
      <c r="BE1042" s="28"/>
      <c r="BF1042" s="304" t="str">
        <f t="shared" si="648"/>
        <v/>
      </c>
      <c r="BG1042" s="304" t="str">
        <f t="shared" si="648"/>
        <v/>
      </c>
      <c r="BH1042" s="28"/>
      <c r="BI1042" s="304" t="str">
        <f t="shared" si="649"/>
        <v/>
      </c>
      <c r="BJ1042" s="304" t="str">
        <f t="shared" si="649"/>
        <v/>
      </c>
      <c r="BK1042" s="28"/>
      <c r="BL1042" s="304" t="str">
        <f t="shared" si="650"/>
        <v/>
      </c>
      <c r="BM1042" s="304" t="str">
        <f t="shared" si="650"/>
        <v/>
      </c>
      <c r="BN1042" s="28"/>
      <c r="BO1042" s="304" t="str">
        <f t="shared" si="651"/>
        <v/>
      </c>
      <c r="BP1042" s="304" t="str">
        <f t="shared" si="651"/>
        <v/>
      </c>
      <c r="BQ1042" s="28"/>
      <c r="BR1042" s="304" t="str">
        <f t="shared" si="652"/>
        <v/>
      </c>
      <c r="BS1042" s="304" t="str">
        <f t="shared" si="652"/>
        <v/>
      </c>
      <c r="BT1042" s="28"/>
      <c r="BU1042" s="304" t="str">
        <f t="shared" si="653"/>
        <v/>
      </c>
      <c r="BV1042" s="304" t="str">
        <f t="shared" si="653"/>
        <v/>
      </c>
      <c r="BW1042" s="28"/>
      <c r="BX1042" s="91"/>
    </row>
    <row r="1043" spans="1:76" s="55" customFormat="1" x14ac:dyDescent="0.25">
      <c r="A1043" s="195">
        <v>126</v>
      </c>
      <c r="B1043" s="216" t="str">
        <f t="shared" si="642"/>
        <v>OECD90: Veltman et al. 2018, A quantitative assessment of Beneficial Management Practices to reduce carbon and reactive nitrogen footprints and phosphorus losses on dairy farms in the US Great Lakes region</v>
      </c>
      <c r="C1043" s="219" t="s">
        <v>345</v>
      </c>
      <c r="D1043" s="352" t="s">
        <v>346</v>
      </c>
      <c r="E1043" s="219" t="s">
        <v>96</v>
      </c>
      <c r="F1043" s="352" t="s">
        <v>354</v>
      </c>
      <c r="G1043" s="220" t="s">
        <v>24</v>
      </c>
      <c r="H1043" s="221">
        <v>2018</v>
      </c>
      <c r="I1043" s="240"/>
      <c r="J1043" s="369">
        <v>0.86</v>
      </c>
      <c r="K1043" s="382" t="s">
        <v>672</v>
      </c>
      <c r="L1043" s="334">
        <f t="shared" si="662"/>
        <v>1.34375E-2</v>
      </c>
      <c r="M1043" s="335" t="str">
        <f>'[1]Advanced Controls'!$I$158</f>
        <v>t CH4-CO2eq per kg of protein</v>
      </c>
      <c r="N1043" s="227"/>
      <c r="O1043" s="227" t="s">
        <v>684</v>
      </c>
      <c r="P1043" s="122"/>
      <c r="Q1043" s="228"/>
      <c r="R1043" s="231">
        <f t="shared" si="658"/>
        <v>1.34375E-2</v>
      </c>
      <c r="S1043" s="230">
        <f t="shared" si="657"/>
        <v>1.34375E-2</v>
      </c>
      <c r="T1043" s="231">
        <f>IF(OR(Q1043="Y",IFERROR(R1043&gt;R1048+R1052*$AA$35,0),IFERROR(R1043&lt;R1048-R1052*$AA$35,0)),"",IFERROR(R1043*N1043,""))</f>
        <v>0</v>
      </c>
      <c r="U1043" s="232" t="str">
        <f t="shared" si="644"/>
        <v>t CH4-CO2eq per kg of protein</v>
      </c>
      <c r="V1043" s="28"/>
      <c r="W1043" s="28"/>
      <c r="Y1043" s="91"/>
      <c r="AO1043" s="91"/>
      <c r="AP1043" s="28"/>
      <c r="AQ1043" s="28"/>
      <c r="AR1043" s="237"/>
      <c r="AS1043" s="28"/>
      <c r="AT1043" s="304" t="str">
        <f t="shared" si="663"/>
        <v/>
      </c>
      <c r="AU1043" s="304" t="str">
        <f t="shared" si="663"/>
        <v/>
      </c>
      <c r="AV1043" s="28"/>
      <c r="AW1043" s="304">
        <f t="shared" si="645"/>
        <v>1.34375E-2</v>
      </c>
      <c r="AX1043" s="304">
        <f t="shared" si="645"/>
        <v>1.34375E-2</v>
      </c>
      <c r="AY1043" s="28"/>
      <c r="AZ1043" s="304" t="str">
        <f t="shared" si="646"/>
        <v/>
      </c>
      <c r="BA1043" s="304" t="str">
        <f t="shared" si="646"/>
        <v/>
      </c>
      <c r="BB1043" s="28"/>
      <c r="BC1043" s="304" t="str">
        <f t="shared" si="647"/>
        <v/>
      </c>
      <c r="BD1043" s="304" t="str">
        <f t="shared" si="647"/>
        <v/>
      </c>
      <c r="BE1043" s="28"/>
      <c r="BF1043" s="304" t="str">
        <f t="shared" si="648"/>
        <v/>
      </c>
      <c r="BG1043" s="304" t="str">
        <f t="shared" si="648"/>
        <v/>
      </c>
      <c r="BH1043" s="28"/>
      <c r="BI1043" s="304" t="str">
        <f t="shared" si="649"/>
        <v/>
      </c>
      <c r="BJ1043" s="304" t="str">
        <f t="shared" si="649"/>
        <v/>
      </c>
      <c r="BK1043" s="28"/>
      <c r="BL1043" s="304" t="str">
        <f t="shared" si="650"/>
        <v/>
      </c>
      <c r="BM1043" s="304" t="str">
        <f t="shared" si="650"/>
        <v/>
      </c>
      <c r="BN1043" s="28"/>
      <c r="BO1043" s="304" t="str">
        <f t="shared" si="651"/>
        <v/>
      </c>
      <c r="BP1043" s="304" t="str">
        <f t="shared" si="651"/>
        <v/>
      </c>
      <c r="BQ1043" s="28"/>
      <c r="BR1043" s="304" t="str">
        <f t="shared" si="652"/>
        <v/>
      </c>
      <c r="BS1043" s="304" t="str">
        <f t="shared" si="652"/>
        <v/>
      </c>
      <c r="BT1043" s="28"/>
      <c r="BU1043" s="304" t="str">
        <f t="shared" si="653"/>
        <v/>
      </c>
      <c r="BV1043" s="304" t="str">
        <f t="shared" si="653"/>
        <v/>
      </c>
      <c r="BW1043" s="28"/>
      <c r="BX1043" s="91"/>
    </row>
    <row r="1044" spans="1:76" s="55" customFormat="1" x14ac:dyDescent="0.25">
      <c r="A1044" s="195">
        <v>127</v>
      </c>
      <c r="B1044" s="216" t="str">
        <f t="shared" si="642"/>
        <v xml:space="preserve">: </v>
      </c>
      <c r="C1044" s="221"/>
      <c r="D1044" s="221"/>
      <c r="E1044" s="221"/>
      <c r="F1044" s="221"/>
      <c r="G1044" s="240"/>
      <c r="H1044" s="221"/>
      <c r="I1044" s="240"/>
      <c r="J1044" s="241"/>
      <c r="K1044" s="241"/>
      <c r="L1044" s="241"/>
      <c r="M1044" s="225" t="str">
        <f t="shared" ref="M1044:M1047" si="664">CONCATENATE("t CO2-eq/",FunctionalUnitOfMeasure)</f>
        <v>t CO2-eq/kg of protein</v>
      </c>
      <c r="N1044" s="227"/>
      <c r="O1044" s="241"/>
      <c r="P1044" s="122"/>
      <c r="Q1044" s="228"/>
      <c r="R1044" s="231" t="str">
        <f t="shared" si="658"/>
        <v/>
      </c>
      <c r="S1044" s="230" t="str">
        <f t="shared" si="657"/>
        <v/>
      </c>
      <c r="T1044" s="231" t="str">
        <f>IF(OR(Q1044="Y",IFERROR(R1044&gt;R1048+R1052*$AA$35,0),IFERROR(R1044&lt;R1048-R1052*$AA$35,0)),"",IFERROR(R1044*N1044,""))</f>
        <v/>
      </c>
      <c r="U1044" s="232" t="str">
        <f t="shared" si="644"/>
        <v>t CO2-eq/kg of protein</v>
      </c>
      <c r="V1044" s="28"/>
      <c r="W1044" s="28"/>
      <c r="Y1044" s="91"/>
      <c r="AO1044" s="91"/>
      <c r="AP1044" s="28"/>
      <c r="AQ1044" s="28"/>
      <c r="AR1044" s="237"/>
      <c r="AS1044" s="28"/>
      <c r="AT1044" s="304" t="str">
        <f t="shared" si="663"/>
        <v/>
      </c>
      <c r="AU1044" s="304" t="str">
        <f t="shared" si="663"/>
        <v/>
      </c>
      <c r="AV1044" s="28"/>
      <c r="AW1044" s="304" t="str">
        <f t="shared" si="645"/>
        <v/>
      </c>
      <c r="AX1044" s="304" t="str">
        <f t="shared" si="645"/>
        <v/>
      </c>
      <c r="AY1044" s="28"/>
      <c r="AZ1044" s="304" t="str">
        <f t="shared" si="646"/>
        <v/>
      </c>
      <c r="BA1044" s="304" t="str">
        <f t="shared" si="646"/>
        <v/>
      </c>
      <c r="BB1044" s="28"/>
      <c r="BC1044" s="304" t="str">
        <f t="shared" si="647"/>
        <v/>
      </c>
      <c r="BD1044" s="304" t="str">
        <f t="shared" si="647"/>
        <v/>
      </c>
      <c r="BE1044" s="28"/>
      <c r="BF1044" s="304" t="str">
        <f t="shared" si="648"/>
        <v/>
      </c>
      <c r="BG1044" s="304" t="str">
        <f t="shared" si="648"/>
        <v/>
      </c>
      <c r="BH1044" s="28"/>
      <c r="BI1044" s="304" t="str">
        <f t="shared" si="649"/>
        <v/>
      </c>
      <c r="BJ1044" s="304" t="str">
        <f t="shared" si="649"/>
        <v/>
      </c>
      <c r="BK1044" s="28"/>
      <c r="BL1044" s="304" t="str">
        <f t="shared" si="650"/>
        <v/>
      </c>
      <c r="BM1044" s="304" t="str">
        <f t="shared" si="650"/>
        <v/>
      </c>
      <c r="BN1044" s="28"/>
      <c r="BO1044" s="304" t="str">
        <f t="shared" si="651"/>
        <v/>
      </c>
      <c r="BP1044" s="304" t="str">
        <f t="shared" si="651"/>
        <v/>
      </c>
      <c r="BQ1044" s="28"/>
      <c r="BR1044" s="304" t="str">
        <f t="shared" si="652"/>
        <v/>
      </c>
      <c r="BS1044" s="304" t="str">
        <f t="shared" si="652"/>
        <v/>
      </c>
      <c r="BT1044" s="28"/>
      <c r="BU1044" s="304" t="str">
        <f t="shared" si="653"/>
        <v/>
      </c>
      <c r="BV1044" s="304" t="str">
        <f t="shared" si="653"/>
        <v/>
      </c>
      <c r="BW1044" s="28"/>
      <c r="BX1044" s="91"/>
    </row>
    <row r="1045" spans="1:76" s="55" customFormat="1" x14ac:dyDescent="0.25">
      <c r="A1045" s="195">
        <v>128</v>
      </c>
      <c r="B1045" s="216" t="str">
        <f t="shared" si="642"/>
        <v xml:space="preserve">: </v>
      </c>
      <c r="C1045" s="221"/>
      <c r="D1045" s="221"/>
      <c r="E1045" s="221"/>
      <c r="F1045" s="221"/>
      <c r="G1045" s="240"/>
      <c r="H1045" s="221"/>
      <c r="I1045" s="240"/>
      <c r="J1045" s="241"/>
      <c r="K1045" s="241"/>
      <c r="L1045" s="241"/>
      <c r="M1045" s="225" t="str">
        <f t="shared" si="664"/>
        <v>t CO2-eq/kg of protein</v>
      </c>
      <c r="N1045" s="227"/>
      <c r="O1045" s="241"/>
      <c r="P1045" s="122"/>
      <c r="Q1045" s="228"/>
      <c r="R1045" s="231" t="str">
        <f t="shared" si="658"/>
        <v/>
      </c>
      <c r="S1045" s="230" t="str">
        <f t="shared" si="657"/>
        <v/>
      </c>
      <c r="T1045" s="231" t="str">
        <f>IF(OR(Q1045="Y",IFERROR(R1045&gt;R1048+R1052*$AA$35,0),IFERROR(R1045&lt;R1048-R1052*$AA$35,0)),"",IFERROR(R1045*N1045,""))</f>
        <v/>
      </c>
      <c r="U1045" s="232" t="str">
        <f t="shared" si="644"/>
        <v>t CO2-eq/kg of protein</v>
      </c>
      <c r="V1045" s="28"/>
      <c r="W1045" s="28"/>
      <c r="Y1045" s="91"/>
      <c r="AO1045" s="91"/>
      <c r="AP1045" s="28"/>
      <c r="AQ1045" s="28"/>
      <c r="AR1045" s="237"/>
      <c r="AS1045" s="28"/>
      <c r="AT1045" s="304" t="str">
        <f t="shared" si="663"/>
        <v/>
      </c>
      <c r="AU1045" s="304" t="str">
        <f t="shared" si="663"/>
        <v/>
      </c>
      <c r="AV1045" s="28"/>
      <c r="AW1045" s="304" t="str">
        <f t="shared" si="645"/>
        <v/>
      </c>
      <c r="AX1045" s="304" t="str">
        <f t="shared" ref="AX1045:AX1174" si="665">IF($E1045=$AW$83,S1045,"")</f>
        <v/>
      </c>
      <c r="AY1045" s="28"/>
      <c r="AZ1045" s="304" t="str">
        <f t="shared" si="646"/>
        <v/>
      </c>
      <c r="BA1045" s="304" t="str">
        <f t="shared" ref="BA1045:BA1174" si="666">IF($E1045=$AZ$83,S1045,"")</f>
        <v/>
      </c>
      <c r="BB1045" s="28"/>
      <c r="BC1045" s="304" t="str">
        <f t="shared" si="647"/>
        <v/>
      </c>
      <c r="BD1045" s="304" t="str">
        <f t="shared" ref="BD1045:BD1174" si="667">IF($E1045=$BC$83,S1045,"")</f>
        <v/>
      </c>
      <c r="BE1045" s="28"/>
      <c r="BF1045" s="304" t="str">
        <f t="shared" si="648"/>
        <v/>
      </c>
      <c r="BG1045" s="304" t="str">
        <f t="shared" ref="BG1045:BG1174" si="668">IF($E1045=$BF$83,S1045,"")</f>
        <v/>
      </c>
      <c r="BH1045" s="28"/>
      <c r="BI1045" s="304" t="str">
        <f t="shared" si="649"/>
        <v/>
      </c>
      <c r="BJ1045" s="304" t="str">
        <f t="shared" ref="BJ1045:BJ1174" si="669">IF($E1045=$BI$83,S1045,"")</f>
        <v/>
      </c>
      <c r="BK1045" s="28"/>
      <c r="BL1045" s="304" t="str">
        <f t="shared" si="650"/>
        <v/>
      </c>
      <c r="BM1045" s="304" t="str">
        <f t="shared" ref="BM1045:BM1174" si="670">IF($E1045=$BL$83,S1045,"")</f>
        <v/>
      </c>
      <c r="BN1045" s="28"/>
      <c r="BO1045" s="304" t="str">
        <f t="shared" si="651"/>
        <v/>
      </c>
      <c r="BP1045" s="304" t="str">
        <f t="shared" ref="BP1045:BP1174" si="671">IF($E1045=$BO$83,S1045,"")</f>
        <v/>
      </c>
      <c r="BQ1045" s="28"/>
      <c r="BR1045" s="304" t="str">
        <f t="shared" si="652"/>
        <v/>
      </c>
      <c r="BS1045" s="304" t="str">
        <f t="shared" ref="BS1045:BS1174" si="672">IF($E1045=$BR$83,S1045,"")</f>
        <v/>
      </c>
      <c r="BT1045" s="28"/>
      <c r="BU1045" s="304" t="str">
        <f t="shared" si="653"/>
        <v/>
      </c>
      <c r="BV1045" s="304" t="str">
        <f t="shared" ref="BV1045:BV1174" si="673">IF($E1045=$BU$83,S1045,"")</f>
        <v/>
      </c>
      <c r="BW1045" s="28"/>
      <c r="BX1045" s="91"/>
    </row>
    <row r="1046" spans="1:76" s="55" customFormat="1" x14ac:dyDescent="0.25">
      <c r="A1046" s="195">
        <v>129</v>
      </c>
      <c r="B1046" s="216" t="str">
        <f t="shared" si="642"/>
        <v xml:space="preserve">: </v>
      </c>
      <c r="C1046" s="221"/>
      <c r="D1046" s="221"/>
      <c r="E1046" s="221"/>
      <c r="F1046" s="221"/>
      <c r="G1046" s="240"/>
      <c r="H1046" s="221"/>
      <c r="I1046" s="240"/>
      <c r="J1046" s="241"/>
      <c r="K1046" s="241"/>
      <c r="L1046" s="241"/>
      <c r="M1046" s="225" t="str">
        <f t="shared" si="664"/>
        <v>t CO2-eq/kg of protein</v>
      </c>
      <c r="N1046" s="227"/>
      <c r="O1046" s="241"/>
      <c r="P1046" s="122"/>
      <c r="Q1046" s="228"/>
      <c r="R1046" s="231" t="str">
        <f t="shared" si="658"/>
        <v/>
      </c>
      <c r="S1046" s="230" t="str">
        <f t="shared" ref="S1046:S1047" si="674">IF(R1046="","",IF($R$1056="Y",T1046,IF(R1046&gt;=$R$1048-$AA$35*$R$1052,IF(R1046&lt;=$R$1048+$AA$35*$R$1052,R1046,""),"")))</f>
        <v/>
      </c>
      <c r="T1046" s="231" t="str">
        <f>IF(OR(Q1046="Y",IFERROR(R1046&gt;R1048+R1052*$AA$35,0),IFERROR(R1046&lt;R1048-R1052*$AA$35,0)),"",IFERROR(R1046*N1046,""))</f>
        <v/>
      </c>
      <c r="U1046" s="232" t="str">
        <f t="shared" si="644"/>
        <v>t CO2-eq/kg of protein</v>
      </c>
      <c r="V1046" s="28"/>
      <c r="W1046" s="28"/>
      <c r="Y1046" s="91"/>
      <c r="AO1046" s="91"/>
      <c r="AP1046" s="28"/>
      <c r="AQ1046" s="28"/>
      <c r="AR1046" s="237"/>
      <c r="AS1046" s="28"/>
      <c r="AT1046" s="304" t="str">
        <f t="shared" si="663"/>
        <v/>
      </c>
      <c r="AU1046" s="304" t="str">
        <f t="shared" si="663"/>
        <v/>
      </c>
      <c r="AV1046" s="28"/>
      <c r="AW1046" s="304" t="str">
        <f t="shared" ref="AW1046:AW1175" si="675">IF($E1046=$AW$83,R1046,"")</f>
        <v/>
      </c>
      <c r="AX1046" s="304" t="str">
        <f t="shared" si="665"/>
        <v/>
      </c>
      <c r="AY1046" s="28"/>
      <c r="AZ1046" s="304" t="str">
        <f t="shared" ref="AZ1046:AZ1175" si="676">IF($E1046=$AZ$83,R1046,"")</f>
        <v/>
      </c>
      <c r="BA1046" s="304" t="str">
        <f t="shared" si="666"/>
        <v/>
      </c>
      <c r="BB1046" s="28"/>
      <c r="BC1046" s="304" t="str">
        <f t="shared" ref="BC1046:BC1175" si="677">IF($E1046=$BC$83,R1046,"")</f>
        <v/>
      </c>
      <c r="BD1046" s="304" t="str">
        <f t="shared" si="667"/>
        <v/>
      </c>
      <c r="BE1046" s="28"/>
      <c r="BF1046" s="304" t="str">
        <f t="shared" ref="BF1046:BF1175" si="678">IF($E1046=$BF$83,R1046,"")</f>
        <v/>
      </c>
      <c r="BG1046" s="304" t="str">
        <f t="shared" si="668"/>
        <v/>
      </c>
      <c r="BH1046" s="28"/>
      <c r="BI1046" s="304" t="str">
        <f t="shared" ref="BI1046:BI1175" si="679">IF($E1046=$BI$83,R1046,"")</f>
        <v/>
      </c>
      <c r="BJ1046" s="304" t="str">
        <f t="shared" si="669"/>
        <v/>
      </c>
      <c r="BK1046" s="28"/>
      <c r="BL1046" s="304" t="str">
        <f t="shared" ref="BL1046:BL1175" si="680">IF($E1046=$BL$83,R1046,"")</f>
        <v/>
      </c>
      <c r="BM1046" s="304" t="str">
        <f t="shared" si="670"/>
        <v/>
      </c>
      <c r="BN1046" s="28"/>
      <c r="BO1046" s="304" t="str">
        <f t="shared" ref="BO1046:BO1175" si="681">IF($E1046=$BO$83,R1046,"")</f>
        <v/>
      </c>
      <c r="BP1046" s="304" t="str">
        <f t="shared" si="671"/>
        <v/>
      </c>
      <c r="BQ1046" s="28"/>
      <c r="BR1046" s="304" t="str">
        <f t="shared" ref="BR1046:BR1175" si="682">IF($E1046=$BR$83,R1046,"")</f>
        <v/>
      </c>
      <c r="BS1046" s="304" t="str">
        <f t="shared" si="672"/>
        <v/>
      </c>
      <c r="BT1046" s="28"/>
      <c r="BU1046" s="304" t="str">
        <f t="shared" ref="BU1046:BU1175" si="683">IF($E1046=$BU$83,R1046,"")</f>
        <v/>
      </c>
      <c r="BV1046" s="304" t="str">
        <f t="shared" si="673"/>
        <v/>
      </c>
      <c r="BW1046" s="28"/>
      <c r="BX1046" s="91"/>
    </row>
    <row r="1047" spans="1:76" s="55" customFormat="1" x14ac:dyDescent="0.25">
      <c r="A1047" s="195">
        <v>130</v>
      </c>
      <c r="B1047" s="216" t="str">
        <f t="shared" si="642"/>
        <v xml:space="preserve">: </v>
      </c>
      <c r="C1047" s="221"/>
      <c r="D1047" s="221"/>
      <c r="E1047" s="221"/>
      <c r="F1047" s="221"/>
      <c r="G1047" s="240"/>
      <c r="H1047" s="221"/>
      <c r="I1047" s="240"/>
      <c r="J1047" s="241"/>
      <c r="K1047" s="241"/>
      <c r="L1047" s="241"/>
      <c r="M1047" s="225" t="str">
        <f t="shared" si="664"/>
        <v>t CO2-eq/kg of protein</v>
      </c>
      <c r="N1047" s="227"/>
      <c r="O1047" s="241"/>
      <c r="P1047" s="122"/>
      <c r="Q1047" s="228"/>
      <c r="R1047" s="231" t="str">
        <f t="shared" ref="R1047:R1065" si="684">IF(Q1047="Y","",IF(AND(L1047="",J1047=""),"",IF(L1047="",J1047,L1047)))</f>
        <v/>
      </c>
      <c r="S1047" s="230" t="str">
        <f t="shared" si="674"/>
        <v/>
      </c>
      <c r="T1047" s="231" t="str">
        <f>IF(OR(Q1047="Y",IFERROR(R1047&gt;R1048+R1052*$AA$35,0),IFERROR(R1047&lt;R1048-R1052*$AA$35,0)),"",IFERROR(R1047*N1047,""))</f>
        <v/>
      </c>
      <c r="U1047" s="232" t="str">
        <f t="shared" si="644"/>
        <v>t CO2-eq/kg of protein</v>
      </c>
      <c r="V1047" s="28"/>
      <c r="W1047" s="28"/>
      <c r="Y1047" s="91"/>
      <c r="AO1047" s="91"/>
      <c r="AP1047" s="28"/>
      <c r="AQ1047" s="28"/>
      <c r="AR1047" s="237"/>
      <c r="AS1047" s="28"/>
      <c r="AT1047" s="304" t="str">
        <f t="shared" si="663"/>
        <v/>
      </c>
      <c r="AU1047" s="304" t="str">
        <f t="shared" si="663"/>
        <v/>
      </c>
      <c r="AV1047" s="28"/>
      <c r="AW1047" s="304" t="str">
        <f t="shared" si="675"/>
        <v/>
      </c>
      <c r="AX1047" s="304" t="str">
        <f t="shared" si="665"/>
        <v/>
      </c>
      <c r="AY1047" s="28"/>
      <c r="AZ1047" s="304" t="str">
        <f t="shared" si="676"/>
        <v/>
      </c>
      <c r="BA1047" s="304" t="str">
        <f t="shared" si="666"/>
        <v/>
      </c>
      <c r="BB1047" s="28"/>
      <c r="BC1047" s="304" t="str">
        <f t="shared" si="677"/>
        <v/>
      </c>
      <c r="BD1047" s="304" t="str">
        <f t="shared" si="667"/>
        <v/>
      </c>
      <c r="BE1047" s="28"/>
      <c r="BF1047" s="304" t="str">
        <f t="shared" si="678"/>
        <v/>
      </c>
      <c r="BG1047" s="304" t="str">
        <f t="shared" si="668"/>
        <v/>
      </c>
      <c r="BH1047" s="28"/>
      <c r="BI1047" s="304" t="str">
        <f t="shared" si="679"/>
        <v/>
      </c>
      <c r="BJ1047" s="304" t="str">
        <f t="shared" si="669"/>
        <v/>
      </c>
      <c r="BK1047" s="28"/>
      <c r="BL1047" s="304" t="str">
        <f t="shared" si="680"/>
        <v/>
      </c>
      <c r="BM1047" s="304" t="str">
        <f t="shared" si="670"/>
        <v/>
      </c>
      <c r="BN1047" s="28"/>
      <c r="BO1047" s="304" t="str">
        <f t="shared" si="681"/>
        <v/>
      </c>
      <c r="BP1047" s="304" t="str">
        <f t="shared" si="671"/>
        <v/>
      </c>
      <c r="BQ1047" s="28"/>
      <c r="BR1047" s="304" t="str">
        <f t="shared" si="682"/>
        <v/>
      </c>
      <c r="BS1047" s="304" t="str">
        <f t="shared" si="672"/>
        <v/>
      </c>
      <c r="BT1047" s="28"/>
      <c r="BU1047" s="304" t="str">
        <f t="shared" si="683"/>
        <v/>
      </c>
      <c r="BV1047" s="304" t="str">
        <f t="shared" si="673"/>
        <v/>
      </c>
      <c r="BW1047" s="28"/>
      <c r="BX1047" s="91"/>
    </row>
    <row r="1048" spans="1:76" s="55" customFormat="1" x14ac:dyDescent="0.25">
      <c r="A1048" s="195"/>
      <c r="B1048" s="244" t="s">
        <v>163</v>
      </c>
      <c r="C1048" s="199"/>
      <c r="D1048" s="199"/>
      <c r="E1048" s="199"/>
      <c r="F1048" s="199"/>
      <c r="G1048" s="122"/>
      <c r="H1048" s="28"/>
      <c r="I1048" s="245"/>
      <c r="J1048" s="122"/>
      <c r="K1048" s="122"/>
      <c r="L1048" s="122" t="s">
        <v>134</v>
      </c>
      <c r="M1048" s="122"/>
      <c r="N1048" s="122"/>
      <c r="O1048" s="122"/>
      <c r="P1048" s="122"/>
      <c r="Q1048" s="305" t="s">
        <v>136</v>
      </c>
      <c r="R1048" s="246">
        <f>AVERAGE(R918:R1047)</f>
        <v>0.3020216096379566</v>
      </c>
      <c r="S1048" s="247">
        <f>IF(R1056="Y",SUM(S918:S1047)/SUMPRODUCT(N918:N1047,--ISNUMBER(S918:S1047)),AVERAGE(S918:S1047))</f>
        <v>0.25986738685993976</v>
      </c>
      <c r="T1048" s="248" t="e">
        <f>SUM(T918:T1047)/SUMPRODUCT(N918:N1047,--ISNUMBER(T918:T1047))</f>
        <v>#DIV/0!</v>
      </c>
      <c r="U1048" s="28"/>
      <c r="V1048" s="28"/>
      <c r="W1048" s="28"/>
      <c r="Y1048" s="249"/>
      <c r="AO1048" s="91"/>
      <c r="AP1048" s="28"/>
      <c r="AQ1048" s="28"/>
      <c r="AR1048" s="28"/>
      <c r="AS1048" s="245" t="s">
        <v>136</v>
      </c>
      <c r="AT1048" s="307" t="e">
        <f>AVERAGE(AT918:AT1047)</f>
        <v>#DIV/0!</v>
      </c>
      <c r="AU1048" s="307" t="e">
        <f>SUM(AU918:AU1047)/COUNTIF(AU918:AU1047,"&gt;0")</f>
        <v>#DIV/0!</v>
      </c>
      <c r="AV1048" s="245"/>
      <c r="AW1048" s="307">
        <f>AVERAGE(AW918:AW1047)</f>
        <v>4.0820325946643719E-2</v>
      </c>
      <c r="AX1048" s="307">
        <f>SUM(AX918:AX1047)/COUNTIF(AX918:AX1047,"&gt;0")</f>
        <v>4.0820325946643719E-2</v>
      </c>
      <c r="AY1048" s="28"/>
      <c r="AZ1048" s="307" t="e">
        <f>AVERAGE(AZ918:AZ1047)</f>
        <v>#DIV/0!</v>
      </c>
      <c r="BA1048" s="307" t="e">
        <f>SUM(BA918:BA1047)/COUNTIF(BA918:BA1047,"&gt;0")</f>
        <v>#DIV/0!</v>
      </c>
      <c r="BB1048" s="28"/>
      <c r="BC1048" s="307">
        <f>AVERAGE(BC918:BC1047)</f>
        <v>0.14389741071428572</v>
      </c>
      <c r="BD1048" s="307">
        <f>SUM(BD918:BD1047)/COUNTIF(BD918:BD1047,"&gt;0")</f>
        <v>0.14389741071428572</v>
      </c>
      <c r="BE1048" s="28"/>
      <c r="BF1048" s="307">
        <f>AVERAGE(BF918:BF1047)</f>
        <v>0.6191171511479594</v>
      </c>
      <c r="BG1048" s="307">
        <f>SUM(BG918:BG1047)/COUNTIF(BG918:BG1047,"&gt;0")</f>
        <v>0.52139518218085124</v>
      </c>
      <c r="BH1048" s="28"/>
      <c r="BI1048" s="307">
        <f>AVERAGE(BI918:BI1047)</f>
        <v>0.17843738726333908</v>
      </c>
      <c r="BJ1048" s="307">
        <f>SUM(BJ918:BJ1047)/COUNTIF(BJ918:BJ1047,"&gt;0")</f>
        <v>0.17843738726333908</v>
      </c>
      <c r="BK1048" s="245"/>
      <c r="BL1048" s="307" t="e">
        <f>AVERAGE(BL918:BL1047)</f>
        <v>#DIV/0!</v>
      </c>
      <c r="BM1048" s="307" t="e">
        <f>SUM(BM918:BM1047)/COUNTIF(BM918:BM1047,"&gt;0")</f>
        <v>#DIV/0!</v>
      </c>
      <c r="BN1048" s="28"/>
      <c r="BO1048" s="307" t="e">
        <f>AVERAGE(BO918:BO1047)</f>
        <v>#DIV/0!</v>
      </c>
      <c r="BP1048" s="307" t="e">
        <f>SUM(BP918:BP1047)/COUNTIF(BP918:BP1047,"&gt;0")</f>
        <v>#DIV/0!</v>
      </c>
      <c r="BQ1048" s="28"/>
      <c r="BR1048" s="307" t="e">
        <f>AVERAGE(BR918:BR1047)</f>
        <v>#DIV/0!</v>
      </c>
      <c r="BS1048" s="307" t="e">
        <f>SUM(BS918:BS1047)/COUNTIF(BS918:BS1047,"&gt;0")</f>
        <v>#DIV/0!</v>
      </c>
      <c r="BT1048" s="28"/>
      <c r="BU1048" s="307" t="e">
        <f>AVERAGE(BU918:BU1047)</f>
        <v>#DIV/0!</v>
      </c>
      <c r="BV1048" s="307" t="e">
        <f>SUM(BV918:BV1047)/COUNTIF(BV918:BV1047,"&gt;0")</f>
        <v>#DIV/0!</v>
      </c>
      <c r="BW1048" s="28"/>
      <c r="BX1048" s="91"/>
    </row>
    <row r="1049" spans="1:76" s="55" customFormat="1" x14ac:dyDescent="0.25">
      <c r="A1049" s="195"/>
      <c r="B1049" s="244" t="s">
        <v>164</v>
      </c>
      <c r="C1049" s="199" t="s">
        <v>139</v>
      </c>
      <c r="D1049" s="252" t="s">
        <v>685</v>
      </c>
      <c r="E1049" s="253"/>
      <c r="F1049" s="253"/>
      <c r="G1049" s="253"/>
      <c r="H1049" s="253"/>
      <c r="I1049" s="253"/>
      <c r="J1049" s="254"/>
      <c r="K1049" s="122"/>
      <c r="L1049" s="122"/>
      <c r="M1049" s="122"/>
      <c r="N1049" s="122"/>
      <c r="O1049" s="122"/>
      <c r="P1049" s="122"/>
      <c r="Q1049" s="306" t="s">
        <v>144</v>
      </c>
      <c r="R1049" s="257">
        <f>R1048+U1049*R1052</f>
        <v>0.79058993180938486</v>
      </c>
      <c r="S1049" s="257">
        <f>S1048+U1049*S1052</f>
        <v>0.6200221619046502</v>
      </c>
      <c r="T1049" s="257" t="e">
        <f>T1048+U1049*T1052</f>
        <v>#DIV/0!</v>
      </c>
      <c r="U1049" s="258">
        <v>1</v>
      </c>
      <c r="V1049" s="122" t="s">
        <v>142</v>
      </c>
      <c r="W1049" s="28"/>
      <c r="X1049" s="259" t="s">
        <v>143</v>
      </c>
      <c r="Y1049" s="260"/>
      <c r="AO1049" s="91"/>
      <c r="AP1049" s="28"/>
      <c r="AQ1049" s="28"/>
      <c r="AR1049" s="28"/>
      <c r="AS1049" s="256" t="s">
        <v>144</v>
      </c>
      <c r="AT1049" s="261" t="e">
        <f>AT1048+(AT1054*AT1051)</f>
        <v>#DIV/0!</v>
      </c>
      <c r="AU1049" s="261" t="e">
        <f>AU1048+(AU1054*AT1051)</f>
        <v>#DIV/0!</v>
      </c>
      <c r="AV1049" s="256"/>
      <c r="AW1049" s="261">
        <f>AW1048+(AW1054*AW1051)</f>
        <v>7.632708357519824E-2</v>
      </c>
      <c r="AX1049" s="261">
        <f>AX1048+(AX1054*AW1051)</f>
        <v>7.632708357519824E-2</v>
      </c>
      <c r="AY1049" s="28"/>
      <c r="AZ1049" s="261" t="e">
        <f>AZ1048+(AZ1054*AZ1051)</f>
        <v>#DIV/0!</v>
      </c>
      <c r="BA1049" s="261" t="e">
        <f>BA1048+(BA1054*AZ1051)</f>
        <v>#DIV/0!</v>
      </c>
      <c r="BB1049" s="28"/>
      <c r="BC1049" s="261">
        <f>BC1048+(BC1054*BC1051)</f>
        <v>0.2117940108649895</v>
      </c>
      <c r="BD1049" s="261">
        <f>BD1048+(BD1054*BC1051)</f>
        <v>0.2117940108649895</v>
      </c>
      <c r="BE1049" s="28"/>
      <c r="BF1049" s="261">
        <f>BF1048+(BF1054*BF1051)</f>
        <v>1.2824706099405097</v>
      </c>
      <c r="BG1049" s="261">
        <f>BG1048+(BG1054*BF1051)</f>
        <v>0.99053778676067994</v>
      </c>
      <c r="BH1049" s="28"/>
      <c r="BI1049" s="261">
        <f>BI1048+(BI1054*BI1051)</f>
        <v>0.27293732294572604</v>
      </c>
      <c r="BJ1049" s="261">
        <f>BJ1048+(BJ1054*BI1051)</f>
        <v>0.27293732294572604</v>
      </c>
      <c r="BK1049" s="256"/>
      <c r="BL1049" s="261" t="e">
        <f>BL1048+(BL1054*BL1051)</f>
        <v>#DIV/0!</v>
      </c>
      <c r="BM1049" s="261" t="e">
        <f>BM1048+(BM1054*BL1051)</f>
        <v>#DIV/0!</v>
      </c>
      <c r="BN1049" s="28"/>
      <c r="BO1049" s="261" t="e">
        <f>BO1048+(BO1054*BO1051)</f>
        <v>#DIV/0!</v>
      </c>
      <c r="BP1049" s="261" t="e">
        <f>BP1048+(BP1054*BO1051)</f>
        <v>#DIV/0!</v>
      </c>
      <c r="BQ1049" s="28"/>
      <c r="BR1049" s="261" t="e">
        <f>BR1048+(BR1054*BR1051)</f>
        <v>#DIV/0!</v>
      </c>
      <c r="BS1049" s="261" t="e">
        <f>BS1048+(BS1054*BR1051)</f>
        <v>#DIV/0!</v>
      </c>
      <c r="BT1049" s="28"/>
      <c r="BU1049" s="261" t="e">
        <f>BU1048+(BU1054*BU1051)</f>
        <v>#DIV/0!</v>
      </c>
      <c r="BV1049" s="261" t="e">
        <f>BV1048+(BV1054*BU1051)</f>
        <v>#DIV/0!</v>
      </c>
      <c r="BW1049" s="28"/>
      <c r="BX1049" s="91"/>
    </row>
    <row r="1050" spans="1:76" s="55" customFormat="1" x14ac:dyDescent="0.25">
      <c r="A1050" s="195"/>
      <c r="B1050" s="244" t="s">
        <v>165</v>
      </c>
      <c r="C1050" s="195"/>
      <c r="D1050" s="263"/>
      <c r="E1050" s="264"/>
      <c r="F1050" s="264"/>
      <c r="G1050" s="264"/>
      <c r="H1050" s="264"/>
      <c r="I1050" s="264"/>
      <c r="J1050" s="265"/>
      <c r="K1050" s="28"/>
      <c r="L1050" s="28"/>
      <c r="M1050" s="122"/>
      <c r="N1050" s="122"/>
      <c r="O1050" s="122"/>
      <c r="P1050" s="122"/>
      <c r="Q1050" s="306" t="s">
        <v>150</v>
      </c>
      <c r="R1050" s="257">
        <f>IF($X1050="Y",MIN(R918:R1047),R1048-$U1050*R1052)</f>
        <v>8.1250000000000003E-3</v>
      </c>
      <c r="S1050" s="257">
        <f t="shared" ref="S1050:T1050" si="685">IF($X1050="Y",MIN(S918:S1047),S1048-$U1050*S1052)</f>
        <v>8.1250000000000003E-3</v>
      </c>
      <c r="T1050" s="257">
        <f t="shared" si="685"/>
        <v>0</v>
      </c>
      <c r="U1050" s="258">
        <v>1</v>
      </c>
      <c r="V1050" s="122" t="s">
        <v>148</v>
      </c>
      <c r="W1050" s="28"/>
      <c r="X1050" s="266" t="s">
        <v>327</v>
      </c>
      <c r="Y1050" s="260"/>
      <c r="AO1050" s="91"/>
      <c r="AP1050" s="28"/>
      <c r="AQ1050" s="28"/>
      <c r="AR1050" s="28"/>
      <c r="AS1050" s="256" t="s">
        <v>150</v>
      </c>
      <c r="AT1050" s="261" t="e">
        <f>AT1048-(AT1054*AT1052)</f>
        <v>#DIV/0!</v>
      </c>
      <c r="AU1050" s="261" t="e">
        <f>AU1048-(AU1054*AT1052)</f>
        <v>#DIV/0!</v>
      </c>
      <c r="AV1050" s="256"/>
      <c r="AW1050" s="261">
        <f>AW1048-(AW1054*AW1052)</f>
        <v>5.3135683180892054E-3</v>
      </c>
      <c r="AX1050" s="261">
        <f>AX1048-(AX1054*AW1052)</f>
        <v>5.3135683180892054E-3</v>
      </c>
      <c r="AY1050" s="28"/>
      <c r="AZ1050" s="261" t="e">
        <f>AZ1048-(AZ1054*AZ1052)</f>
        <v>#DIV/0!</v>
      </c>
      <c r="BA1050" s="261" t="e">
        <f>BA1048-(BA1054*AZ1052)</f>
        <v>#DIV/0!</v>
      </c>
      <c r="BB1050" s="28"/>
      <c r="BC1050" s="261">
        <f>BC1048-(BC1054*BC1052)</f>
        <v>7.6000810563581947E-2</v>
      </c>
      <c r="BD1050" s="261">
        <f>BD1048-(BD1054*BC1052)</f>
        <v>7.6000810563581947E-2</v>
      </c>
      <c r="BE1050" s="28"/>
      <c r="BF1050" s="261">
        <f>BF1048-(BF1054*BF1052)</f>
        <v>-4.4236307644590744E-2</v>
      </c>
      <c r="BG1050" s="261">
        <f>BG1048-(BG1054*BF1052)</f>
        <v>5.2252577601022587E-2</v>
      </c>
      <c r="BH1050" s="28"/>
      <c r="BI1050" s="261">
        <f>BI1048-(BI1054*BI1052)</f>
        <v>8.3937451580952102E-2</v>
      </c>
      <c r="BJ1050" s="261">
        <f>BJ1048-(BJ1054*BI1052)</f>
        <v>8.3937451580952102E-2</v>
      </c>
      <c r="BK1050" s="256"/>
      <c r="BL1050" s="261" t="e">
        <f>BL1048-(BL1054*BL1052)</f>
        <v>#DIV/0!</v>
      </c>
      <c r="BM1050" s="261" t="e">
        <f>BM1048-(BM1054*BL1052)</f>
        <v>#DIV/0!</v>
      </c>
      <c r="BN1050" s="28"/>
      <c r="BO1050" s="261" t="e">
        <f>BO1048-(BO1054*BO1052)</f>
        <v>#DIV/0!</v>
      </c>
      <c r="BP1050" s="261" t="e">
        <f>BP1048-(BP1054*BO1052)</f>
        <v>#DIV/0!</v>
      </c>
      <c r="BQ1050" s="28"/>
      <c r="BR1050" s="261" t="e">
        <f>BR1048-(BR1054*BR1052)</f>
        <v>#DIV/0!</v>
      </c>
      <c r="BS1050" s="261" t="e">
        <f>BS1048-(BS1054*BR1052)</f>
        <v>#DIV/0!</v>
      </c>
      <c r="BT1050" s="28"/>
      <c r="BU1050" s="261" t="e">
        <f>BU1048-(BU1054*BU1052)</f>
        <v>#DIV/0!</v>
      </c>
      <c r="BV1050" s="261" t="e">
        <f>BV1048-(BV1054*BU1052)</f>
        <v>#DIV/0!</v>
      </c>
      <c r="BW1050" s="28"/>
      <c r="BX1050" s="91"/>
    </row>
    <row r="1051" spans="1:76" s="55" customFormat="1" ht="14.25" x14ac:dyDescent="0.2">
      <c r="A1051" s="195"/>
      <c r="B1051" s="196"/>
      <c r="C1051" s="195"/>
      <c r="D1051" s="263"/>
      <c r="E1051" s="264"/>
      <c r="F1051" s="264"/>
      <c r="G1051" s="264"/>
      <c r="H1051" s="264"/>
      <c r="I1051" s="264"/>
      <c r="J1051" s="265"/>
      <c r="K1051" s="122"/>
      <c r="L1051" s="122"/>
      <c r="M1051" s="122"/>
      <c r="N1051" s="122"/>
      <c r="O1051" s="122"/>
      <c r="P1051" s="122"/>
      <c r="Q1051" s="306" t="s">
        <v>151</v>
      </c>
      <c r="R1051" s="257" t="str">
        <f>IF((0.67*R1052)&gt;R1048,"no","yes")</f>
        <v>no</v>
      </c>
      <c r="S1051" s="257" t="str">
        <f>IF((0.67*S1052)&gt;S1048,"no","yes")</f>
        <v>yes</v>
      </c>
      <c r="T1051" s="257" t="e">
        <f>IF((0.67*T1052)&gt;T1048,"no","yes")</f>
        <v>#DIV/0!</v>
      </c>
      <c r="U1051" s="122"/>
      <c r="V1051" s="122"/>
      <c r="W1051" s="122"/>
      <c r="Y1051" s="260"/>
      <c r="AO1051" s="91"/>
      <c r="AP1051" s="122"/>
      <c r="AQ1051" s="122"/>
      <c r="AR1051" s="267" t="s">
        <v>152</v>
      </c>
      <c r="AS1051" s="268"/>
      <c r="AT1051" s="258">
        <v>1</v>
      </c>
      <c r="AU1051" s="122"/>
      <c r="AV1051" s="308"/>
      <c r="AW1051" s="258">
        <v>1</v>
      </c>
      <c r="AX1051" s="122"/>
      <c r="AY1051" s="122"/>
      <c r="AZ1051" s="258">
        <v>1</v>
      </c>
      <c r="BA1051" s="122"/>
      <c r="BB1051" s="122"/>
      <c r="BC1051" s="258">
        <v>1</v>
      </c>
      <c r="BD1051" s="122"/>
      <c r="BE1051" s="122"/>
      <c r="BF1051" s="258">
        <v>1</v>
      </c>
      <c r="BG1051" s="122"/>
      <c r="BH1051" s="122"/>
      <c r="BI1051" s="258">
        <v>1</v>
      </c>
      <c r="BJ1051" s="122"/>
      <c r="BK1051" s="256"/>
      <c r="BL1051" s="258">
        <v>1</v>
      </c>
      <c r="BM1051" s="122"/>
      <c r="BN1051" s="122"/>
      <c r="BO1051" s="258">
        <v>1</v>
      </c>
      <c r="BP1051" s="122"/>
      <c r="BQ1051" s="122"/>
      <c r="BR1051" s="258">
        <v>1</v>
      </c>
      <c r="BS1051" s="122"/>
      <c r="BT1051" s="122"/>
      <c r="BU1051" s="258">
        <v>1</v>
      </c>
      <c r="BV1051" s="122"/>
      <c r="BW1051" s="122"/>
      <c r="BX1051" s="91"/>
    </row>
    <row r="1052" spans="1:76" s="55" customFormat="1" ht="28.5" x14ac:dyDescent="0.2">
      <c r="A1052" s="270" t="e">
        <f ca="1">HYPERLINK("#"&amp;"'"&amp;A$1&amp;"'!a1","Back to top")</f>
        <v>#VALUE!</v>
      </c>
      <c r="B1052" s="271"/>
      <c r="C1052" s="195"/>
      <c r="D1052" s="263"/>
      <c r="E1052" s="264"/>
      <c r="F1052" s="264"/>
      <c r="G1052" s="264"/>
      <c r="H1052" s="264"/>
      <c r="I1052" s="264"/>
      <c r="J1052" s="265"/>
      <c r="K1052" s="122"/>
      <c r="L1052" s="122"/>
      <c r="M1052" s="122"/>
      <c r="N1052" s="122"/>
      <c r="O1052" s="122"/>
      <c r="P1052" s="122"/>
      <c r="Q1052" s="306" t="s">
        <v>157</v>
      </c>
      <c r="R1052" s="257">
        <f>IF(COUNT(R918:R1047)&gt;1,_xlfn.STDEV.S(R918:R1047),0)</f>
        <v>0.48856832217142826</v>
      </c>
      <c r="S1052" s="257">
        <f t="array" ref="S1052">IF(R1056="Y",SQRT(SUM(IFERROR(N918:N1047*(R918:R1047-(S1048))^2,0))/((COUNT(S918:S1047)-1)/COUNT(S918:S1047)*SUMPRODUCT(N918:N1047,--ISNUMBER(S918:S1047)))),_xlfn.STDEV.S(S918:S1047))</f>
        <v>0.36015477504471044</v>
      </c>
      <c r="T1052" s="257" t="e">
        <f t="array" ref="T1052">SQRT(SUM(IFERROR(N918:N1047*(R918:R1047-(T1048))^2,0))/((COUNT(T918:T1047)-1)/COUNT(T918:T1047)*SUMPRODUCT(N918:N1047,--ISNUMBER(T918:T1047))))</f>
        <v>#DIV/0!</v>
      </c>
      <c r="U1052" s="122"/>
      <c r="V1052" s="122"/>
      <c r="W1052" s="122"/>
      <c r="Y1052" s="260"/>
      <c r="AO1052" s="91"/>
      <c r="AP1052" s="122"/>
      <c r="AQ1052" s="122"/>
      <c r="AR1052" s="267"/>
      <c r="AS1052" s="268"/>
      <c r="AT1052" s="258">
        <v>1</v>
      </c>
      <c r="AU1052" s="122"/>
      <c r="AV1052" s="308"/>
      <c r="AW1052" s="258">
        <v>1</v>
      </c>
      <c r="AX1052" s="122"/>
      <c r="AY1052" s="122"/>
      <c r="AZ1052" s="258">
        <v>1</v>
      </c>
      <c r="BA1052" s="122"/>
      <c r="BB1052" s="122"/>
      <c r="BC1052" s="258">
        <v>1</v>
      </c>
      <c r="BD1052" s="122"/>
      <c r="BE1052" s="122"/>
      <c r="BF1052" s="258">
        <v>1</v>
      </c>
      <c r="BG1052" s="122"/>
      <c r="BH1052" s="122"/>
      <c r="BI1052" s="258">
        <v>1</v>
      </c>
      <c r="BJ1052" s="122"/>
      <c r="BK1052" s="256"/>
      <c r="BL1052" s="258">
        <v>1</v>
      </c>
      <c r="BM1052" s="122"/>
      <c r="BN1052" s="122"/>
      <c r="BO1052" s="258">
        <v>1</v>
      </c>
      <c r="BP1052" s="122"/>
      <c r="BQ1052" s="122"/>
      <c r="BR1052" s="258">
        <v>1</v>
      </c>
      <c r="BS1052" s="122"/>
      <c r="BT1052" s="122"/>
      <c r="BU1052" s="258">
        <v>1</v>
      </c>
      <c r="BV1052" s="122"/>
      <c r="BW1052" s="122"/>
      <c r="BX1052" s="91"/>
    </row>
    <row r="1053" spans="1:76" s="55" customFormat="1" ht="15" customHeight="1" x14ac:dyDescent="0.25">
      <c r="A1053" s="195"/>
      <c r="B1053" s="196"/>
      <c r="C1053" s="195"/>
      <c r="D1053" s="263"/>
      <c r="E1053" s="264"/>
      <c r="F1053" s="264"/>
      <c r="G1053" s="264"/>
      <c r="H1053" s="264"/>
      <c r="I1053" s="264"/>
      <c r="J1053" s="265"/>
      <c r="K1053" s="122"/>
      <c r="L1053" s="122"/>
      <c r="M1053" s="122"/>
      <c r="N1053" s="122"/>
      <c r="O1053" s="122"/>
      <c r="P1053" s="122"/>
      <c r="Q1053" s="309" t="s">
        <v>159</v>
      </c>
      <c r="R1053" s="310">
        <f>COUNT(R918:R1047)</f>
        <v>126</v>
      </c>
      <c r="S1053" s="310">
        <f>COUNT(S918:S1047)</f>
        <v>124</v>
      </c>
      <c r="T1053" s="118"/>
      <c r="U1053" s="273" t="s">
        <v>155</v>
      </c>
      <c r="V1053" s="122"/>
      <c r="W1053" s="122"/>
      <c r="Y1053" s="91"/>
      <c r="AO1053" s="91"/>
      <c r="AP1053" s="122"/>
      <c r="AQ1053" s="122"/>
      <c r="AR1053" s="122"/>
      <c r="AS1053" s="256" t="s">
        <v>151</v>
      </c>
      <c r="AT1053" s="261" t="e">
        <f>IF((0.67*AT1054)&gt;AT1048,"no","yes")</f>
        <v>#DIV/0!</v>
      </c>
      <c r="AU1053" s="261" t="e">
        <f>IF((0.67*AU1054)&gt;AU1048,"no","yes")</f>
        <v>#DIV/0!</v>
      </c>
      <c r="AV1053" s="256"/>
      <c r="AW1053" s="261" t="str">
        <f>IF((0.67*AW1054)&gt;AW1048,"no","yes")</f>
        <v>yes</v>
      </c>
      <c r="AX1053" s="261" t="str">
        <f>IF((0.67*AX1054)&gt;AX1048,"no","yes")</f>
        <v>yes</v>
      </c>
      <c r="AY1053" s="122"/>
      <c r="AZ1053" s="261" t="e">
        <f>IF((0.67*AZ1054)&gt;AZ1048,"no","yes")</f>
        <v>#DIV/0!</v>
      </c>
      <c r="BA1053" s="261" t="e">
        <f>IF((0.67*BA1054)&gt;BA1048,"no","yes")</f>
        <v>#DIV/0!</v>
      </c>
      <c r="BB1053" s="122"/>
      <c r="BC1053" s="261" t="str">
        <f>IF((0.67*BC1054)&gt;BC1048,"no","yes")</f>
        <v>yes</v>
      </c>
      <c r="BD1053" s="261" t="str">
        <f>IF((0.67*BD1054)&gt;BD1048,"no","yes")</f>
        <v>yes</v>
      </c>
      <c r="BE1053" s="122"/>
      <c r="BF1053" s="261" t="str">
        <f>IF((0.67*BF1054)&gt;BF1048,"no","yes")</f>
        <v>yes</v>
      </c>
      <c r="BG1053" s="261" t="str">
        <f>IF((0.67*BG1054)&gt;BG1048,"no","yes")</f>
        <v>yes</v>
      </c>
      <c r="BH1053" s="122"/>
      <c r="BI1053" s="261" t="str">
        <f>IF((0.67*BI1054)&gt;BI1048,"no","yes")</f>
        <v>yes</v>
      </c>
      <c r="BJ1053" s="261" t="str">
        <f>IF((0.67*BJ1054)&gt;BJ1048,"no","yes")</f>
        <v>yes</v>
      </c>
      <c r="BK1053" s="133"/>
      <c r="BL1053" s="261" t="e">
        <f>IF((0.67*BL1054)&gt;BL1048,"no","yes")</f>
        <v>#DIV/0!</v>
      </c>
      <c r="BM1053" s="261" t="e">
        <f>IF((0.67*BM1054)&gt;BM1048,"no","yes")</f>
        <v>#DIV/0!</v>
      </c>
      <c r="BN1053" s="122"/>
      <c r="BO1053" s="261" t="e">
        <f>IF((0.67*BO1054)&gt;BO1048,"no","yes")</f>
        <v>#DIV/0!</v>
      </c>
      <c r="BP1053" s="261" t="e">
        <f>IF((0.67*BP1054)&gt;BP1048,"no","yes")</f>
        <v>#DIV/0!</v>
      </c>
      <c r="BQ1053" s="122"/>
      <c r="BR1053" s="261" t="e">
        <f>IF((0.67*BR1054)&gt;BR1048,"no","yes")</f>
        <v>#DIV/0!</v>
      </c>
      <c r="BS1053" s="261" t="e">
        <f>IF((0.67*BS1054)&gt;BS1048,"no","yes")</f>
        <v>#DIV/0!</v>
      </c>
      <c r="BT1053" s="122"/>
      <c r="BU1053" s="261" t="e">
        <f>IF((0.67*BU1054)&gt;BU1048,"no","yes")</f>
        <v>#DIV/0!</v>
      </c>
      <c r="BV1053" s="261" t="e">
        <f>IF((0.67*BV1054)&gt;BV1048,"no","yes")</f>
        <v>#DIV/0!</v>
      </c>
      <c r="BW1053" s="122"/>
      <c r="BX1053" s="91"/>
    </row>
    <row r="1054" spans="1:76" s="55" customFormat="1" ht="14.25" x14ac:dyDescent="0.2">
      <c r="B1054" s="23"/>
      <c r="C1054" s="195"/>
      <c r="D1054" s="263"/>
      <c r="E1054" s="264"/>
      <c r="F1054" s="264"/>
      <c r="G1054" s="264"/>
      <c r="H1054" s="264"/>
      <c r="I1054" s="264"/>
      <c r="J1054" s="265"/>
      <c r="K1054" s="122"/>
      <c r="L1054" s="122"/>
      <c r="M1054" s="122"/>
      <c r="N1054" s="122"/>
      <c r="O1054" s="122"/>
      <c r="P1054" s="122"/>
      <c r="Q1054" s="311"/>
      <c r="R1054" s="118"/>
      <c r="S1054" s="118"/>
      <c r="T1054" s="118"/>
      <c r="U1054" s="274" t="s">
        <v>686</v>
      </c>
      <c r="V1054" s="275"/>
      <c r="W1054" s="276"/>
      <c r="Y1054" s="91"/>
      <c r="AO1054" s="91"/>
      <c r="AP1054" s="122"/>
      <c r="AQ1054" s="122"/>
      <c r="AR1054" s="122"/>
      <c r="AS1054" s="256" t="s">
        <v>157</v>
      </c>
      <c r="AT1054" s="261">
        <f>IF(AT1055&gt;1,_xlfn.STDEV.S(AT918:AT1047),0)</f>
        <v>0</v>
      </c>
      <c r="AU1054" s="261">
        <f>IF(AU1055&gt;1,_xlfn.STDEV.S(AU918:AU1047),0)</f>
        <v>0</v>
      </c>
      <c r="AV1054" s="122"/>
      <c r="AW1054" s="261">
        <f t="shared" ref="AW1054:AX1054" si="686">IF(AW1055&gt;1,_xlfn.STDEV.S(AW918:AW1047),0)</f>
        <v>3.5506757628554514E-2</v>
      </c>
      <c r="AX1054" s="261">
        <f t="shared" si="686"/>
        <v>3.5506757628554514E-2</v>
      </c>
      <c r="AY1054" s="122"/>
      <c r="AZ1054" s="261">
        <f t="shared" ref="AZ1054:BA1054" si="687">IF(AZ1055&gt;1,_xlfn.STDEV.S(AZ918:AZ1047),0)</f>
        <v>0</v>
      </c>
      <c r="BA1054" s="261">
        <f t="shared" si="687"/>
        <v>0</v>
      </c>
      <c r="BB1054" s="122"/>
      <c r="BC1054" s="261">
        <f t="shared" ref="BC1054:BD1054" si="688">IF(BC1055&gt;1,_xlfn.STDEV.S(BC918:BC1047),0)</f>
        <v>6.789660015070377E-2</v>
      </c>
      <c r="BD1054" s="261">
        <f t="shared" si="688"/>
        <v>6.789660015070377E-2</v>
      </c>
      <c r="BE1054" s="122"/>
      <c r="BF1054" s="261">
        <f t="shared" ref="BF1054:BG1054" si="689">IF(BF1055&gt;1,_xlfn.STDEV.S(BF918:BF1047),0)</f>
        <v>0.66335345879255014</v>
      </c>
      <c r="BG1054" s="261">
        <f t="shared" si="689"/>
        <v>0.46914260457982865</v>
      </c>
      <c r="BH1054" s="122"/>
      <c r="BI1054" s="261">
        <f t="shared" ref="BI1054:BJ1054" si="690">IF(BI1055&gt;1,_xlfn.STDEV.S(BI918:BI1047),0)</f>
        <v>9.4499935682386974E-2</v>
      </c>
      <c r="BJ1054" s="261">
        <f t="shared" si="690"/>
        <v>9.4499935682386974E-2</v>
      </c>
      <c r="BK1054" s="122"/>
      <c r="BL1054" s="261">
        <f t="shared" ref="BL1054:BM1054" si="691">IF(BL1055&gt;1,_xlfn.STDEV.S(BL918:BL1047),0)</f>
        <v>0</v>
      </c>
      <c r="BM1054" s="261">
        <f t="shared" si="691"/>
        <v>0</v>
      </c>
      <c r="BN1054" s="122"/>
      <c r="BO1054" s="261">
        <f t="shared" ref="BO1054:BP1054" si="692">IF(BO1055&gt;1,_xlfn.STDEV.S(BO918:BO1047),0)</f>
        <v>0</v>
      </c>
      <c r="BP1054" s="261">
        <f t="shared" si="692"/>
        <v>0</v>
      </c>
      <c r="BQ1054" s="122"/>
      <c r="BR1054" s="261">
        <f t="shared" ref="BR1054:BS1054" si="693">IF(BR1055&gt;1,_xlfn.STDEV.S(BR918:BR1047),0)</f>
        <v>0</v>
      </c>
      <c r="BS1054" s="261">
        <f t="shared" si="693"/>
        <v>0</v>
      </c>
      <c r="BT1054" s="122"/>
      <c r="BU1054" s="261">
        <f t="shared" ref="BU1054:BV1054" si="694">IF(BU1055&gt;1,_xlfn.STDEV.S(BU918:BU1047),0)</f>
        <v>0</v>
      </c>
      <c r="BV1054" s="261">
        <f t="shared" si="694"/>
        <v>0</v>
      </c>
      <c r="BW1054" s="122"/>
      <c r="BX1054" s="91"/>
    </row>
    <row r="1055" spans="1:76" s="55" customFormat="1" x14ac:dyDescent="0.2">
      <c r="B1055" s="23"/>
      <c r="C1055" s="122"/>
      <c r="D1055" s="277"/>
      <c r="E1055" s="278"/>
      <c r="F1055" s="278"/>
      <c r="G1055" s="278"/>
      <c r="H1055" s="278"/>
      <c r="I1055" s="278"/>
      <c r="J1055" s="279"/>
      <c r="Q1055" s="81"/>
      <c r="R1055" s="280" t="s">
        <v>158</v>
      </c>
      <c r="T1055" s="122"/>
      <c r="U1055" s="281"/>
      <c r="V1055" s="282"/>
      <c r="W1055" s="283"/>
      <c r="Y1055" s="91"/>
      <c r="AO1055" s="91"/>
      <c r="AP1055" s="122"/>
      <c r="AQ1055" s="122"/>
      <c r="AR1055" s="122"/>
      <c r="AS1055" s="133" t="s">
        <v>159</v>
      </c>
      <c r="AT1055" s="284">
        <f>COUNT(AT918:AT1047)</f>
        <v>0</v>
      </c>
      <c r="AU1055" s="284">
        <f>COUNT(AU918:AU1047)</f>
        <v>0</v>
      </c>
      <c r="AV1055" s="122"/>
      <c r="AW1055" s="284">
        <f t="shared" ref="AW1055:AX1055" si="695">COUNT(AW918:AW1047)</f>
        <v>42</v>
      </c>
      <c r="AX1055" s="284">
        <f t="shared" si="695"/>
        <v>42</v>
      </c>
      <c r="AY1055" s="122"/>
      <c r="AZ1055" s="284">
        <f t="shared" ref="AZ1055:BA1055" si="696">COUNT(AZ918:AZ1047)</f>
        <v>0</v>
      </c>
      <c r="BA1055" s="284">
        <f t="shared" si="696"/>
        <v>0</v>
      </c>
      <c r="BB1055" s="122"/>
      <c r="BC1055" s="284">
        <f t="shared" ref="BC1055:BD1055" si="697">COUNT(BC918:BC1047)</f>
        <v>7</v>
      </c>
      <c r="BD1055" s="284">
        <f t="shared" si="697"/>
        <v>7</v>
      </c>
      <c r="BE1055" s="122"/>
      <c r="BF1055" s="284">
        <f t="shared" ref="BF1055:BG1055" si="698">COUNT(BF918:BF1047)</f>
        <v>49</v>
      </c>
      <c r="BG1055" s="284">
        <f t="shared" si="698"/>
        <v>47</v>
      </c>
      <c r="BH1055" s="122"/>
      <c r="BI1055" s="284">
        <f t="shared" ref="BI1055:BJ1055" si="699">COUNT(BI918:BI1047)</f>
        <v>28</v>
      </c>
      <c r="BJ1055" s="284">
        <f t="shared" si="699"/>
        <v>28</v>
      </c>
      <c r="BK1055" s="122"/>
      <c r="BL1055" s="284">
        <f t="shared" ref="BL1055:BM1055" si="700">COUNT(BL918:BL1047)</f>
        <v>0</v>
      </c>
      <c r="BM1055" s="284">
        <f t="shared" si="700"/>
        <v>0</v>
      </c>
      <c r="BN1055" s="122"/>
      <c r="BO1055" s="284">
        <f t="shared" ref="BO1055:BP1055" si="701">COUNT(BO918:BO1047)</f>
        <v>0</v>
      </c>
      <c r="BP1055" s="284">
        <f t="shared" si="701"/>
        <v>0</v>
      </c>
      <c r="BQ1055" s="122"/>
      <c r="BR1055" s="284">
        <f t="shared" ref="BR1055:BS1055" si="702">COUNT(BR918:BR1047)</f>
        <v>0</v>
      </c>
      <c r="BS1055" s="284">
        <f t="shared" si="702"/>
        <v>0</v>
      </c>
      <c r="BT1055" s="122"/>
      <c r="BU1055" s="284">
        <f t="shared" ref="BU1055:BV1055" si="703">COUNT(BU918:BU1047)</f>
        <v>0</v>
      </c>
      <c r="BV1055" s="284">
        <f t="shared" si="703"/>
        <v>0</v>
      </c>
      <c r="BW1055" s="122"/>
      <c r="BX1055" s="91"/>
    </row>
    <row r="1056" spans="1:76" s="55" customFormat="1" ht="14.25" x14ac:dyDescent="0.2">
      <c r="B1056" s="23"/>
      <c r="Q1056" s="81"/>
      <c r="R1056" s="287" t="s">
        <v>149</v>
      </c>
      <c r="T1056" s="122"/>
      <c r="U1056" s="281"/>
      <c r="V1056" s="282"/>
      <c r="W1056" s="283"/>
      <c r="Y1056" s="91"/>
      <c r="AO1056" s="91"/>
      <c r="BX1056" s="91"/>
    </row>
    <row r="1057" spans="1:76" s="55" customFormat="1" ht="14.25" x14ac:dyDescent="0.2">
      <c r="B1057" s="23"/>
      <c r="Q1057" s="81"/>
      <c r="T1057" s="122"/>
      <c r="U1057" s="288"/>
      <c r="V1057" s="289"/>
      <c r="W1057" s="290"/>
      <c r="Y1057" s="91"/>
      <c r="AO1057" s="91"/>
      <c r="BX1057" s="91"/>
    </row>
    <row r="1058" spans="1:76" s="55" customFormat="1" ht="18" x14ac:dyDescent="0.25">
      <c r="B1058" s="23"/>
      <c r="Q1058" s="81"/>
      <c r="T1058" s="122"/>
      <c r="U1058" s="122"/>
      <c r="V1058" s="122"/>
      <c r="W1058" s="122"/>
      <c r="Y1058" s="91"/>
      <c r="AO1058" s="296"/>
      <c r="AP1058" s="345"/>
      <c r="AQ1058" s="345"/>
      <c r="AR1058" s="346"/>
      <c r="AS1058" s="346"/>
      <c r="AT1058" s="346"/>
      <c r="AU1058" s="346"/>
      <c r="AV1058" s="346"/>
      <c r="AW1058" s="346"/>
      <c r="AX1058" s="346"/>
      <c r="AY1058" s="346"/>
      <c r="AZ1058" s="346"/>
      <c r="BA1058" s="346"/>
      <c r="BB1058" s="346"/>
      <c r="BC1058" s="346"/>
      <c r="BD1058" s="346"/>
      <c r="BE1058" s="346"/>
      <c r="BF1058" s="346"/>
      <c r="BG1058" s="346"/>
      <c r="BH1058" s="346"/>
      <c r="BI1058" s="346"/>
      <c r="BJ1058" s="346"/>
      <c r="BK1058" s="346"/>
      <c r="BL1058" s="346"/>
      <c r="BM1058" s="346"/>
      <c r="BN1058" s="346"/>
      <c r="BO1058" s="346"/>
      <c r="BP1058" s="346"/>
      <c r="BQ1058" s="346"/>
      <c r="BR1058" s="346"/>
      <c r="BS1058" s="346"/>
      <c r="BT1058" s="346"/>
      <c r="BU1058" s="346"/>
      <c r="BV1058" s="346"/>
      <c r="BW1058" s="346"/>
      <c r="BX1058" s="296"/>
    </row>
    <row r="1059" spans="1:76" s="55" customFormat="1" ht="14.25" x14ac:dyDescent="0.2">
      <c r="B1059" s="23"/>
      <c r="Q1059" s="81"/>
      <c r="Y1059" s="91"/>
      <c r="AO1059" s="91"/>
      <c r="BT1059" s="122"/>
      <c r="BX1059" s="91"/>
    </row>
    <row r="1060" spans="1:76" s="55" customFormat="1" ht="14.25" x14ac:dyDescent="0.2">
      <c r="B1060" s="23"/>
      <c r="Q1060" s="81"/>
      <c r="Y1060" s="91"/>
      <c r="AO1060" s="91"/>
      <c r="BT1060" s="122"/>
      <c r="BX1060" s="91"/>
    </row>
    <row r="1061" spans="1:76" s="9" customFormat="1" ht="18" x14ac:dyDescent="0.25">
      <c r="A1061" s="188">
        <f>A915+1</f>
        <v>19</v>
      </c>
      <c r="B1061" s="189"/>
      <c r="C1061" s="385" t="s">
        <v>687</v>
      </c>
      <c r="D1061" s="386"/>
      <c r="E1061" s="386"/>
      <c r="F1061" s="386"/>
      <c r="G1061" s="386"/>
      <c r="H1061" s="387"/>
      <c r="I1061" s="387"/>
      <c r="J1061" s="386"/>
      <c r="K1061" s="386"/>
      <c r="L1061" s="387"/>
      <c r="M1061" s="387"/>
      <c r="N1061" s="387"/>
      <c r="O1061" s="387"/>
      <c r="P1061" s="387"/>
      <c r="Q1061" s="388"/>
      <c r="R1061" s="194" t="s">
        <v>93</v>
      </c>
      <c r="S1061" s="194"/>
      <c r="T1061" s="194"/>
      <c r="U1061" s="194"/>
      <c r="V1061" s="387"/>
      <c r="W1061" s="387"/>
      <c r="AP1061" s="175">
        <f>A1061</f>
        <v>19</v>
      </c>
      <c r="AQ1061" s="175" t="str">
        <f>C1061</f>
        <v>Indirect CO2 Emissions per CONVENTIONAL Implementation OR functional Unit -- CHOOSE ONLY ONE on Advanced Controls</v>
      </c>
    </row>
    <row r="1062" spans="1:76" s="55" customFormat="1" x14ac:dyDescent="0.25">
      <c r="A1062" s="359"/>
      <c r="B1062" s="389"/>
      <c r="C1062" s="359"/>
      <c r="D1062" s="390"/>
      <c r="E1062" s="390"/>
      <c r="F1062" s="390"/>
      <c r="G1062" s="390"/>
      <c r="H1062" s="359"/>
      <c r="I1062" s="359"/>
      <c r="J1062" s="390"/>
      <c r="K1062" s="390"/>
      <c r="L1062" s="359"/>
      <c r="M1062" s="359"/>
      <c r="N1062" s="359"/>
      <c r="O1062" s="359"/>
      <c r="P1062" s="359"/>
      <c r="Q1062" s="391"/>
      <c r="R1062" s="359"/>
      <c r="S1062" s="359"/>
      <c r="T1062" s="359"/>
      <c r="U1062" s="359"/>
      <c r="V1062" s="359"/>
      <c r="W1062" s="359"/>
      <c r="Y1062" s="91"/>
      <c r="AO1062" s="91"/>
      <c r="AP1062" s="28"/>
      <c r="AQ1062" s="28"/>
      <c r="AR1062" s="28"/>
      <c r="AS1062" s="28"/>
      <c r="AT1062" s="198" t="s">
        <v>171</v>
      </c>
      <c r="AU1062" s="198"/>
      <c r="AV1062" s="28"/>
      <c r="AW1062" s="198" t="s">
        <v>96</v>
      </c>
      <c r="AX1062" s="198"/>
      <c r="AY1062" s="28"/>
      <c r="AZ1062" s="198" t="s">
        <v>97</v>
      </c>
      <c r="BA1062" s="198"/>
      <c r="BB1062" s="28"/>
      <c r="BC1062" s="198" t="s">
        <v>98</v>
      </c>
      <c r="BD1062" s="198"/>
      <c r="BE1062" s="28"/>
      <c r="BF1062" s="198" t="s">
        <v>99</v>
      </c>
      <c r="BG1062" s="198"/>
      <c r="BH1062" s="28"/>
      <c r="BI1062" s="198" t="s">
        <v>100</v>
      </c>
      <c r="BJ1062" s="198"/>
      <c r="BK1062" s="28"/>
      <c r="BL1062" s="198" t="s">
        <v>101</v>
      </c>
      <c r="BM1062" s="198"/>
      <c r="BN1062" s="28"/>
      <c r="BO1062" s="198" t="s">
        <v>102</v>
      </c>
      <c r="BP1062" s="198"/>
      <c r="BQ1062" s="28"/>
      <c r="BR1062" s="198" t="s">
        <v>103</v>
      </c>
      <c r="BS1062" s="198"/>
      <c r="BT1062" s="28"/>
      <c r="BU1062" s="198" t="s">
        <v>104</v>
      </c>
      <c r="BV1062" s="198"/>
      <c r="BW1062" s="28"/>
      <c r="BX1062" s="91"/>
    </row>
    <row r="1063" spans="1:76" s="55" customFormat="1" ht="30.75" thickBot="1" x14ac:dyDescent="0.3">
      <c r="A1063" s="392" t="s">
        <v>105</v>
      </c>
      <c r="B1063" s="200" t="s">
        <v>106</v>
      </c>
      <c r="C1063" s="201" t="s">
        <v>107</v>
      </c>
      <c r="D1063" s="202" t="s">
        <v>108</v>
      </c>
      <c r="E1063" s="202" t="s">
        <v>109</v>
      </c>
      <c r="F1063" s="201" t="s">
        <v>110</v>
      </c>
      <c r="G1063" s="201" t="s">
        <v>111</v>
      </c>
      <c r="H1063" s="202" t="s">
        <v>112</v>
      </c>
      <c r="I1063" s="203" t="s">
        <v>113</v>
      </c>
      <c r="J1063" s="204" t="s">
        <v>114</v>
      </c>
      <c r="K1063" s="205" t="s">
        <v>115</v>
      </c>
      <c r="L1063" s="206" t="s">
        <v>116</v>
      </c>
      <c r="M1063" s="207" t="s">
        <v>117</v>
      </c>
      <c r="N1063" s="208" t="s">
        <v>118</v>
      </c>
      <c r="O1063" s="207" t="s">
        <v>119</v>
      </c>
      <c r="P1063" s="210"/>
      <c r="Q1063" s="211" t="s">
        <v>120</v>
      </c>
      <c r="R1063" s="212" t="s">
        <v>121</v>
      </c>
      <c r="S1063" s="212" t="s">
        <v>122</v>
      </c>
      <c r="T1063" s="212" t="s">
        <v>123</v>
      </c>
      <c r="U1063" s="213" t="s">
        <v>124</v>
      </c>
      <c r="V1063" s="210"/>
      <c r="W1063" s="210"/>
      <c r="Y1063" s="91"/>
      <c r="AO1063" s="91"/>
      <c r="AP1063" s="210"/>
      <c r="AQ1063" s="210"/>
      <c r="AR1063" s="213" t="s">
        <v>125</v>
      </c>
      <c r="AS1063" s="210"/>
      <c r="AT1063" s="215" t="s">
        <v>121</v>
      </c>
      <c r="AU1063" s="215" t="s">
        <v>122</v>
      </c>
      <c r="AV1063" s="210"/>
      <c r="AW1063" s="215" t="s">
        <v>121</v>
      </c>
      <c r="AX1063" s="215" t="s">
        <v>122</v>
      </c>
      <c r="AY1063" s="210"/>
      <c r="AZ1063" s="215" t="s">
        <v>121</v>
      </c>
      <c r="BA1063" s="215" t="s">
        <v>122</v>
      </c>
      <c r="BB1063" s="210"/>
      <c r="BC1063" s="215" t="s">
        <v>121</v>
      </c>
      <c r="BD1063" s="215" t="s">
        <v>122</v>
      </c>
      <c r="BE1063" s="210"/>
      <c r="BF1063" s="215" t="s">
        <v>121</v>
      </c>
      <c r="BG1063" s="215" t="s">
        <v>122</v>
      </c>
      <c r="BH1063" s="210"/>
      <c r="BI1063" s="215" t="s">
        <v>121</v>
      </c>
      <c r="BJ1063" s="215" t="s">
        <v>122</v>
      </c>
      <c r="BK1063" s="210"/>
      <c r="BL1063" s="215" t="s">
        <v>121</v>
      </c>
      <c r="BM1063" s="215" t="s">
        <v>122</v>
      </c>
      <c r="BN1063" s="210"/>
      <c r="BO1063" s="215" t="s">
        <v>121</v>
      </c>
      <c r="BP1063" s="215" t="s">
        <v>122</v>
      </c>
      <c r="BQ1063" s="210"/>
      <c r="BR1063" s="215" t="s">
        <v>121</v>
      </c>
      <c r="BS1063" s="215" t="s">
        <v>122</v>
      </c>
      <c r="BT1063" s="210"/>
      <c r="BU1063" s="215" t="s">
        <v>121</v>
      </c>
      <c r="BV1063" s="215" t="s">
        <v>122</v>
      </c>
      <c r="BW1063" s="210"/>
      <c r="BX1063" s="91"/>
    </row>
    <row r="1064" spans="1:76" s="55" customFormat="1" x14ac:dyDescent="0.25">
      <c r="A1064" s="359">
        <v>1</v>
      </c>
      <c r="B1064" s="216" t="str">
        <f t="shared" ref="B1064:B1127" si="704">CONCATENATE(E1064,": ",C1064)</f>
        <v>World: FAO. 2017. Global Livestock Environmental Assessment Model (GLEAM)</v>
      </c>
      <c r="C1064" s="219" t="s">
        <v>227</v>
      </c>
      <c r="D1064" s="219" t="s">
        <v>370</v>
      </c>
      <c r="E1064" s="219" t="s">
        <v>95</v>
      </c>
      <c r="F1064" s="219" t="s">
        <v>371</v>
      </c>
      <c r="G1064" s="220" t="s">
        <v>26</v>
      </c>
      <c r="H1064" s="221">
        <v>2010</v>
      </c>
      <c r="I1064" s="220"/>
      <c r="J1064" s="227">
        <v>944929928440.17566</v>
      </c>
      <c r="K1064" s="226" t="s">
        <v>688</v>
      </c>
      <c r="L1064" s="334">
        <f>J1064/[1]GHGsources!$B$14*0.001</f>
        <v>3.2401555252694558E-2</v>
      </c>
      <c r="M1064" s="225" t="str">
        <f>CONCATENATE("t CO2-eq/ ",IF('[1]Advanced Controls'!$F$169="Implementation",AdoptionUnitOfMeasure,FunctionalUnitOfMeasure))</f>
        <v>t CO2-eq/ kg of protein</v>
      </c>
      <c r="N1064" s="227"/>
      <c r="O1064" s="227" t="s">
        <v>373</v>
      </c>
      <c r="P1064" s="122"/>
      <c r="Q1064" s="228"/>
      <c r="R1064" s="231">
        <f>IF(Q1064="Y","",IF(AND(L1064="",J1064=""),"",IF(L1064="",J1064,L1064)))</f>
        <v>3.2401555252694558E-2</v>
      </c>
      <c r="S1064" s="230">
        <f t="shared" ref="S1064:S1127" si="705">IF(R1064="","",IF($R$1218="Y",T1064,IF(R1064&gt;=$R$1210-$AA$35*$R$1214,IF(R1064&lt;=$R$1210+$AA$35*$R$1214,R1064,""),"")))</f>
        <v>3.2401555252694558E-2</v>
      </c>
      <c r="T1064" s="231">
        <f t="shared" ref="T1064:T1078" si="706">IF(OR(Q1064="Y",IFERROR(R1064&gt;R1210+R1214*$AA$35,0),IFERROR(R1064&lt;R1210-R1214*$AA$35,0)),"",IFERROR(R1064*N1064,""))</f>
        <v>0</v>
      </c>
      <c r="U1064" s="232" t="str">
        <f t="shared" ref="U1064:U1127" si="707">IF(AND(M1064="",K1064=""),"",IF(M1064="",K1064,M1064))</f>
        <v>t CO2-eq/ kg of protein</v>
      </c>
      <c r="V1064" s="28"/>
      <c r="W1064" s="28"/>
      <c r="Y1064" s="91"/>
      <c r="AO1064" s="91"/>
      <c r="AP1064" s="28"/>
      <c r="AQ1064" s="28"/>
      <c r="AR1064" s="233" t="str">
        <f>$U1064</f>
        <v>t CO2-eq/ kg of protein</v>
      </c>
      <c r="AS1064" s="28"/>
      <c r="AT1064" s="304">
        <f>IF($E1064=$AT$47,R1064,"")</f>
        <v>3.2401555252694558E-2</v>
      </c>
      <c r="AU1064" s="304">
        <f>IF($E1064=$AT$47,S1064,"")</f>
        <v>3.2401555252694558E-2</v>
      </c>
      <c r="AV1064" s="28"/>
      <c r="AW1064" s="304" t="str">
        <f t="shared" ref="AW1064:AX1079" si="708">IF($E1064=$AW$83,R1064,"")</f>
        <v/>
      </c>
      <c r="AX1064" s="304" t="str">
        <f t="shared" si="708"/>
        <v/>
      </c>
      <c r="AY1064" s="28"/>
      <c r="AZ1064" s="304" t="str">
        <f t="shared" ref="AZ1064:BA1079" si="709">IF($E1064=$AZ$83,R1064,"")</f>
        <v/>
      </c>
      <c r="BA1064" s="304" t="str">
        <f t="shared" si="709"/>
        <v/>
      </c>
      <c r="BB1064" s="28"/>
      <c r="BC1064" s="304" t="str">
        <f t="shared" ref="BC1064:BD1079" si="710">IF($E1064=$BC$83,R1064,"")</f>
        <v/>
      </c>
      <c r="BD1064" s="304" t="str">
        <f t="shared" si="710"/>
        <v/>
      </c>
      <c r="BE1064" s="28"/>
      <c r="BF1064" s="304" t="str">
        <f t="shared" ref="BF1064:BG1079" si="711">IF($E1064=$BF$83,R1064,"")</f>
        <v/>
      </c>
      <c r="BG1064" s="304" t="str">
        <f t="shared" si="711"/>
        <v/>
      </c>
      <c r="BH1064" s="28"/>
      <c r="BI1064" s="304" t="str">
        <f t="shared" ref="BI1064:BJ1079" si="712">IF($E1064=$BI$83,R1064,"")</f>
        <v/>
      </c>
      <c r="BJ1064" s="304" t="str">
        <f t="shared" si="712"/>
        <v/>
      </c>
      <c r="BK1064" s="28"/>
      <c r="BL1064" s="304" t="str">
        <f t="shared" ref="BL1064:BM1079" si="713">IF($E1064=$BL$83,R1064,"")</f>
        <v/>
      </c>
      <c r="BM1064" s="304" t="str">
        <f t="shared" si="713"/>
        <v/>
      </c>
      <c r="BN1064" s="28"/>
      <c r="BO1064" s="304" t="str">
        <f t="shared" ref="BO1064:BP1079" si="714">IF($E1064=$BO$83,R1064,"")</f>
        <v/>
      </c>
      <c r="BP1064" s="304" t="str">
        <f t="shared" si="714"/>
        <v/>
      </c>
      <c r="BQ1064" s="28"/>
      <c r="BR1064" s="304" t="str">
        <f t="shared" ref="BR1064:BS1079" si="715">IF($E1064=$BR$83,R1064,"")</f>
        <v/>
      </c>
      <c r="BS1064" s="304" t="str">
        <f t="shared" si="715"/>
        <v/>
      </c>
      <c r="BT1064" s="28"/>
      <c r="BU1064" s="304" t="str">
        <f t="shared" ref="BU1064:BV1079" si="716">IF($E1064=$BU$83,R1064,"")</f>
        <v/>
      </c>
      <c r="BV1064" s="304" t="str">
        <f t="shared" si="716"/>
        <v/>
      </c>
      <c r="BW1064" s="28"/>
      <c r="BX1064" s="91"/>
    </row>
    <row r="1065" spans="1:76" s="55" customFormat="1" x14ac:dyDescent="0.25">
      <c r="A1065" s="359">
        <v>2</v>
      </c>
      <c r="B1065" s="216" t="str">
        <f t="shared" si="704"/>
        <v>Asia (Sans Japan): FAO. 2017. Global Livestock Environmental Assessment Model (GLEAM)</v>
      </c>
      <c r="C1065" s="219" t="s">
        <v>227</v>
      </c>
      <c r="D1065" s="219" t="s">
        <v>374</v>
      </c>
      <c r="E1065" s="219" t="s">
        <v>98</v>
      </c>
      <c r="F1065" s="219" t="s">
        <v>375</v>
      </c>
      <c r="G1065" s="220" t="s">
        <v>26</v>
      </c>
      <c r="H1065" s="221">
        <v>2010</v>
      </c>
      <c r="I1065" s="220"/>
      <c r="J1065" s="227">
        <v>91772321212.791382</v>
      </c>
      <c r="K1065" s="226" t="s">
        <v>688</v>
      </c>
      <c r="L1065" s="334">
        <f>J1065/[1]GHGsources!$B$15*0.001</f>
        <v>3.0720412561036997E-2</v>
      </c>
      <c r="M1065" s="225" t="str">
        <f>CONCATENATE("t CO2-eq/ ",IF('[1]Advanced Controls'!$F$169="Implementation",AdoptionUnitOfMeasure,FunctionalUnitOfMeasure))</f>
        <v>t CO2-eq/ kg of protein</v>
      </c>
      <c r="N1065" s="227"/>
      <c r="O1065" s="227" t="s">
        <v>373</v>
      </c>
      <c r="P1065" s="122"/>
      <c r="Q1065" s="228"/>
      <c r="R1065" s="231">
        <f>IF(Q1065="Y","",IF(AND(L1065="",J1065=""),"",IF(L1065="",J1065,L1065)))</f>
        <v>3.0720412561036997E-2</v>
      </c>
      <c r="S1065" s="230">
        <f t="shared" si="705"/>
        <v>3.0720412561036997E-2</v>
      </c>
      <c r="T1065" s="231">
        <f t="shared" si="706"/>
        <v>0</v>
      </c>
      <c r="U1065" s="232" t="str">
        <f t="shared" si="707"/>
        <v>t CO2-eq/ kg of protein</v>
      </c>
      <c r="V1065" s="28"/>
      <c r="W1065" s="28"/>
      <c r="Y1065" s="91"/>
      <c r="AO1065" s="91"/>
      <c r="AP1065" s="28"/>
      <c r="AQ1065" s="28"/>
      <c r="AR1065" s="233" t="str">
        <f t="shared" ref="AR1065:AR1128" si="717">$U1065</f>
        <v>t CO2-eq/ kg of protein</v>
      </c>
      <c r="AS1065" s="28"/>
      <c r="AT1065" s="304" t="str">
        <f t="shared" ref="AT1065:AU1128" si="718">IF($E1065=$AT$47,R1065,"")</f>
        <v/>
      </c>
      <c r="AU1065" s="304" t="str">
        <f t="shared" si="718"/>
        <v/>
      </c>
      <c r="AV1065" s="28"/>
      <c r="AW1065" s="304" t="str">
        <f t="shared" si="708"/>
        <v/>
      </c>
      <c r="AX1065" s="304" t="str">
        <f t="shared" si="708"/>
        <v/>
      </c>
      <c r="AY1065" s="28"/>
      <c r="AZ1065" s="304" t="str">
        <f t="shared" si="709"/>
        <v/>
      </c>
      <c r="BA1065" s="304" t="str">
        <f t="shared" si="709"/>
        <v/>
      </c>
      <c r="BB1065" s="28"/>
      <c r="BC1065" s="304">
        <f t="shared" si="710"/>
        <v>3.0720412561036997E-2</v>
      </c>
      <c r="BD1065" s="304">
        <f t="shared" si="710"/>
        <v>3.0720412561036997E-2</v>
      </c>
      <c r="BE1065" s="28"/>
      <c r="BF1065" s="304" t="str">
        <f t="shared" si="711"/>
        <v/>
      </c>
      <c r="BG1065" s="304" t="str">
        <f t="shared" si="711"/>
        <v/>
      </c>
      <c r="BH1065" s="28"/>
      <c r="BI1065" s="304" t="str">
        <f t="shared" si="712"/>
        <v/>
      </c>
      <c r="BJ1065" s="304" t="str">
        <f t="shared" si="712"/>
        <v/>
      </c>
      <c r="BK1065" s="28"/>
      <c r="BL1065" s="304" t="str">
        <f t="shared" si="713"/>
        <v/>
      </c>
      <c r="BM1065" s="304" t="str">
        <f t="shared" si="713"/>
        <v/>
      </c>
      <c r="BN1065" s="28"/>
      <c r="BO1065" s="304" t="str">
        <f t="shared" si="714"/>
        <v/>
      </c>
      <c r="BP1065" s="304" t="str">
        <f t="shared" si="714"/>
        <v/>
      </c>
      <c r="BQ1065" s="28"/>
      <c r="BR1065" s="304" t="str">
        <f t="shared" si="715"/>
        <v/>
      </c>
      <c r="BS1065" s="304" t="str">
        <f t="shared" si="715"/>
        <v/>
      </c>
      <c r="BT1065" s="28"/>
      <c r="BU1065" s="304" t="str">
        <f t="shared" si="716"/>
        <v/>
      </c>
      <c r="BV1065" s="304" t="str">
        <f t="shared" si="716"/>
        <v/>
      </c>
      <c r="BW1065" s="28"/>
      <c r="BX1065" s="91"/>
    </row>
    <row r="1066" spans="1:76" s="55" customFormat="1" x14ac:dyDescent="0.25">
      <c r="A1066" s="359">
        <v>3</v>
      </c>
      <c r="B1066" s="216" t="str">
        <f t="shared" si="704"/>
        <v>Eastern Europe: FAO. 2017. Global Livestock Environmental Assessment Model (GLEAM)</v>
      </c>
      <c r="C1066" s="219" t="s">
        <v>227</v>
      </c>
      <c r="D1066" s="219" t="s">
        <v>376</v>
      </c>
      <c r="E1066" s="219" t="s">
        <v>97</v>
      </c>
      <c r="F1066" s="219" t="s">
        <v>97</v>
      </c>
      <c r="G1066" s="220" t="s">
        <v>26</v>
      </c>
      <c r="H1066" s="221">
        <v>2010</v>
      </c>
      <c r="I1066" s="220"/>
      <c r="J1066" s="227">
        <v>18629226288.507416</v>
      </c>
      <c r="K1066" s="226" t="s">
        <v>688</v>
      </c>
      <c r="L1066" s="334">
        <f>J1066/[1]GHGsources!$B$16*0.001</f>
        <v>1.3884921771588872E-2</v>
      </c>
      <c r="M1066" s="225" t="str">
        <f>CONCATENATE("t CO2-eq/ ",IF('[1]Advanced Controls'!$F$169="Implementation",AdoptionUnitOfMeasure,FunctionalUnitOfMeasure))</f>
        <v>t CO2-eq/ kg of protein</v>
      </c>
      <c r="N1066" s="227"/>
      <c r="O1066" s="227" t="s">
        <v>373</v>
      </c>
      <c r="P1066" s="122"/>
      <c r="Q1066" s="228"/>
      <c r="R1066" s="231">
        <f t="shared" ref="R1066:R1129" si="719">IF(Q1066="Y","",IF(AND(L1066="",J1066=""),"",IF(L1066="",J1066,L1066)))</f>
        <v>1.3884921771588872E-2</v>
      </c>
      <c r="S1066" s="230">
        <f t="shared" si="705"/>
        <v>1.3884921771588872E-2</v>
      </c>
      <c r="T1066" s="231" t="str">
        <f t="shared" si="706"/>
        <v/>
      </c>
      <c r="U1066" s="232" t="str">
        <f t="shared" si="707"/>
        <v>t CO2-eq/ kg of protein</v>
      </c>
      <c r="V1066" s="28"/>
      <c r="W1066" s="28"/>
      <c r="Y1066" s="91"/>
      <c r="AO1066" s="91"/>
      <c r="AP1066" s="28"/>
      <c r="AQ1066" s="28"/>
      <c r="AR1066" s="233" t="str">
        <f t="shared" si="717"/>
        <v>t CO2-eq/ kg of protein</v>
      </c>
      <c r="AS1066" s="28"/>
      <c r="AT1066" s="304" t="str">
        <f t="shared" si="718"/>
        <v/>
      </c>
      <c r="AU1066" s="304" t="str">
        <f t="shared" si="718"/>
        <v/>
      </c>
      <c r="AV1066" s="28"/>
      <c r="AW1066" s="304" t="str">
        <f t="shared" si="708"/>
        <v/>
      </c>
      <c r="AX1066" s="304" t="str">
        <f t="shared" si="708"/>
        <v/>
      </c>
      <c r="AY1066" s="28"/>
      <c r="AZ1066" s="304">
        <f t="shared" si="709"/>
        <v>1.3884921771588872E-2</v>
      </c>
      <c r="BA1066" s="304">
        <f t="shared" si="709"/>
        <v>1.3884921771588872E-2</v>
      </c>
      <c r="BB1066" s="28"/>
      <c r="BC1066" s="304" t="str">
        <f t="shared" si="710"/>
        <v/>
      </c>
      <c r="BD1066" s="304" t="str">
        <f t="shared" si="710"/>
        <v/>
      </c>
      <c r="BE1066" s="28"/>
      <c r="BF1066" s="304" t="str">
        <f t="shared" si="711"/>
        <v/>
      </c>
      <c r="BG1066" s="304" t="str">
        <f t="shared" si="711"/>
        <v/>
      </c>
      <c r="BH1066" s="28"/>
      <c r="BI1066" s="304" t="str">
        <f t="shared" si="712"/>
        <v/>
      </c>
      <c r="BJ1066" s="304" t="str">
        <f t="shared" si="712"/>
        <v/>
      </c>
      <c r="BK1066" s="28"/>
      <c r="BL1066" s="304" t="str">
        <f t="shared" si="713"/>
        <v/>
      </c>
      <c r="BM1066" s="304" t="str">
        <f t="shared" si="713"/>
        <v/>
      </c>
      <c r="BN1066" s="28"/>
      <c r="BO1066" s="304" t="str">
        <f t="shared" si="714"/>
        <v/>
      </c>
      <c r="BP1066" s="304" t="str">
        <f t="shared" si="714"/>
        <v/>
      </c>
      <c r="BQ1066" s="28"/>
      <c r="BR1066" s="304" t="str">
        <f t="shared" si="715"/>
        <v/>
      </c>
      <c r="BS1066" s="304" t="str">
        <f t="shared" si="715"/>
        <v/>
      </c>
      <c r="BT1066" s="28"/>
      <c r="BU1066" s="304" t="str">
        <f t="shared" si="716"/>
        <v/>
      </c>
      <c r="BV1066" s="304" t="str">
        <f t="shared" si="716"/>
        <v/>
      </c>
      <c r="BW1066" s="28"/>
      <c r="BX1066" s="91"/>
    </row>
    <row r="1067" spans="1:76" s="55" customFormat="1" x14ac:dyDescent="0.25">
      <c r="A1067" s="359">
        <v>4</v>
      </c>
      <c r="B1067" s="216" t="str">
        <f t="shared" si="704"/>
        <v>Latin America: FAO. 2017. Global Livestock Environmental Assessment Model (GLEAM)</v>
      </c>
      <c r="C1067" s="219" t="s">
        <v>227</v>
      </c>
      <c r="D1067" s="219" t="s">
        <v>377</v>
      </c>
      <c r="E1067" s="219" t="s">
        <v>100</v>
      </c>
      <c r="F1067" s="219" t="s">
        <v>378</v>
      </c>
      <c r="G1067" s="220" t="s">
        <v>26</v>
      </c>
      <c r="H1067" s="221">
        <v>2010</v>
      </c>
      <c r="I1067" s="220"/>
      <c r="J1067" s="227">
        <v>501350536310.91486</v>
      </c>
      <c r="K1067" s="226" t="s">
        <v>688</v>
      </c>
      <c r="L1067" s="334">
        <f>J1067/[1]GHGsources!$B$17*0.001</f>
        <v>8.7243355087246885E-2</v>
      </c>
      <c r="M1067" s="225" t="str">
        <f>CONCATENATE("t CO2-eq/ ",IF('[1]Advanced Controls'!$F$169="Implementation",AdoptionUnitOfMeasure,FunctionalUnitOfMeasure))</f>
        <v>t CO2-eq/ kg of protein</v>
      </c>
      <c r="N1067" s="227"/>
      <c r="O1067" s="227" t="s">
        <v>373</v>
      </c>
      <c r="P1067" s="122"/>
      <c r="Q1067" s="228"/>
      <c r="R1067" s="231">
        <f t="shared" si="719"/>
        <v>8.7243355087246885E-2</v>
      </c>
      <c r="S1067" s="230">
        <f t="shared" si="705"/>
        <v>8.7243355087246885E-2</v>
      </c>
      <c r="T1067" s="231">
        <f t="shared" si="706"/>
        <v>0</v>
      </c>
      <c r="U1067" s="232" t="str">
        <f t="shared" si="707"/>
        <v>t CO2-eq/ kg of protein</v>
      </c>
      <c r="V1067" s="28"/>
      <c r="W1067" s="28"/>
      <c r="Y1067" s="91"/>
      <c r="AO1067" s="91"/>
      <c r="AP1067" s="28"/>
      <c r="AQ1067" s="28"/>
      <c r="AR1067" s="233" t="str">
        <f t="shared" si="717"/>
        <v>t CO2-eq/ kg of protein</v>
      </c>
      <c r="AS1067" s="28"/>
      <c r="AT1067" s="304" t="str">
        <f t="shared" si="718"/>
        <v/>
      </c>
      <c r="AU1067" s="304" t="str">
        <f t="shared" si="718"/>
        <v/>
      </c>
      <c r="AV1067" s="28"/>
      <c r="AW1067" s="304" t="str">
        <f t="shared" si="708"/>
        <v/>
      </c>
      <c r="AX1067" s="304" t="str">
        <f t="shared" si="708"/>
        <v/>
      </c>
      <c r="AY1067" s="28"/>
      <c r="AZ1067" s="304" t="str">
        <f t="shared" si="709"/>
        <v/>
      </c>
      <c r="BA1067" s="304" t="str">
        <f t="shared" si="709"/>
        <v/>
      </c>
      <c r="BB1067" s="28"/>
      <c r="BC1067" s="304" t="str">
        <f t="shared" si="710"/>
        <v/>
      </c>
      <c r="BD1067" s="304" t="str">
        <f t="shared" si="710"/>
        <v/>
      </c>
      <c r="BE1067" s="28"/>
      <c r="BF1067" s="304" t="str">
        <f t="shared" si="711"/>
        <v/>
      </c>
      <c r="BG1067" s="304" t="str">
        <f t="shared" si="711"/>
        <v/>
      </c>
      <c r="BH1067" s="28"/>
      <c r="BI1067" s="304">
        <f t="shared" si="712"/>
        <v>8.7243355087246885E-2</v>
      </c>
      <c r="BJ1067" s="304">
        <f t="shared" si="712"/>
        <v>8.7243355087246885E-2</v>
      </c>
      <c r="BK1067" s="28"/>
      <c r="BL1067" s="304" t="str">
        <f t="shared" si="713"/>
        <v/>
      </c>
      <c r="BM1067" s="304" t="str">
        <f t="shared" si="713"/>
        <v/>
      </c>
      <c r="BN1067" s="28"/>
      <c r="BO1067" s="304" t="str">
        <f t="shared" si="714"/>
        <v/>
      </c>
      <c r="BP1067" s="304" t="str">
        <f t="shared" si="714"/>
        <v/>
      </c>
      <c r="BQ1067" s="28"/>
      <c r="BR1067" s="304" t="str">
        <f t="shared" si="715"/>
        <v/>
      </c>
      <c r="BS1067" s="304" t="str">
        <f t="shared" si="715"/>
        <v/>
      </c>
      <c r="BT1067" s="28"/>
      <c r="BU1067" s="304" t="str">
        <f t="shared" si="716"/>
        <v/>
      </c>
      <c r="BV1067" s="304" t="str">
        <f t="shared" si="716"/>
        <v/>
      </c>
      <c r="BW1067" s="28"/>
      <c r="BX1067" s="91"/>
    </row>
    <row r="1068" spans="1:76" s="55" customFormat="1" x14ac:dyDescent="0.25">
      <c r="A1068" s="359">
        <v>5</v>
      </c>
      <c r="B1068" s="216" t="str">
        <f t="shared" si="704"/>
        <v>Middle East and Africa: FAO. 2017. Global Livestock Environmental Assessment Model (GLEAM)</v>
      </c>
      <c r="C1068" s="219" t="s">
        <v>227</v>
      </c>
      <c r="D1068" s="219" t="s">
        <v>379</v>
      </c>
      <c r="E1068" s="219" t="s">
        <v>99</v>
      </c>
      <c r="F1068" s="219" t="s">
        <v>380</v>
      </c>
      <c r="G1068" s="220" t="s">
        <v>26</v>
      </c>
      <c r="H1068" s="221">
        <v>2010</v>
      </c>
      <c r="I1068" s="220"/>
      <c r="J1068" s="227">
        <v>26683560987.986435</v>
      </c>
      <c r="K1068" s="226" t="s">
        <v>688</v>
      </c>
      <c r="L1068" s="334">
        <f>J1068/[1]GHGsources!$B$18*0.001</f>
        <v>1.3941162294919797E-2</v>
      </c>
      <c r="M1068" s="225" t="str">
        <f>CONCATENATE("t CO2-eq/ ",IF('[1]Advanced Controls'!$F$169="Implementation",AdoptionUnitOfMeasure,FunctionalUnitOfMeasure))</f>
        <v>t CO2-eq/ kg of protein</v>
      </c>
      <c r="N1068" s="227"/>
      <c r="O1068" s="227" t="s">
        <v>373</v>
      </c>
      <c r="P1068" s="122"/>
      <c r="Q1068" s="228"/>
      <c r="R1068" s="231">
        <f t="shared" si="719"/>
        <v>1.3941162294919797E-2</v>
      </c>
      <c r="S1068" s="230">
        <f t="shared" si="705"/>
        <v>1.3941162294919797E-2</v>
      </c>
      <c r="T1068" s="231">
        <f t="shared" si="706"/>
        <v>0</v>
      </c>
      <c r="U1068" s="232" t="str">
        <f t="shared" si="707"/>
        <v>t CO2-eq/ kg of protein</v>
      </c>
      <c r="V1068" s="28"/>
      <c r="W1068" s="28"/>
      <c r="Y1068" s="91"/>
      <c r="AO1068" s="91"/>
      <c r="AP1068" s="28"/>
      <c r="AQ1068" s="28"/>
      <c r="AR1068" s="233" t="str">
        <f t="shared" si="717"/>
        <v>t CO2-eq/ kg of protein</v>
      </c>
      <c r="AS1068" s="28"/>
      <c r="AT1068" s="304" t="str">
        <f t="shared" si="718"/>
        <v/>
      </c>
      <c r="AU1068" s="304" t="str">
        <f t="shared" si="718"/>
        <v/>
      </c>
      <c r="AV1068" s="28"/>
      <c r="AW1068" s="304" t="str">
        <f t="shared" si="708"/>
        <v/>
      </c>
      <c r="AX1068" s="304" t="str">
        <f t="shared" si="708"/>
        <v/>
      </c>
      <c r="AY1068" s="28"/>
      <c r="AZ1068" s="304" t="str">
        <f t="shared" si="709"/>
        <v/>
      </c>
      <c r="BA1068" s="304" t="str">
        <f t="shared" si="709"/>
        <v/>
      </c>
      <c r="BB1068" s="28"/>
      <c r="BC1068" s="304" t="str">
        <f t="shared" si="710"/>
        <v/>
      </c>
      <c r="BD1068" s="304" t="str">
        <f t="shared" si="710"/>
        <v/>
      </c>
      <c r="BE1068" s="28"/>
      <c r="BF1068" s="304">
        <f t="shared" si="711"/>
        <v>1.3941162294919797E-2</v>
      </c>
      <c r="BG1068" s="304">
        <f t="shared" si="711"/>
        <v>1.3941162294919797E-2</v>
      </c>
      <c r="BH1068" s="28"/>
      <c r="BI1068" s="304" t="str">
        <f t="shared" si="712"/>
        <v/>
      </c>
      <c r="BJ1068" s="304" t="str">
        <f t="shared" si="712"/>
        <v/>
      </c>
      <c r="BK1068" s="28"/>
      <c r="BL1068" s="304" t="str">
        <f t="shared" si="713"/>
        <v/>
      </c>
      <c r="BM1068" s="304" t="str">
        <f t="shared" si="713"/>
        <v/>
      </c>
      <c r="BN1068" s="28"/>
      <c r="BO1068" s="304" t="str">
        <f t="shared" si="714"/>
        <v/>
      </c>
      <c r="BP1068" s="304" t="str">
        <f t="shared" si="714"/>
        <v/>
      </c>
      <c r="BQ1068" s="28"/>
      <c r="BR1068" s="304" t="str">
        <f t="shared" si="715"/>
        <v/>
      </c>
      <c r="BS1068" s="304" t="str">
        <f t="shared" si="715"/>
        <v/>
      </c>
      <c r="BT1068" s="28"/>
      <c r="BU1068" s="304" t="str">
        <f t="shared" si="716"/>
        <v/>
      </c>
      <c r="BV1068" s="304" t="str">
        <f t="shared" si="716"/>
        <v/>
      </c>
      <c r="BW1068" s="28"/>
      <c r="BX1068" s="91"/>
    </row>
    <row r="1069" spans="1:76" s="55" customFormat="1" x14ac:dyDescent="0.25">
      <c r="A1069" s="359">
        <v>6</v>
      </c>
      <c r="B1069" s="216" t="str">
        <f t="shared" si="704"/>
        <v>OECD90: FAO. 2017. Global Livestock Environmental Assessment Model (GLEAM)</v>
      </c>
      <c r="C1069" s="219" t="s">
        <v>227</v>
      </c>
      <c r="D1069" s="219" t="s">
        <v>381</v>
      </c>
      <c r="E1069" s="219" t="s">
        <v>96</v>
      </c>
      <c r="F1069" s="219" t="s">
        <v>179</v>
      </c>
      <c r="G1069" s="220" t="s">
        <v>26</v>
      </c>
      <c r="H1069" s="221">
        <v>2010</v>
      </c>
      <c r="I1069" s="220"/>
      <c r="J1069" s="227">
        <v>70515033249.593582</v>
      </c>
      <c r="K1069" s="226" t="s">
        <v>688</v>
      </c>
      <c r="L1069" s="334">
        <f>J1069/[1]GHGsources!$B$19*0.001</f>
        <v>1.4256973850388448E-2</v>
      </c>
      <c r="M1069" s="225" t="str">
        <f>CONCATENATE("t CO2-eq/ ",IF('[1]Advanced Controls'!$F$169="Implementation",AdoptionUnitOfMeasure,FunctionalUnitOfMeasure))</f>
        <v>t CO2-eq/ kg of protein</v>
      </c>
      <c r="N1069" s="227"/>
      <c r="O1069" s="227" t="s">
        <v>373</v>
      </c>
      <c r="P1069" s="122"/>
      <c r="Q1069" s="228"/>
      <c r="R1069" s="231">
        <f t="shared" si="719"/>
        <v>1.4256973850388448E-2</v>
      </c>
      <c r="S1069" s="230">
        <f t="shared" si="705"/>
        <v>1.4256973850388448E-2</v>
      </c>
      <c r="T1069" s="231" t="str">
        <f t="shared" si="706"/>
        <v/>
      </c>
      <c r="U1069" s="232" t="str">
        <f t="shared" si="707"/>
        <v>t CO2-eq/ kg of protein</v>
      </c>
      <c r="V1069" s="28"/>
      <c r="W1069" s="28"/>
      <c r="Y1069" s="91"/>
      <c r="AO1069" s="91"/>
      <c r="AP1069" s="28"/>
      <c r="AQ1069" s="28"/>
      <c r="AR1069" s="233" t="str">
        <f t="shared" si="717"/>
        <v>t CO2-eq/ kg of protein</v>
      </c>
      <c r="AS1069" s="28"/>
      <c r="AT1069" s="304" t="str">
        <f t="shared" si="718"/>
        <v/>
      </c>
      <c r="AU1069" s="304" t="str">
        <f t="shared" si="718"/>
        <v/>
      </c>
      <c r="AV1069" s="28"/>
      <c r="AW1069" s="304">
        <f t="shared" si="708"/>
        <v>1.4256973850388448E-2</v>
      </c>
      <c r="AX1069" s="304">
        <f t="shared" si="708"/>
        <v>1.4256973850388448E-2</v>
      </c>
      <c r="AY1069" s="28"/>
      <c r="AZ1069" s="304" t="str">
        <f t="shared" si="709"/>
        <v/>
      </c>
      <c r="BA1069" s="304" t="str">
        <f t="shared" si="709"/>
        <v/>
      </c>
      <c r="BB1069" s="28"/>
      <c r="BC1069" s="304" t="str">
        <f t="shared" si="710"/>
        <v/>
      </c>
      <c r="BD1069" s="304" t="str">
        <f t="shared" si="710"/>
        <v/>
      </c>
      <c r="BE1069" s="28"/>
      <c r="BF1069" s="304" t="str">
        <f t="shared" si="711"/>
        <v/>
      </c>
      <c r="BG1069" s="304" t="str">
        <f t="shared" si="711"/>
        <v/>
      </c>
      <c r="BH1069" s="28"/>
      <c r="BI1069" s="304" t="str">
        <f t="shared" si="712"/>
        <v/>
      </c>
      <c r="BJ1069" s="304" t="str">
        <f t="shared" si="712"/>
        <v/>
      </c>
      <c r="BK1069" s="28"/>
      <c r="BL1069" s="304" t="str">
        <f t="shared" si="713"/>
        <v/>
      </c>
      <c r="BM1069" s="304" t="str">
        <f t="shared" si="713"/>
        <v/>
      </c>
      <c r="BN1069" s="28"/>
      <c r="BO1069" s="304" t="str">
        <f t="shared" si="714"/>
        <v/>
      </c>
      <c r="BP1069" s="304" t="str">
        <f t="shared" si="714"/>
        <v/>
      </c>
      <c r="BQ1069" s="28"/>
      <c r="BR1069" s="304" t="str">
        <f t="shared" si="715"/>
        <v/>
      </c>
      <c r="BS1069" s="304" t="str">
        <f t="shared" si="715"/>
        <v/>
      </c>
      <c r="BT1069" s="28"/>
      <c r="BU1069" s="304" t="str">
        <f t="shared" si="716"/>
        <v/>
      </c>
      <c r="BV1069" s="304" t="str">
        <f t="shared" si="716"/>
        <v/>
      </c>
      <c r="BW1069" s="28"/>
      <c r="BX1069" s="91"/>
    </row>
    <row r="1070" spans="1:76" s="55" customFormat="1" x14ac:dyDescent="0.25">
      <c r="A1070" s="359">
        <v>7</v>
      </c>
      <c r="B1070" s="216" t="str">
        <f t="shared" si="704"/>
        <v>OECD90: FAO. 2017. Global Livestock Environmental Assessment Model (GLEAM)</v>
      </c>
      <c r="C1070" s="219" t="s">
        <v>227</v>
      </c>
      <c r="D1070" s="219" t="s">
        <v>382</v>
      </c>
      <c r="E1070" s="219" t="s">
        <v>96</v>
      </c>
      <c r="F1070" s="219" t="s">
        <v>185</v>
      </c>
      <c r="G1070" s="220" t="s">
        <v>26</v>
      </c>
      <c r="H1070" s="221">
        <v>2010</v>
      </c>
      <c r="I1070" s="220"/>
      <c r="J1070" s="227">
        <v>20350254095.883598</v>
      </c>
      <c r="K1070" s="226" t="s">
        <v>688</v>
      </c>
      <c r="L1070" s="337">
        <f>J1070/[1]GHGsources!$B$20*0.001</f>
        <v>1.7193006734766952E-2</v>
      </c>
      <c r="M1070" s="225" t="str">
        <f>CONCATENATE("t CO2-eq/ ",IF('[1]Advanced Controls'!$F$169="Implementation",AdoptionUnitOfMeasure,FunctionalUnitOfMeasure))</f>
        <v>t CO2-eq/ kg of protein</v>
      </c>
      <c r="N1070" s="227"/>
      <c r="O1070" s="227" t="s">
        <v>373</v>
      </c>
      <c r="P1070" s="122"/>
      <c r="Q1070" s="228"/>
      <c r="R1070" s="231">
        <f t="shared" si="719"/>
        <v>1.7193006734766952E-2</v>
      </c>
      <c r="S1070" s="230">
        <f t="shared" si="705"/>
        <v>1.7193006734766952E-2</v>
      </c>
      <c r="T1070" s="231" t="str">
        <f t="shared" si="706"/>
        <v/>
      </c>
      <c r="U1070" s="232" t="str">
        <f t="shared" si="707"/>
        <v>t CO2-eq/ kg of protein</v>
      </c>
      <c r="V1070" s="28"/>
      <c r="W1070" s="28"/>
      <c r="Y1070" s="91"/>
      <c r="AO1070" s="91"/>
      <c r="AP1070" s="28"/>
      <c r="AQ1070" s="28"/>
      <c r="AR1070" s="233" t="str">
        <f t="shared" si="717"/>
        <v>t CO2-eq/ kg of protein</v>
      </c>
      <c r="AS1070" s="28"/>
      <c r="AT1070" s="304" t="str">
        <f t="shared" si="718"/>
        <v/>
      </c>
      <c r="AU1070" s="304" t="str">
        <f t="shared" si="718"/>
        <v/>
      </c>
      <c r="AV1070" s="28"/>
      <c r="AW1070" s="304">
        <f t="shared" si="708"/>
        <v>1.7193006734766952E-2</v>
      </c>
      <c r="AX1070" s="304">
        <f t="shared" si="708"/>
        <v>1.7193006734766952E-2</v>
      </c>
      <c r="AY1070" s="28"/>
      <c r="AZ1070" s="304" t="str">
        <f t="shared" si="709"/>
        <v/>
      </c>
      <c r="BA1070" s="304" t="str">
        <f t="shared" si="709"/>
        <v/>
      </c>
      <c r="BB1070" s="28"/>
      <c r="BC1070" s="304" t="str">
        <f t="shared" si="710"/>
        <v/>
      </c>
      <c r="BD1070" s="304" t="str">
        <f t="shared" si="710"/>
        <v/>
      </c>
      <c r="BE1070" s="28"/>
      <c r="BF1070" s="304" t="str">
        <f t="shared" si="711"/>
        <v/>
      </c>
      <c r="BG1070" s="304" t="str">
        <f t="shared" si="711"/>
        <v/>
      </c>
      <c r="BH1070" s="28"/>
      <c r="BI1070" s="304" t="str">
        <f t="shared" si="712"/>
        <v/>
      </c>
      <c r="BJ1070" s="304" t="str">
        <f t="shared" si="712"/>
        <v/>
      </c>
      <c r="BK1070" s="28"/>
      <c r="BL1070" s="304" t="str">
        <f t="shared" si="713"/>
        <v/>
      </c>
      <c r="BM1070" s="304" t="str">
        <f t="shared" si="713"/>
        <v/>
      </c>
      <c r="BN1070" s="28"/>
      <c r="BO1070" s="304" t="str">
        <f t="shared" si="714"/>
        <v/>
      </c>
      <c r="BP1070" s="304" t="str">
        <f t="shared" si="714"/>
        <v/>
      </c>
      <c r="BQ1070" s="28"/>
      <c r="BR1070" s="304" t="str">
        <f t="shared" si="715"/>
        <v/>
      </c>
      <c r="BS1070" s="304" t="str">
        <f t="shared" si="715"/>
        <v/>
      </c>
      <c r="BT1070" s="28"/>
      <c r="BU1070" s="304" t="str">
        <f t="shared" si="716"/>
        <v/>
      </c>
      <c r="BV1070" s="304" t="str">
        <f t="shared" si="716"/>
        <v/>
      </c>
      <c r="BW1070" s="28"/>
      <c r="BX1070" s="91"/>
    </row>
    <row r="1071" spans="1:76" s="55" customFormat="1" x14ac:dyDescent="0.25">
      <c r="A1071" s="359">
        <v>8</v>
      </c>
      <c r="B1071" s="216" t="str">
        <f t="shared" si="704"/>
        <v>Eastern Europe: FAO. 2017. Global Livestock Environmental Assessment Model (GLEAM)</v>
      </c>
      <c r="C1071" s="219" t="s">
        <v>227</v>
      </c>
      <c r="D1071" s="219" t="s">
        <v>383</v>
      </c>
      <c r="E1071" s="219" t="s">
        <v>97</v>
      </c>
      <c r="F1071" s="219" t="s">
        <v>384</v>
      </c>
      <c r="G1071" s="220" t="s">
        <v>26</v>
      </c>
      <c r="H1071" s="221">
        <v>2010</v>
      </c>
      <c r="I1071" s="220"/>
      <c r="J1071" s="227">
        <v>14321050245.249418</v>
      </c>
      <c r="K1071" s="226" t="s">
        <v>688</v>
      </c>
      <c r="L1071" s="334">
        <f>J1071/[1]GHGsources!$B$21*0.001</f>
        <v>1.2932086580602502E-2</v>
      </c>
      <c r="M1071" s="225" t="str">
        <f>CONCATENATE("t CO2-eq/ ",IF('[1]Advanced Controls'!$F$169="Implementation",AdoptionUnitOfMeasure,FunctionalUnitOfMeasure))</f>
        <v>t CO2-eq/ kg of protein</v>
      </c>
      <c r="N1071" s="227"/>
      <c r="O1071" s="227" t="s">
        <v>373</v>
      </c>
      <c r="P1071" s="122"/>
      <c r="Q1071" s="228"/>
      <c r="R1071" s="231">
        <f t="shared" si="719"/>
        <v>1.2932086580602502E-2</v>
      </c>
      <c r="S1071" s="230">
        <f t="shared" si="705"/>
        <v>1.2932086580602502E-2</v>
      </c>
      <c r="T1071" s="231">
        <f t="shared" si="706"/>
        <v>0</v>
      </c>
      <c r="U1071" s="232" t="str">
        <f t="shared" si="707"/>
        <v>t CO2-eq/ kg of protein</v>
      </c>
      <c r="V1071" s="28"/>
      <c r="W1071" s="28"/>
      <c r="Y1071" s="91"/>
      <c r="AO1071" s="91"/>
      <c r="AP1071" s="28"/>
      <c r="AQ1071" s="28"/>
      <c r="AR1071" s="233" t="str">
        <f t="shared" si="717"/>
        <v>t CO2-eq/ kg of protein</v>
      </c>
      <c r="AS1071" s="28"/>
      <c r="AT1071" s="304" t="str">
        <f t="shared" si="718"/>
        <v/>
      </c>
      <c r="AU1071" s="304" t="str">
        <f t="shared" si="718"/>
        <v/>
      </c>
      <c r="AV1071" s="28"/>
      <c r="AW1071" s="304" t="str">
        <f t="shared" si="708"/>
        <v/>
      </c>
      <c r="AX1071" s="304" t="str">
        <f t="shared" si="708"/>
        <v/>
      </c>
      <c r="AY1071" s="28"/>
      <c r="AZ1071" s="304">
        <f t="shared" si="709"/>
        <v>1.2932086580602502E-2</v>
      </c>
      <c r="BA1071" s="304">
        <f t="shared" si="709"/>
        <v>1.2932086580602502E-2</v>
      </c>
      <c r="BB1071" s="28"/>
      <c r="BC1071" s="304" t="str">
        <f t="shared" si="710"/>
        <v/>
      </c>
      <c r="BD1071" s="304" t="str">
        <f t="shared" si="710"/>
        <v/>
      </c>
      <c r="BE1071" s="28"/>
      <c r="BF1071" s="304" t="str">
        <f t="shared" si="711"/>
        <v/>
      </c>
      <c r="BG1071" s="304" t="str">
        <f t="shared" si="711"/>
        <v/>
      </c>
      <c r="BH1071" s="28"/>
      <c r="BI1071" s="304" t="str">
        <f t="shared" si="712"/>
        <v/>
      </c>
      <c r="BJ1071" s="304" t="str">
        <f t="shared" si="712"/>
        <v/>
      </c>
      <c r="BK1071" s="28"/>
      <c r="BL1071" s="304" t="str">
        <f t="shared" si="713"/>
        <v/>
      </c>
      <c r="BM1071" s="304" t="str">
        <f t="shared" si="713"/>
        <v/>
      </c>
      <c r="BN1071" s="28"/>
      <c r="BO1071" s="304" t="str">
        <f t="shared" si="714"/>
        <v/>
      </c>
      <c r="BP1071" s="304" t="str">
        <f t="shared" si="714"/>
        <v/>
      </c>
      <c r="BQ1071" s="28"/>
      <c r="BR1071" s="304" t="str">
        <f t="shared" si="715"/>
        <v/>
      </c>
      <c r="BS1071" s="304" t="str">
        <f t="shared" si="715"/>
        <v/>
      </c>
      <c r="BT1071" s="28"/>
      <c r="BU1071" s="304" t="str">
        <f t="shared" si="716"/>
        <v/>
      </c>
      <c r="BV1071" s="304" t="str">
        <f t="shared" si="716"/>
        <v/>
      </c>
      <c r="BW1071" s="28"/>
      <c r="BX1071" s="91"/>
    </row>
    <row r="1072" spans="1:76" s="55" customFormat="1" x14ac:dyDescent="0.25">
      <c r="A1072" s="359">
        <v>9</v>
      </c>
      <c r="B1072" s="216" t="str">
        <f t="shared" si="704"/>
        <v>Asia (Sans Japan): FAO. 2017. Global Livestock Environmental Assessment Model (GLEAM)</v>
      </c>
      <c r="C1072" s="219" t="s">
        <v>227</v>
      </c>
      <c r="D1072" s="219" t="s">
        <v>385</v>
      </c>
      <c r="E1072" s="219" t="s">
        <v>98</v>
      </c>
      <c r="F1072" s="219" t="s">
        <v>386</v>
      </c>
      <c r="G1072" s="220" t="s">
        <v>26</v>
      </c>
      <c r="H1072" s="221">
        <v>2010</v>
      </c>
      <c r="I1072" s="220"/>
      <c r="J1072" s="227">
        <v>111064451480.37065</v>
      </c>
      <c r="K1072" s="226" t="s">
        <v>688</v>
      </c>
      <c r="L1072" s="334">
        <f>J1072/[1]GHGsources!$B$22*0.001</f>
        <v>3.3533154856383335E-2</v>
      </c>
      <c r="M1072" s="225" t="str">
        <f>CONCATENATE("t CO2-eq/ ",IF('[1]Advanced Controls'!$F$169="Implementation",AdoptionUnitOfMeasure,FunctionalUnitOfMeasure))</f>
        <v>t CO2-eq/ kg of protein</v>
      </c>
      <c r="N1072" s="227"/>
      <c r="O1072" s="227" t="s">
        <v>373</v>
      </c>
      <c r="P1072" s="122"/>
      <c r="Q1072" s="228"/>
      <c r="R1072" s="231">
        <f t="shared" si="719"/>
        <v>3.3533154856383335E-2</v>
      </c>
      <c r="S1072" s="230">
        <f t="shared" si="705"/>
        <v>3.3533154856383335E-2</v>
      </c>
      <c r="T1072" s="231">
        <f t="shared" si="706"/>
        <v>0</v>
      </c>
      <c r="U1072" s="232" t="str">
        <f t="shared" si="707"/>
        <v>t CO2-eq/ kg of protein</v>
      </c>
      <c r="V1072" s="28"/>
      <c r="W1072" s="28"/>
      <c r="Y1072" s="91"/>
      <c r="AO1072" s="91"/>
      <c r="AP1072" s="28"/>
      <c r="AQ1072" s="28"/>
      <c r="AR1072" s="233" t="str">
        <f t="shared" si="717"/>
        <v>t CO2-eq/ kg of protein</v>
      </c>
      <c r="AS1072" s="28"/>
      <c r="AT1072" s="304" t="str">
        <f t="shared" si="718"/>
        <v/>
      </c>
      <c r="AU1072" s="304" t="str">
        <f t="shared" si="718"/>
        <v/>
      </c>
      <c r="AV1072" s="28"/>
      <c r="AW1072" s="304" t="str">
        <f t="shared" si="708"/>
        <v/>
      </c>
      <c r="AX1072" s="304" t="str">
        <f t="shared" si="708"/>
        <v/>
      </c>
      <c r="AY1072" s="28"/>
      <c r="AZ1072" s="304" t="str">
        <f t="shared" si="709"/>
        <v/>
      </c>
      <c r="BA1072" s="304" t="str">
        <f t="shared" si="709"/>
        <v/>
      </c>
      <c r="BB1072" s="28"/>
      <c r="BC1072" s="304">
        <f t="shared" si="710"/>
        <v>3.3533154856383335E-2</v>
      </c>
      <c r="BD1072" s="304">
        <f t="shared" si="710"/>
        <v>3.3533154856383335E-2</v>
      </c>
      <c r="BE1072" s="28"/>
      <c r="BF1072" s="304" t="str">
        <f t="shared" si="711"/>
        <v/>
      </c>
      <c r="BG1072" s="304" t="str">
        <f t="shared" si="711"/>
        <v/>
      </c>
      <c r="BH1072" s="28"/>
      <c r="BI1072" s="304" t="str">
        <f t="shared" si="712"/>
        <v/>
      </c>
      <c r="BJ1072" s="304" t="str">
        <f t="shared" si="712"/>
        <v/>
      </c>
      <c r="BK1072" s="28"/>
      <c r="BL1072" s="304" t="str">
        <f t="shared" si="713"/>
        <v/>
      </c>
      <c r="BM1072" s="304" t="str">
        <f t="shared" si="713"/>
        <v/>
      </c>
      <c r="BN1072" s="28"/>
      <c r="BO1072" s="304" t="str">
        <f t="shared" si="714"/>
        <v/>
      </c>
      <c r="BP1072" s="304" t="str">
        <f t="shared" si="714"/>
        <v/>
      </c>
      <c r="BQ1072" s="28"/>
      <c r="BR1072" s="304" t="str">
        <f t="shared" si="715"/>
        <v/>
      </c>
      <c r="BS1072" s="304" t="str">
        <f t="shared" si="715"/>
        <v/>
      </c>
      <c r="BT1072" s="28"/>
      <c r="BU1072" s="304" t="str">
        <f t="shared" si="716"/>
        <v/>
      </c>
      <c r="BV1072" s="304" t="str">
        <f t="shared" si="716"/>
        <v/>
      </c>
      <c r="BW1072" s="28"/>
      <c r="BX1072" s="91"/>
    </row>
    <row r="1073" spans="1:76" s="55" customFormat="1" x14ac:dyDescent="0.25">
      <c r="A1073" s="359">
        <v>10</v>
      </c>
      <c r="B1073" s="216" t="str">
        <f t="shared" si="704"/>
        <v>Middle East and Africa: FAO. 2017. Global Livestock Environmental Assessment Model (GLEAM)</v>
      </c>
      <c r="C1073" s="219" t="s">
        <v>227</v>
      </c>
      <c r="D1073" s="219" t="s">
        <v>387</v>
      </c>
      <c r="E1073" s="219" t="s">
        <v>99</v>
      </c>
      <c r="F1073" s="219" t="s">
        <v>388</v>
      </c>
      <c r="G1073" s="220" t="s">
        <v>26</v>
      </c>
      <c r="H1073" s="221">
        <v>2010</v>
      </c>
      <c r="I1073" s="220"/>
      <c r="J1073" s="227">
        <v>6428052333.5074348</v>
      </c>
      <c r="K1073" s="226" t="s">
        <v>688</v>
      </c>
      <c r="L1073" s="334">
        <f>J1073/[1]GHGsources!$B$23*0.001</f>
        <v>5.9397901613274283E-3</v>
      </c>
      <c r="M1073" s="225" t="str">
        <f>CONCATENATE("t CO2-eq/ ",IF('[1]Advanced Controls'!$F$169="Implementation",AdoptionUnitOfMeasure,FunctionalUnitOfMeasure))</f>
        <v>t CO2-eq/ kg of protein</v>
      </c>
      <c r="N1073" s="227"/>
      <c r="O1073" s="227" t="s">
        <v>373</v>
      </c>
      <c r="P1073" s="122"/>
      <c r="Q1073" s="228"/>
      <c r="R1073" s="231">
        <f t="shared" si="719"/>
        <v>5.9397901613274283E-3</v>
      </c>
      <c r="S1073" s="230">
        <f t="shared" si="705"/>
        <v>5.9397901613274283E-3</v>
      </c>
      <c r="T1073" s="231">
        <f t="shared" si="706"/>
        <v>0</v>
      </c>
      <c r="U1073" s="232" t="str">
        <f t="shared" si="707"/>
        <v>t CO2-eq/ kg of protein</v>
      </c>
      <c r="V1073" s="28"/>
      <c r="W1073" s="28"/>
      <c r="Y1073" s="91"/>
      <c r="AO1073" s="91"/>
      <c r="AP1073" s="28"/>
      <c r="AQ1073" s="28"/>
      <c r="AR1073" s="233" t="str">
        <f t="shared" si="717"/>
        <v>t CO2-eq/ kg of protein</v>
      </c>
      <c r="AS1073" s="28"/>
      <c r="AT1073" s="304" t="str">
        <f t="shared" si="718"/>
        <v/>
      </c>
      <c r="AU1073" s="304" t="str">
        <f t="shared" si="718"/>
        <v/>
      </c>
      <c r="AV1073" s="28"/>
      <c r="AW1073" s="304" t="str">
        <f t="shared" si="708"/>
        <v/>
      </c>
      <c r="AX1073" s="304" t="str">
        <f t="shared" si="708"/>
        <v/>
      </c>
      <c r="AY1073" s="28"/>
      <c r="AZ1073" s="304" t="str">
        <f t="shared" si="709"/>
        <v/>
      </c>
      <c r="BA1073" s="304" t="str">
        <f t="shared" si="709"/>
        <v/>
      </c>
      <c r="BB1073" s="28"/>
      <c r="BC1073" s="304" t="str">
        <f t="shared" si="710"/>
        <v/>
      </c>
      <c r="BD1073" s="304" t="str">
        <f t="shared" si="710"/>
        <v/>
      </c>
      <c r="BE1073" s="28"/>
      <c r="BF1073" s="304">
        <f t="shared" si="711"/>
        <v>5.9397901613274283E-3</v>
      </c>
      <c r="BG1073" s="304">
        <f t="shared" si="711"/>
        <v>5.9397901613274283E-3</v>
      </c>
      <c r="BH1073" s="28"/>
      <c r="BI1073" s="304" t="str">
        <f t="shared" si="712"/>
        <v/>
      </c>
      <c r="BJ1073" s="304" t="str">
        <f t="shared" si="712"/>
        <v/>
      </c>
      <c r="BK1073" s="28"/>
      <c r="BL1073" s="304" t="str">
        <f t="shared" si="713"/>
        <v/>
      </c>
      <c r="BM1073" s="304" t="str">
        <f t="shared" si="713"/>
        <v/>
      </c>
      <c r="BN1073" s="28"/>
      <c r="BO1073" s="304" t="str">
        <f t="shared" si="714"/>
        <v/>
      </c>
      <c r="BP1073" s="304" t="str">
        <f t="shared" si="714"/>
        <v/>
      </c>
      <c r="BQ1073" s="28"/>
      <c r="BR1073" s="304" t="str">
        <f t="shared" si="715"/>
        <v/>
      </c>
      <c r="BS1073" s="304" t="str">
        <f t="shared" si="715"/>
        <v/>
      </c>
      <c r="BT1073" s="28"/>
      <c r="BU1073" s="304" t="str">
        <f t="shared" si="716"/>
        <v/>
      </c>
      <c r="BV1073" s="304" t="str">
        <f t="shared" si="716"/>
        <v/>
      </c>
      <c r="BW1073" s="28"/>
      <c r="BX1073" s="91"/>
    </row>
    <row r="1074" spans="1:76" s="55" customFormat="1" x14ac:dyDescent="0.25">
      <c r="A1074" s="359">
        <v>11</v>
      </c>
      <c r="B1074" s="216" t="str">
        <f t="shared" si="704"/>
        <v>OECD90: FAO. 2017. Global Livestock Environmental Assessment Model (GLEAM)</v>
      </c>
      <c r="C1074" s="219" t="s">
        <v>227</v>
      </c>
      <c r="D1074" s="219" t="s">
        <v>389</v>
      </c>
      <c r="E1074" s="219" t="s">
        <v>96</v>
      </c>
      <c r="F1074" s="219" t="s">
        <v>176</v>
      </c>
      <c r="G1074" s="220" t="s">
        <v>26</v>
      </c>
      <c r="H1074" s="221">
        <v>2010</v>
      </c>
      <c r="I1074" s="220"/>
      <c r="J1074" s="227">
        <v>83815442235.370773</v>
      </c>
      <c r="K1074" s="226" t="s">
        <v>688</v>
      </c>
      <c r="L1074" s="334">
        <f>J1074/[1]GHGsources!$B$24*0.001</f>
        <v>1.5123232229220874E-2</v>
      </c>
      <c r="M1074" s="225" t="str">
        <f>CONCATENATE("t CO2-eq/ ",IF('[1]Advanced Controls'!$F$169="Implementation",AdoptionUnitOfMeasure,FunctionalUnitOfMeasure))</f>
        <v>t CO2-eq/ kg of protein</v>
      </c>
      <c r="N1074" s="227"/>
      <c r="O1074" s="227" t="s">
        <v>373</v>
      </c>
      <c r="P1074" s="122"/>
      <c r="Q1074" s="228"/>
      <c r="R1074" s="231">
        <f t="shared" si="719"/>
        <v>1.5123232229220874E-2</v>
      </c>
      <c r="S1074" s="230">
        <f t="shared" si="705"/>
        <v>1.5123232229220874E-2</v>
      </c>
      <c r="T1074" s="231" t="str">
        <f t="shared" si="706"/>
        <v/>
      </c>
      <c r="U1074" s="232" t="str">
        <f t="shared" si="707"/>
        <v>t CO2-eq/ kg of protein</v>
      </c>
      <c r="V1074" s="28"/>
      <c r="W1074" s="28"/>
      <c r="Y1074" s="91"/>
      <c r="AO1074" s="91"/>
      <c r="AP1074" s="28"/>
      <c r="AQ1074" s="28"/>
      <c r="AR1074" s="233" t="str">
        <f t="shared" si="717"/>
        <v>t CO2-eq/ kg of protein</v>
      </c>
      <c r="AS1074" s="28"/>
      <c r="AT1074" s="304" t="str">
        <f t="shared" si="718"/>
        <v/>
      </c>
      <c r="AU1074" s="304" t="str">
        <f t="shared" si="718"/>
        <v/>
      </c>
      <c r="AV1074" s="28"/>
      <c r="AW1074" s="304">
        <f t="shared" si="708"/>
        <v>1.5123232229220874E-2</v>
      </c>
      <c r="AX1074" s="304">
        <f t="shared" si="708"/>
        <v>1.5123232229220874E-2</v>
      </c>
      <c r="AY1074" s="28"/>
      <c r="AZ1074" s="304" t="str">
        <f t="shared" si="709"/>
        <v/>
      </c>
      <c r="BA1074" s="304" t="str">
        <f t="shared" si="709"/>
        <v/>
      </c>
      <c r="BB1074" s="28"/>
      <c r="BC1074" s="304" t="str">
        <f t="shared" si="710"/>
        <v/>
      </c>
      <c r="BD1074" s="304" t="str">
        <f t="shared" si="710"/>
        <v/>
      </c>
      <c r="BE1074" s="28"/>
      <c r="BF1074" s="304" t="str">
        <f t="shared" si="711"/>
        <v/>
      </c>
      <c r="BG1074" s="304" t="str">
        <f t="shared" si="711"/>
        <v/>
      </c>
      <c r="BH1074" s="28"/>
      <c r="BI1074" s="304" t="str">
        <f t="shared" si="712"/>
        <v/>
      </c>
      <c r="BJ1074" s="304" t="str">
        <f t="shared" si="712"/>
        <v/>
      </c>
      <c r="BK1074" s="28"/>
      <c r="BL1074" s="304" t="str">
        <f t="shared" si="713"/>
        <v/>
      </c>
      <c r="BM1074" s="304" t="str">
        <f t="shared" si="713"/>
        <v/>
      </c>
      <c r="BN1074" s="28"/>
      <c r="BO1074" s="304" t="str">
        <f t="shared" si="714"/>
        <v/>
      </c>
      <c r="BP1074" s="304" t="str">
        <f t="shared" si="714"/>
        <v/>
      </c>
      <c r="BQ1074" s="28"/>
      <c r="BR1074" s="304" t="str">
        <f t="shared" si="715"/>
        <v/>
      </c>
      <c r="BS1074" s="304" t="str">
        <f t="shared" si="715"/>
        <v/>
      </c>
      <c r="BT1074" s="28"/>
      <c r="BU1074" s="304" t="str">
        <f t="shared" si="716"/>
        <v/>
      </c>
      <c r="BV1074" s="304" t="str">
        <f t="shared" si="716"/>
        <v/>
      </c>
      <c r="BW1074" s="28"/>
      <c r="BX1074" s="91"/>
    </row>
    <row r="1075" spans="1:76" s="55" customFormat="1" x14ac:dyDescent="0.25">
      <c r="A1075" s="359">
        <v>12</v>
      </c>
      <c r="B1075" s="216" t="str">
        <f t="shared" si="704"/>
        <v>World: FAO. 2017. Global Livestock Environmental Assessment Model (GLEAM)</v>
      </c>
      <c r="C1075" s="219" t="s">
        <v>227</v>
      </c>
      <c r="D1075" s="219" t="s">
        <v>370</v>
      </c>
      <c r="E1075" s="219" t="s">
        <v>95</v>
      </c>
      <c r="F1075" s="219" t="s">
        <v>371</v>
      </c>
      <c r="G1075" s="220" t="s">
        <v>26</v>
      </c>
      <c r="H1075" s="221">
        <v>2010</v>
      </c>
      <c r="I1075" s="220"/>
      <c r="J1075" s="227">
        <v>29153218432.755577</v>
      </c>
      <c r="K1075" s="226" t="s">
        <v>688</v>
      </c>
      <c r="L1075" s="334">
        <f>J1075/[1]GHGsources!$C$14*0.001</f>
        <v>1.9195358345387874E-2</v>
      </c>
      <c r="M1075" s="225" t="str">
        <f>CONCATENATE("t CO2-eq/ ",IF('[1]Advanced Controls'!$F$169="Implementation",AdoptionUnitOfMeasure,FunctionalUnitOfMeasure))</f>
        <v>t CO2-eq/ kg of protein</v>
      </c>
      <c r="N1075" s="227"/>
      <c r="O1075" s="227" t="s">
        <v>390</v>
      </c>
      <c r="P1075" s="122"/>
      <c r="Q1075" s="228"/>
      <c r="R1075" s="231">
        <f t="shared" si="719"/>
        <v>1.9195358345387874E-2</v>
      </c>
      <c r="S1075" s="230">
        <f t="shared" si="705"/>
        <v>1.9195358345387874E-2</v>
      </c>
      <c r="T1075" s="231">
        <f t="shared" si="706"/>
        <v>0</v>
      </c>
      <c r="U1075" s="232" t="str">
        <f t="shared" si="707"/>
        <v>t CO2-eq/ kg of protein</v>
      </c>
      <c r="V1075" s="28"/>
      <c r="W1075" s="28"/>
      <c r="Y1075" s="91"/>
      <c r="AO1075" s="91"/>
      <c r="AP1075" s="28"/>
      <c r="AQ1075" s="28"/>
      <c r="AR1075" s="233" t="str">
        <f t="shared" si="717"/>
        <v>t CO2-eq/ kg of protein</v>
      </c>
      <c r="AS1075" s="28"/>
      <c r="AT1075" s="304">
        <f t="shared" si="718"/>
        <v>1.9195358345387874E-2</v>
      </c>
      <c r="AU1075" s="304">
        <f t="shared" si="718"/>
        <v>1.9195358345387874E-2</v>
      </c>
      <c r="AV1075" s="28"/>
      <c r="AW1075" s="304" t="str">
        <f t="shared" si="708"/>
        <v/>
      </c>
      <c r="AX1075" s="304" t="str">
        <f t="shared" si="708"/>
        <v/>
      </c>
      <c r="AY1075" s="28"/>
      <c r="AZ1075" s="304" t="str">
        <f t="shared" si="709"/>
        <v/>
      </c>
      <c r="BA1075" s="304" t="str">
        <f t="shared" si="709"/>
        <v/>
      </c>
      <c r="BB1075" s="28"/>
      <c r="BC1075" s="304" t="str">
        <f t="shared" si="710"/>
        <v/>
      </c>
      <c r="BD1075" s="304" t="str">
        <f t="shared" si="710"/>
        <v/>
      </c>
      <c r="BE1075" s="28"/>
      <c r="BF1075" s="304" t="str">
        <f t="shared" si="711"/>
        <v/>
      </c>
      <c r="BG1075" s="304" t="str">
        <f t="shared" si="711"/>
        <v/>
      </c>
      <c r="BH1075" s="28"/>
      <c r="BI1075" s="304" t="str">
        <f t="shared" si="712"/>
        <v/>
      </c>
      <c r="BJ1075" s="304" t="str">
        <f t="shared" si="712"/>
        <v/>
      </c>
      <c r="BK1075" s="28"/>
      <c r="BL1075" s="304" t="str">
        <f t="shared" si="713"/>
        <v/>
      </c>
      <c r="BM1075" s="304" t="str">
        <f t="shared" si="713"/>
        <v/>
      </c>
      <c r="BN1075" s="28"/>
      <c r="BO1075" s="304" t="str">
        <f t="shared" si="714"/>
        <v/>
      </c>
      <c r="BP1075" s="304" t="str">
        <f t="shared" si="714"/>
        <v/>
      </c>
      <c r="BQ1075" s="28"/>
      <c r="BR1075" s="304" t="str">
        <f t="shared" si="715"/>
        <v/>
      </c>
      <c r="BS1075" s="304" t="str">
        <f t="shared" si="715"/>
        <v/>
      </c>
      <c r="BT1075" s="28"/>
      <c r="BU1075" s="304" t="str">
        <f t="shared" si="716"/>
        <v/>
      </c>
      <c r="BV1075" s="304" t="str">
        <f t="shared" si="716"/>
        <v/>
      </c>
      <c r="BW1075" s="28"/>
      <c r="BX1075" s="91"/>
    </row>
    <row r="1076" spans="1:76" s="55" customFormat="1" x14ac:dyDescent="0.25">
      <c r="A1076" s="359">
        <v>13</v>
      </c>
      <c r="B1076" s="216" t="str">
        <f t="shared" si="704"/>
        <v>Asia (Sans Japan): FAO. 2017. Global Livestock Environmental Assessment Model (GLEAM)</v>
      </c>
      <c r="C1076" s="219" t="s">
        <v>227</v>
      </c>
      <c r="D1076" s="219" t="s">
        <v>374</v>
      </c>
      <c r="E1076" s="219" t="s">
        <v>98</v>
      </c>
      <c r="F1076" s="219" t="s">
        <v>375</v>
      </c>
      <c r="G1076" s="220" t="s">
        <v>26</v>
      </c>
      <c r="H1076" s="221">
        <v>2010</v>
      </c>
      <c r="I1076" s="220"/>
      <c r="J1076" s="227">
        <v>8507628223.9681501</v>
      </c>
      <c r="K1076" s="226" t="s">
        <v>688</v>
      </c>
      <c r="L1076" s="334">
        <f>J1076/[1]GHGsources!$C$15*0.001</f>
        <v>3.4746043213480737E-2</v>
      </c>
      <c r="M1076" s="225" t="str">
        <f>CONCATENATE("t CO2-eq/ ",IF('[1]Advanced Controls'!$F$169="Implementation",AdoptionUnitOfMeasure,FunctionalUnitOfMeasure))</f>
        <v>t CO2-eq/ kg of protein</v>
      </c>
      <c r="N1076" s="227"/>
      <c r="O1076" s="227" t="s">
        <v>390</v>
      </c>
      <c r="P1076" s="122"/>
      <c r="Q1076" s="228"/>
      <c r="R1076" s="231">
        <f t="shared" si="719"/>
        <v>3.4746043213480737E-2</v>
      </c>
      <c r="S1076" s="230">
        <f t="shared" si="705"/>
        <v>3.4746043213480737E-2</v>
      </c>
      <c r="T1076" s="231">
        <f t="shared" si="706"/>
        <v>0</v>
      </c>
      <c r="U1076" s="232" t="str">
        <f t="shared" si="707"/>
        <v>t CO2-eq/ kg of protein</v>
      </c>
      <c r="V1076" s="28"/>
      <c r="W1076" s="28"/>
      <c r="Y1076" s="91"/>
      <c r="AO1076" s="91"/>
      <c r="AP1076" s="28"/>
      <c r="AQ1076" s="28"/>
      <c r="AR1076" s="233" t="str">
        <f t="shared" si="717"/>
        <v>t CO2-eq/ kg of protein</v>
      </c>
      <c r="AS1076" s="28"/>
      <c r="AT1076" s="304" t="str">
        <f t="shared" si="718"/>
        <v/>
      </c>
      <c r="AU1076" s="304" t="str">
        <f t="shared" si="718"/>
        <v/>
      </c>
      <c r="AV1076" s="28"/>
      <c r="AW1076" s="304" t="str">
        <f t="shared" si="708"/>
        <v/>
      </c>
      <c r="AX1076" s="304" t="str">
        <f t="shared" si="708"/>
        <v/>
      </c>
      <c r="AY1076" s="28"/>
      <c r="AZ1076" s="304" t="str">
        <f t="shared" si="709"/>
        <v/>
      </c>
      <c r="BA1076" s="304" t="str">
        <f t="shared" si="709"/>
        <v/>
      </c>
      <c r="BB1076" s="28"/>
      <c r="BC1076" s="304">
        <f t="shared" si="710"/>
        <v>3.4746043213480737E-2</v>
      </c>
      <c r="BD1076" s="304">
        <f t="shared" si="710"/>
        <v>3.4746043213480737E-2</v>
      </c>
      <c r="BE1076" s="28"/>
      <c r="BF1076" s="304" t="str">
        <f t="shared" si="711"/>
        <v/>
      </c>
      <c r="BG1076" s="304" t="str">
        <f t="shared" si="711"/>
        <v/>
      </c>
      <c r="BH1076" s="28"/>
      <c r="BI1076" s="304" t="str">
        <f t="shared" si="712"/>
        <v/>
      </c>
      <c r="BJ1076" s="304" t="str">
        <f t="shared" si="712"/>
        <v/>
      </c>
      <c r="BK1076" s="28"/>
      <c r="BL1076" s="304" t="str">
        <f t="shared" si="713"/>
        <v/>
      </c>
      <c r="BM1076" s="304" t="str">
        <f t="shared" si="713"/>
        <v/>
      </c>
      <c r="BN1076" s="28"/>
      <c r="BO1076" s="304" t="str">
        <f t="shared" si="714"/>
        <v/>
      </c>
      <c r="BP1076" s="304" t="str">
        <f t="shared" si="714"/>
        <v/>
      </c>
      <c r="BQ1076" s="28"/>
      <c r="BR1076" s="304" t="str">
        <f t="shared" si="715"/>
        <v/>
      </c>
      <c r="BS1076" s="304" t="str">
        <f t="shared" si="715"/>
        <v/>
      </c>
      <c r="BT1076" s="28"/>
      <c r="BU1076" s="304" t="str">
        <f t="shared" si="716"/>
        <v/>
      </c>
      <c r="BV1076" s="304" t="str">
        <f t="shared" si="716"/>
        <v/>
      </c>
      <c r="BW1076" s="28"/>
      <c r="BX1076" s="91"/>
    </row>
    <row r="1077" spans="1:76" s="55" customFormat="1" x14ac:dyDescent="0.25">
      <c r="A1077" s="359">
        <v>14</v>
      </c>
      <c r="B1077" s="216" t="str">
        <f t="shared" si="704"/>
        <v>Eastern Europe: FAO. 2017. Global Livestock Environmental Assessment Model (GLEAM)</v>
      </c>
      <c r="C1077" s="219" t="s">
        <v>227</v>
      </c>
      <c r="D1077" s="219" t="s">
        <v>376</v>
      </c>
      <c r="E1077" s="219" t="s">
        <v>97</v>
      </c>
      <c r="F1077" s="219" t="s">
        <v>97</v>
      </c>
      <c r="G1077" s="220" t="s">
        <v>26</v>
      </c>
      <c r="H1077" s="221">
        <v>2010</v>
      </c>
      <c r="I1077" s="220"/>
      <c r="J1077" s="227"/>
      <c r="K1077" s="226" t="s">
        <v>688</v>
      </c>
      <c r="L1077" s="241" t="e">
        <f>J1077/[1]GHGsources!$C$16*0.001</f>
        <v>#DIV/0!</v>
      </c>
      <c r="M1077" s="225" t="str">
        <f>CONCATENATE("t CO2-eq/ ",IF('[1]Advanced Controls'!$F$169="Implementation",AdoptionUnitOfMeasure,FunctionalUnitOfMeasure))</f>
        <v>t CO2-eq/ kg of protein</v>
      </c>
      <c r="N1077" s="227"/>
      <c r="O1077" s="227" t="s">
        <v>390</v>
      </c>
      <c r="P1077" s="122"/>
      <c r="Q1077" s="228" t="s">
        <v>327</v>
      </c>
      <c r="R1077" s="231" t="str">
        <f t="shared" si="719"/>
        <v/>
      </c>
      <c r="S1077" s="230" t="str">
        <f t="shared" si="705"/>
        <v/>
      </c>
      <c r="T1077" s="231" t="str">
        <f t="shared" si="706"/>
        <v/>
      </c>
      <c r="U1077" s="232" t="str">
        <f t="shared" si="707"/>
        <v>t CO2-eq/ kg of protein</v>
      </c>
      <c r="V1077" s="28"/>
      <c r="W1077" s="28"/>
      <c r="Y1077" s="91"/>
      <c r="AO1077" s="91"/>
      <c r="AP1077" s="28"/>
      <c r="AQ1077" s="28"/>
      <c r="AR1077" s="233" t="str">
        <f t="shared" si="717"/>
        <v>t CO2-eq/ kg of protein</v>
      </c>
      <c r="AS1077" s="28"/>
      <c r="AT1077" s="304" t="str">
        <f t="shared" si="718"/>
        <v/>
      </c>
      <c r="AU1077" s="304" t="str">
        <f t="shared" si="718"/>
        <v/>
      </c>
      <c r="AV1077" s="28"/>
      <c r="AW1077" s="304" t="str">
        <f t="shared" si="708"/>
        <v/>
      </c>
      <c r="AX1077" s="304" t="str">
        <f t="shared" si="708"/>
        <v/>
      </c>
      <c r="AY1077" s="28"/>
      <c r="AZ1077" s="304" t="str">
        <f t="shared" si="709"/>
        <v/>
      </c>
      <c r="BA1077" s="304" t="str">
        <f t="shared" si="709"/>
        <v/>
      </c>
      <c r="BB1077" s="28"/>
      <c r="BC1077" s="304" t="str">
        <f t="shared" si="710"/>
        <v/>
      </c>
      <c r="BD1077" s="304" t="str">
        <f t="shared" si="710"/>
        <v/>
      </c>
      <c r="BE1077" s="28"/>
      <c r="BF1077" s="304" t="str">
        <f t="shared" si="711"/>
        <v/>
      </c>
      <c r="BG1077" s="304" t="str">
        <f t="shared" si="711"/>
        <v/>
      </c>
      <c r="BH1077" s="28"/>
      <c r="BI1077" s="304" t="str">
        <f t="shared" si="712"/>
        <v/>
      </c>
      <c r="BJ1077" s="304" t="str">
        <f t="shared" si="712"/>
        <v/>
      </c>
      <c r="BK1077" s="28"/>
      <c r="BL1077" s="304" t="str">
        <f t="shared" si="713"/>
        <v/>
      </c>
      <c r="BM1077" s="304" t="str">
        <f t="shared" si="713"/>
        <v/>
      </c>
      <c r="BN1077" s="28"/>
      <c r="BO1077" s="304" t="str">
        <f t="shared" si="714"/>
        <v/>
      </c>
      <c r="BP1077" s="304" t="str">
        <f t="shared" si="714"/>
        <v/>
      </c>
      <c r="BQ1077" s="28"/>
      <c r="BR1077" s="304" t="str">
        <f t="shared" si="715"/>
        <v/>
      </c>
      <c r="BS1077" s="304" t="str">
        <f t="shared" si="715"/>
        <v/>
      </c>
      <c r="BT1077" s="28"/>
      <c r="BU1077" s="304" t="str">
        <f t="shared" si="716"/>
        <v/>
      </c>
      <c r="BV1077" s="304" t="str">
        <f t="shared" si="716"/>
        <v/>
      </c>
      <c r="BW1077" s="28"/>
      <c r="BX1077" s="91"/>
    </row>
    <row r="1078" spans="1:76" s="55" customFormat="1" x14ac:dyDescent="0.25">
      <c r="A1078" s="359">
        <v>15</v>
      </c>
      <c r="B1078" s="216" t="str">
        <f t="shared" si="704"/>
        <v>Latin America: FAO. 2017. Global Livestock Environmental Assessment Model (GLEAM)</v>
      </c>
      <c r="C1078" s="219" t="s">
        <v>227</v>
      </c>
      <c r="D1078" s="219" t="s">
        <v>377</v>
      </c>
      <c r="E1078" s="219" t="s">
        <v>100</v>
      </c>
      <c r="F1078" s="219" t="s">
        <v>378</v>
      </c>
      <c r="G1078" s="220" t="s">
        <v>26</v>
      </c>
      <c r="H1078" s="221">
        <v>2010</v>
      </c>
      <c r="I1078" s="220"/>
      <c r="J1078" s="227">
        <v>4377233203.5230646</v>
      </c>
      <c r="K1078" s="226" t="s">
        <v>688</v>
      </c>
      <c r="L1078" s="334">
        <f>J1078/[1]GHGsources!$C$17*0.001</f>
        <v>2.757786736406902E-2</v>
      </c>
      <c r="M1078" s="225" t="str">
        <f>CONCATENATE("t CO2-eq/ ",IF('[1]Advanced Controls'!$F$169="Implementation",AdoptionUnitOfMeasure,FunctionalUnitOfMeasure))</f>
        <v>t CO2-eq/ kg of protein</v>
      </c>
      <c r="N1078" s="227"/>
      <c r="O1078" s="227" t="s">
        <v>390</v>
      </c>
      <c r="P1078" s="122"/>
      <c r="Q1078" s="228"/>
      <c r="R1078" s="231">
        <f t="shared" si="719"/>
        <v>2.757786736406902E-2</v>
      </c>
      <c r="S1078" s="230">
        <f t="shared" si="705"/>
        <v>2.757786736406902E-2</v>
      </c>
      <c r="T1078" s="231">
        <f t="shared" si="706"/>
        <v>0</v>
      </c>
      <c r="U1078" s="232" t="str">
        <f t="shared" si="707"/>
        <v>t CO2-eq/ kg of protein</v>
      </c>
      <c r="V1078" s="28"/>
      <c r="W1078" s="28"/>
      <c r="Y1078" s="91"/>
      <c r="AO1078" s="91"/>
      <c r="AP1078" s="28"/>
      <c r="AQ1078" s="28"/>
      <c r="AR1078" s="233" t="str">
        <f t="shared" si="717"/>
        <v>t CO2-eq/ kg of protein</v>
      </c>
      <c r="AS1078" s="28"/>
      <c r="AT1078" s="304" t="str">
        <f t="shared" si="718"/>
        <v/>
      </c>
      <c r="AU1078" s="304" t="str">
        <f t="shared" si="718"/>
        <v/>
      </c>
      <c r="AV1078" s="28"/>
      <c r="AW1078" s="304" t="str">
        <f t="shared" si="708"/>
        <v/>
      </c>
      <c r="AX1078" s="304" t="str">
        <f t="shared" si="708"/>
        <v/>
      </c>
      <c r="AY1078" s="28"/>
      <c r="AZ1078" s="304" t="str">
        <f t="shared" si="709"/>
        <v/>
      </c>
      <c r="BA1078" s="304" t="str">
        <f t="shared" si="709"/>
        <v/>
      </c>
      <c r="BB1078" s="28"/>
      <c r="BC1078" s="304" t="str">
        <f t="shared" si="710"/>
        <v/>
      </c>
      <c r="BD1078" s="304" t="str">
        <f t="shared" si="710"/>
        <v/>
      </c>
      <c r="BE1078" s="28"/>
      <c r="BF1078" s="304" t="str">
        <f t="shared" si="711"/>
        <v/>
      </c>
      <c r="BG1078" s="304" t="str">
        <f t="shared" si="711"/>
        <v/>
      </c>
      <c r="BH1078" s="28"/>
      <c r="BI1078" s="304">
        <f t="shared" si="712"/>
        <v>2.757786736406902E-2</v>
      </c>
      <c r="BJ1078" s="304">
        <f t="shared" si="712"/>
        <v>2.757786736406902E-2</v>
      </c>
      <c r="BK1078" s="28"/>
      <c r="BL1078" s="304" t="str">
        <f t="shared" si="713"/>
        <v/>
      </c>
      <c r="BM1078" s="304" t="str">
        <f t="shared" si="713"/>
        <v/>
      </c>
      <c r="BN1078" s="28"/>
      <c r="BO1078" s="304" t="str">
        <f t="shared" si="714"/>
        <v/>
      </c>
      <c r="BP1078" s="304" t="str">
        <f t="shared" si="714"/>
        <v/>
      </c>
      <c r="BQ1078" s="28"/>
      <c r="BR1078" s="304" t="str">
        <f t="shared" si="715"/>
        <v/>
      </c>
      <c r="BS1078" s="304" t="str">
        <f t="shared" si="715"/>
        <v/>
      </c>
      <c r="BT1078" s="28"/>
      <c r="BU1078" s="304" t="str">
        <f t="shared" si="716"/>
        <v/>
      </c>
      <c r="BV1078" s="304" t="str">
        <f t="shared" si="716"/>
        <v/>
      </c>
      <c r="BW1078" s="28"/>
      <c r="BX1078" s="91"/>
    </row>
    <row r="1079" spans="1:76" s="55" customFormat="1" x14ac:dyDescent="0.25">
      <c r="A1079" s="359">
        <v>16</v>
      </c>
      <c r="B1079" s="216" t="str">
        <f t="shared" si="704"/>
        <v>Middle East and Africa: FAO. 2017. Global Livestock Environmental Assessment Model (GLEAM)</v>
      </c>
      <c r="C1079" s="219" t="s">
        <v>227</v>
      </c>
      <c r="D1079" s="219" t="s">
        <v>379</v>
      </c>
      <c r="E1079" s="219" t="s">
        <v>99</v>
      </c>
      <c r="F1079" s="219" t="s">
        <v>380</v>
      </c>
      <c r="G1079" s="220" t="s">
        <v>26</v>
      </c>
      <c r="H1079" s="221">
        <v>2010</v>
      </c>
      <c r="I1079" s="220"/>
      <c r="J1079" s="227">
        <v>0</v>
      </c>
      <c r="K1079" s="226" t="s">
        <v>688</v>
      </c>
      <c r="L1079" s="241" t="e">
        <f>J1079/[1]GHGsources!$C$18*0.001</f>
        <v>#DIV/0!</v>
      </c>
      <c r="M1079" s="225" t="str">
        <f>CONCATENATE("t CO2-eq/ ",IF('[1]Advanced Controls'!$F$169="Implementation",AdoptionUnitOfMeasure,FunctionalUnitOfMeasure))</f>
        <v>t CO2-eq/ kg of protein</v>
      </c>
      <c r="N1079" s="227"/>
      <c r="O1079" s="227" t="s">
        <v>390</v>
      </c>
      <c r="P1079" s="122"/>
      <c r="Q1079" s="228" t="s">
        <v>327</v>
      </c>
      <c r="R1079" s="231" t="str">
        <f t="shared" si="719"/>
        <v/>
      </c>
      <c r="S1079" s="230" t="str">
        <f t="shared" si="705"/>
        <v/>
      </c>
      <c r="T1079" s="231" t="str">
        <f>IF(OR(Q1079="Y",IFERROR(R1079&gt;R1225+R1289*$AA$35,0),IFERROR(R1079&lt;R1225-R1289*$AA$35,0)),"",IFERROR(R1079*N1079,""))</f>
        <v/>
      </c>
      <c r="U1079" s="232" t="str">
        <f t="shared" si="707"/>
        <v>t CO2-eq/ kg of protein</v>
      </c>
      <c r="V1079" s="28"/>
      <c r="W1079" s="28"/>
      <c r="Y1079" s="91"/>
      <c r="AO1079" s="91"/>
      <c r="AP1079" s="28"/>
      <c r="AQ1079" s="28"/>
      <c r="AR1079" s="233" t="str">
        <f t="shared" si="717"/>
        <v>t CO2-eq/ kg of protein</v>
      </c>
      <c r="AS1079" s="28"/>
      <c r="AT1079" s="304" t="str">
        <f t="shared" si="718"/>
        <v/>
      </c>
      <c r="AU1079" s="304" t="str">
        <f t="shared" si="718"/>
        <v/>
      </c>
      <c r="AV1079" s="28"/>
      <c r="AW1079" s="304" t="str">
        <f t="shared" si="708"/>
        <v/>
      </c>
      <c r="AX1079" s="304" t="str">
        <f t="shared" si="708"/>
        <v/>
      </c>
      <c r="AY1079" s="28"/>
      <c r="AZ1079" s="304" t="str">
        <f t="shared" si="709"/>
        <v/>
      </c>
      <c r="BA1079" s="304" t="str">
        <f t="shared" si="709"/>
        <v/>
      </c>
      <c r="BB1079" s="28"/>
      <c r="BC1079" s="304" t="str">
        <f t="shared" si="710"/>
        <v/>
      </c>
      <c r="BD1079" s="304" t="str">
        <f t="shared" si="710"/>
        <v/>
      </c>
      <c r="BE1079" s="28"/>
      <c r="BF1079" s="304" t="str">
        <f t="shared" si="711"/>
        <v/>
      </c>
      <c r="BG1079" s="304" t="str">
        <f t="shared" si="711"/>
        <v/>
      </c>
      <c r="BH1079" s="28"/>
      <c r="BI1079" s="304" t="str">
        <f t="shared" si="712"/>
        <v/>
      </c>
      <c r="BJ1079" s="304" t="str">
        <f t="shared" si="712"/>
        <v/>
      </c>
      <c r="BK1079" s="28"/>
      <c r="BL1079" s="304" t="str">
        <f t="shared" si="713"/>
        <v/>
      </c>
      <c r="BM1079" s="304" t="str">
        <f t="shared" si="713"/>
        <v/>
      </c>
      <c r="BN1079" s="28"/>
      <c r="BO1079" s="304" t="str">
        <f t="shared" si="714"/>
        <v/>
      </c>
      <c r="BP1079" s="304" t="str">
        <f t="shared" si="714"/>
        <v/>
      </c>
      <c r="BQ1079" s="28"/>
      <c r="BR1079" s="304" t="str">
        <f t="shared" si="715"/>
        <v/>
      </c>
      <c r="BS1079" s="304" t="str">
        <f t="shared" si="715"/>
        <v/>
      </c>
      <c r="BT1079" s="28"/>
      <c r="BU1079" s="304" t="str">
        <f t="shared" si="716"/>
        <v/>
      </c>
      <c r="BV1079" s="304" t="str">
        <f t="shared" si="716"/>
        <v/>
      </c>
      <c r="BW1079" s="28"/>
      <c r="BX1079" s="91"/>
    </row>
    <row r="1080" spans="1:76" s="55" customFormat="1" x14ac:dyDescent="0.25">
      <c r="A1080" s="359">
        <v>17</v>
      </c>
      <c r="B1080" s="216" t="str">
        <f t="shared" si="704"/>
        <v>OECD90: FAO. 2017. Global Livestock Environmental Assessment Model (GLEAM)</v>
      </c>
      <c r="C1080" s="219" t="s">
        <v>227</v>
      </c>
      <c r="D1080" s="219" t="s">
        <v>381</v>
      </c>
      <c r="E1080" s="219" t="s">
        <v>96</v>
      </c>
      <c r="F1080" s="219" t="s">
        <v>179</v>
      </c>
      <c r="G1080" s="220" t="s">
        <v>26</v>
      </c>
      <c r="H1080" s="221">
        <v>2010</v>
      </c>
      <c r="I1080" s="220"/>
      <c r="J1080" s="227">
        <v>14871144697.651146</v>
      </c>
      <c r="K1080" s="226" t="s">
        <v>688</v>
      </c>
      <c r="L1080" s="334">
        <f>J1080/[1]GHGsources!$C$19*0.001</f>
        <v>1.4103737995328108E-2</v>
      </c>
      <c r="M1080" s="225" t="str">
        <f>CONCATENATE("t CO2-eq/ ",IF('[1]Advanced Controls'!$F$169="Implementation",AdoptionUnitOfMeasure,FunctionalUnitOfMeasure))</f>
        <v>t CO2-eq/ kg of protein</v>
      </c>
      <c r="N1080" s="227"/>
      <c r="O1080" s="227" t="s">
        <v>390</v>
      </c>
      <c r="P1080" s="122"/>
      <c r="Q1080" s="228"/>
      <c r="R1080" s="231">
        <f t="shared" si="719"/>
        <v>1.4103737995328108E-2</v>
      </c>
      <c r="S1080" s="230">
        <f t="shared" si="705"/>
        <v>1.4103737995328108E-2</v>
      </c>
      <c r="T1080" s="231" t="str">
        <f>IF(OR(Q1080="Y",IFERROR(R1080&gt;R1226+R1290*$AA$35,0),IFERROR(R1080&lt;R1226-R1290*$AA$35,0)),"",IFERROR(R1080*N1080,""))</f>
        <v/>
      </c>
      <c r="U1080" s="232" t="str">
        <f t="shared" si="707"/>
        <v>t CO2-eq/ kg of protein</v>
      </c>
      <c r="V1080" s="28"/>
      <c r="W1080" s="28"/>
      <c r="Y1080" s="91"/>
      <c r="AO1080" s="91"/>
      <c r="AP1080" s="28"/>
      <c r="AQ1080" s="28"/>
      <c r="AR1080" s="233" t="str">
        <f t="shared" si="717"/>
        <v>t CO2-eq/ kg of protein</v>
      </c>
      <c r="AS1080" s="28"/>
      <c r="AT1080" s="304" t="str">
        <f t="shared" si="718"/>
        <v/>
      </c>
      <c r="AU1080" s="304" t="str">
        <f t="shared" si="718"/>
        <v/>
      </c>
      <c r="AV1080" s="28"/>
      <c r="AW1080" s="304">
        <f t="shared" ref="AW1080:AX1143" si="720">IF($E1080=$AW$83,R1080,"")</f>
        <v>1.4103737995328108E-2</v>
      </c>
      <c r="AX1080" s="304">
        <f t="shared" si="720"/>
        <v>1.4103737995328108E-2</v>
      </c>
      <c r="AY1080" s="28"/>
      <c r="AZ1080" s="304" t="str">
        <f t="shared" ref="AZ1080:BA1143" si="721">IF($E1080=$AZ$83,R1080,"")</f>
        <v/>
      </c>
      <c r="BA1080" s="304" t="str">
        <f t="shared" si="721"/>
        <v/>
      </c>
      <c r="BB1080" s="28"/>
      <c r="BC1080" s="304" t="str">
        <f t="shared" ref="BC1080:BD1143" si="722">IF($E1080=$BC$83,R1080,"")</f>
        <v/>
      </c>
      <c r="BD1080" s="304" t="str">
        <f t="shared" si="722"/>
        <v/>
      </c>
      <c r="BE1080" s="28"/>
      <c r="BF1080" s="304" t="str">
        <f t="shared" ref="BF1080:BG1143" si="723">IF($E1080=$BF$83,R1080,"")</f>
        <v/>
      </c>
      <c r="BG1080" s="304" t="str">
        <f t="shared" si="723"/>
        <v/>
      </c>
      <c r="BH1080" s="28"/>
      <c r="BI1080" s="304" t="str">
        <f t="shared" ref="BI1080:BJ1143" si="724">IF($E1080=$BI$83,R1080,"")</f>
        <v/>
      </c>
      <c r="BJ1080" s="304" t="str">
        <f t="shared" si="724"/>
        <v/>
      </c>
      <c r="BK1080" s="28"/>
      <c r="BL1080" s="304" t="str">
        <f t="shared" ref="BL1080:BM1143" si="725">IF($E1080=$BL$83,R1080,"")</f>
        <v/>
      </c>
      <c r="BM1080" s="304" t="str">
        <f t="shared" si="725"/>
        <v/>
      </c>
      <c r="BN1080" s="28"/>
      <c r="BO1080" s="304" t="str">
        <f t="shared" ref="BO1080:BP1143" si="726">IF($E1080=$BO$83,R1080,"")</f>
        <v/>
      </c>
      <c r="BP1080" s="304" t="str">
        <f t="shared" si="726"/>
        <v/>
      </c>
      <c r="BQ1080" s="28"/>
      <c r="BR1080" s="304" t="str">
        <f t="shared" ref="BR1080:BS1143" si="727">IF($E1080=$BR$83,R1080,"")</f>
        <v/>
      </c>
      <c r="BS1080" s="304" t="str">
        <f t="shared" si="727"/>
        <v/>
      </c>
      <c r="BT1080" s="28"/>
      <c r="BU1080" s="304" t="str">
        <f t="shared" ref="BU1080:BV1143" si="728">IF($E1080=$BU$83,R1080,"")</f>
        <v/>
      </c>
      <c r="BV1080" s="304" t="str">
        <f t="shared" si="728"/>
        <v/>
      </c>
      <c r="BW1080" s="28"/>
      <c r="BX1080" s="91"/>
    </row>
    <row r="1081" spans="1:76" s="55" customFormat="1" x14ac:dyDescent="0.25">
      <c r="A1081" s="359">
        <v>18</v>
      </c>
      <c r="B1081" s="216" t="str">
        <f t="shared" si="704"/>
        <v>OECD90: FAO. 2017. Global Livestock Environmental Assessment Model (GLEAM)</v>
      </c>
      <c r="C1081" s="219" t="s">
        <v>227</v>
      </c>
      <c r="D1081" s="219" t="s">
        <v>382</v>
      </c>
      <c r="E1081" s="219" t="s">
        <v>96</v>
      </c>
      <c r="F1081" s="219" t="s">
        <v>185</v>
      </c>
      <c r="G1081" s="220" t="s">
        <v>26</v>
      </c>
      <c r="H1081" s="221">
        <v>2010</v>
      </c>
      <c r="I1081" s="220"/>
      <c r="J1081" s="227">
        <v>833854254.57054567</v>
      </c>
      <c r="K1081" s="226" t="s">
        <v>688</v>
      </c>
      <c r="L1081" s="337">
        <f>J1081/[1]GHGsources!$C$20*0.001</f>
        <v>2.1262554466288993E-2</v>
      </c>
      <c r="M1081" s="225" t="str">
        <f>CONCATENATE("t CO2-eq/ ",IF('[1]Advanced Controls'!$F$169="Implementation",AdoptionUnitOfMeasure,FunctionalUnitOfMeasure))</f>
        <v>t CO2-eq/ kg of protein</v>
      </c>
      <c r="N1081" s="227"/>
      <c r="O1081" s="227" t="s">
        <v>390</v>
      </c>
      <c r="P1081" s="122"/>
      <c r="Q1081" s="228"/>
      <c r="R1081" s="231">
        <f t="shared" si="719"/>
        <v>2.1262554466288993E-2</v>
      </c>
      <c r="S1081" s="230">
        <f t="shared" si="705"/>
        <v>2.1262554466288993E-2</v>
      </c>
      <c r="T1081" s="231" t="str">
        <f>IF(OR(Q1081="Y",IFERROR(R1081&gt;R1227+R1291*$AA$35,0),IFERROR(R1081&lt;R1227-R1291*$AA$35,0)),"",IFERROR(R1081*N1081,""))</f>
        <v/>
      </c>
      <c r="U1081" s="232" t="str">
        <f t="shared" si="707"/>
        <v>t CO2-eq/ kg of protein</v>
      </c>
      <c r="V1081" s="28"/>
      <c r="W1081" s="28"/>
      <c r="Y1081" s="91"/>
      <c r="AO1081" s="91"/>
      <c r="AP1081" s="28"/>
      <c r="AQ1081" s="28"/>
      <c r="AR1081" s="233" t="str">
        <f t="shared" si="717"/>
        <v>t CO2-eq/ kg of protein</v>
      </c>
      <c r="AS1081" s="28"/>
      <c r="AT1081" s="304" t="str">
        <f t="shared" si="718"/>
        <v/>
      </c>
      <c r="AU1081" s="304" t="str">
        <f t="shared" si="718"/>
        <v/>
      </c>
      <c r="AV1081" s="28"/>
      <c r="AW1081" s="304">
        <f t="shared" si="720"/>
        <v>2.1262554466288993E-2</v>
      </c>
      <c r="AX1081" s="304">
        <f t="shared" si="720"/>
        <v>2.1262554466288993E-2</v>
      </c>
      <c r="AY1081" s="28"/>
      <c r="AZ1081" s="304" t="str">
        <f t="shared" si="721"/>
        <v/>
      </c>
      <c r="BA1081" s="304" t="str">
        <f t="shared" si="721"/>
        <v/>
      </c>
      <c r="BB1081" s="28"/>
      <c r="BC1081" s="304" t="str">
        <f t="shared" si="722"/>
        <v/>
      </c>
      <c r="BD1081" s="304" t="str">
        <f t="shared" si="722"/>
        <v/>
      </c>
      <c r="BE1081" s="28"/>
      <c r="BF1081" s="304" t="str">
        <f t="shared" si="723"/>
        <v/>
      </c>
      <c r="BG1081" s="304" t="str">
        <f t="shared" si="723"/>
        <v/>
      </c>
      <c r="BH1081" s="28"/>
      <c r="BI1081" s="304" t="str">
        <f t="shared" si="724"/>
        <v/>
      </c>
      <c r="BJ1081" s="304" t="str">
        <f t="shared" si="724"/>
        <v/>
      </c>
      <c r="BK1081" s="28"/>
      <c r="BL1081" s="304" t="str">
        <f t="shared" si="725"/>
        <v/>
      </c>
      <c r="BM1081" s="304" t="str">
        <f t="shared" si="725"/>
        <v/>
      </c>
      <c r="BN1081" s="28"/>
      <c r="BO1081" s="304" t="str">
        <f t="shared" si="726"/>
        <v/>
      </c>
      <c r="BP1081" s="304" t="str">
        <f t="shared" si="726"/>
        <v/>
      </c>
      <c r="BQ1081" s="28"/>
      <c r="BR1081" s="304" t="str">
        <f t="shared" si="727"/>
        <v/>
      </c>
      <c r="BS1081" s="304" t="str">
        <f t="shared" si="727"/>
        <v/>
      </c>
      <c r="BT1081" s="28"/>
      <c r="BU1081" s="304" t="str">
        <f t="shared" si="728"/>
        <v/>
      </c>
      <c r="BV1081" s="304" t="str">
        <f t="shared" si="728"/>
        <v/>
      </c>
      <c r="BW1081" s="28"/>
      <c r="BX1081" s="91"/>
    </row>
    <row r="1082" spans="1:76" s="55" customFormat="1" x14ac:dyDescent="0.25">
      <c r="A1082" s="359">
        <v>19</v>
      </c>
      <c r="B1082" s="216" t="str">
        <f t="shared" si="704"/>
        <v>Eastern Europe: FAO. 2017. Global Livestock Environmental Assessment Model (GLEAM)</v>
      </c>
      <c r="C1082" s="219" t="s">
        <v>227</v>
      </c>
      <c r="D1082" s="219" t="s">
        <v>383</v>
      </c>
      <c r="E1082" s="219" t="s">
        <v>97</v>
      </c>
      <c r="F1082" s="219" t="s">
        <v>384</v>
      </c>
      <c r="G1082" s="220" t="s">
        <v>26</v>
      </c>
      <c r="H1082" s="221">
        <v>2010</v>
      </c>
      <c r="I1082" s="220"/>
      <c r="J1082" s="227"/>
      <c r="K1082" s="226" t="s">
        <v>688</v>
      </c>
      <c r="L1082" s="241" t="e">
        <f>J1082/[1]GHGsources!$C$21*0.001</f>
        <v>#DIV/0!</v>
      </c>
      <c r="M1082" s="225" t="str">
        <f>CONCATENATE("t CO2-eq/ ",IF('[1]Advanced Controls'!$F$169="Implementation",AdoptionUnitOfMeasure,FunctionalUnitOfMeasure))</f>
        <v>t CO2-eq/ kg of protein</v>
      </c>
      <c r="N1082" s="227"/>
      <c r="O1082" s="227" t="s">
        <v>390</v>
      </c>
      <c r="P1082" s="122"/>
      <c r="Q1082" s="228" t="s">
        <v>327</v>
      </c>
      <c r="R1082" s="231" t="str">
        <f t="shared" si="719"/>
        <v/>
      </c>
      <c r="S1082" s="230" t="str">
        <f t="shared" si="705"/>
        <v/>
      </c>
      <c r="T1082" s="231" t="str">
        <f>IF(OR(Q1082="Y",IFERROR(R1082&gt;R1228+R1292*$AA$35,0),IFERROR(R1082&lt;R1228-R1292*$AA$35,0)),"",IFERROR(R1082*N1082,""))</f>
        <v/>
      </c>
      <c r="U1082" s="232" t="str">
        <f t="shared" si="707"/>
        <v>t CO2-eq/ kg of protein</v>
      </c>
      <c r="V1082" s="28"/>
      <c r="W1082" s="28"/>
      <c r="Y1082" s="91"/>
      <c r="AO1082" s="91"/>
      <c r="AP1082" s="28"/>
      <c r="AQ1082" s="28"/>
      <c r="AR1082" s="233" t="str">
        <f t="shared" si="717"/>
        <v>t CO2-eq/ kg of protein</v>
      </c>
      <c r="AS1082" s="28"/>
      <c r="AT1082" s="304" t="str">
        <f t="shared" si="718"/>
        <v/>
      </c>
      <c r="AU1082" s="304" t="str">
        <f t="shared" si="718"/>
        <v/>
      </c>
      <c r="AV1082" s="28"/>
      <c r="AW1082" s="304" t="str">
        <f t="shared" si="720"/>
        <v/>
      </c>
      <c r="AX1082" s="304" t="str">
        <f t="shared" si="720"/>
        <v/>
      </c>
      <c r="AY1082" s="28"/>
      <c r="AZ1082" s="304" t="str">
        <f t="shared" si="721"/>
        <v/>
      </c>
      <c r="BA1082" s="304" t="str">
        <f t="shared" si="721"/>
        <v/>
      </c>
      <c r="BB1082" s="28"/>
      <c r="BC1082" s="304" t="str">
        <f t="shared" si="722"/>
        <v/>
      </c>
      <c r="BD1082" s="304" t="str">
        <f t="shared" si="722"/>
        <v/>
      </c>
      <c r="BE1082" s="28"/>
      <c r="BF1082" s="304" t="str">
        <f t="shared" si="723"/>
        <v/>
      </c>
      <c r="BG1082" s="304" t="str">
        <f t="shared" si="723"/>
        <v/>
      </c>
      <c r="BH1082" s="28"/>
      <c r="BI1082" s="304" t="str">
        <f t="shared" si="724"/>
        <v/>
      </c>
      <c r="BJ1082" s="304" t="str">
        <f t="shared" si="724"/>
        <v/>
      </c>
      <c r="BK1082" s="28"/>
      <c r="BL1082" s="304" t="str">
        <f t="shared" si="725"/>
        <v/>
      </c>
      <c r="BM1082" s="304" t="str">
        <f t="shared" si="725"/>
        <v/>
      </c>
      <c r="BN1082" s="28"/>
      <c r="BO1082" s="304" t="str">
        <f t="shared" si="726"/>
        <v/>
      </c>
      <c r="BP1082" s="304" t="str">
        <f t="shared" si="726"/>
        <v/>
      </c>
      <c r="BQ1082" s="28"/>
      <c r="BR1082" s="304" t="str">
        <f t="shared" si="727"/>
        <v/>
      </c>
      <c r="BS1082" s="304" t="str">
        <f t="shared" si="727"/>
        <v/>
      </c>
      <c r="BT1082" s="28"/>
      <c r="BU1082" s="304" t="str">
        <f t="shared" si="728"/>
        <v/>
      </c>
      <c r="BV1082" s="304" t="str">
        <f t="shared" si="728"/>
        <v/>
      </c>
      <c r="BW1082" s="28"/>
      <c r="BX1082" s="91"/>
    </row>
    <row r="1083" spans="1:76" s="55" customFormat="1" x14ac:dyDescent="0.25">
      <c r="A1083" s="359">
        <v>20</v>
      </c>
      <c r="B1083" s="216" t="str">
        <f t="shared" si="704"/>
        <v>Asia (Sans Japan): FAO. 2017. Global Livestock Environmental Assessment Model (GLEAM)</v>
      </c>
      <c r="C1083" s="219" t="s">
        <v>227</v>
      </c>
      <c r="D1083" s="219" t="s">
        <v>385</v>
      </c>
      <c r="E1083" s="219" t="s">
        <v>98</v>
      </c>
      <c r="F1083" s="219" t="s">
        <v>386</v>
      </c>
      <c r="G1083" s="220" t="s">
        <v>26</v>
      </c>
      <c r="H1083" s="221">
        <v>2010</v>
      </c>
      <c r="I1083" s="220"/>
      <c r="J1083" s="227"/>
      <c r="K1083" s="226" t="s">
        <v>688</v>
      </c>
      <c r="L1083" s="241" t="e">
        <f>J1083/[1]GHGsources!$C$22*0.001</f>
        <v>#DIV/0!</v>
      </c>
      <c r="M1083" s="225" t="str">
        <f>CONCATENATE("t CO2-eq/ ",IF('[1]Advanced Controls'!$F$169="Implementation",AdoptionUnitOfMeasure,FunctionalUnitOfMeasure))</f>
        <v>t CO2-eq/ kg of protein</v>
      </c>
      <c r="N1083" s="227"/>
      <c r="O1083" s="227" t="s">
        <v>390</v>
      </c>
      <c r="P1083" s="122"/>
      <c r="Q1083" s="228" t="s">
        <v>327</v>
      </c>
      <c r="R1083" s="231" t="str">
        <f t="shared" si="719"/>
        <v/>
      </c>
      <c r="S1083" s="230" t="str">
        <f t="shared" si="705"/>
        <v/>
      </c>
      <c r="T1083" s="231" t="str">
        <f>IF(OR(Q1083="Y",IFERROR(R1083&gt;R1289+R1293*$AA$35,0),IFERROR(R1083&lt;R1289-R1293*$AA$35,0)),"",IFERROR(R1083*N1083,""))</f>
        <v/>
      </c>
      <c r="U1083" s="232" t="str">
        <f t="shared" si="707"/>
        <v>t CO2-eq/ kg of protein</v>
      </c>
      <c r="V1083" s="28"/>
      <c r="W1083" s="28"/>
      <c r="Y1083" s="91"/>
      <c r="AO1083" s="91"/>
      <c r="AP1083" s="28"/>
      <c r="AQ1083" s="28"/>
      <c r="AR1083" s="233" t="str">
        <f t="shared" si="717"/>
        <v>t CO2-eq/ kg of protein</v>
      </c>
      <c r="AS1083" s="28"/>
      <c r="AT1083" s="304" t="str">
        <f t="shared" si="718"/>
        <v/>
      </c>
      <c r="AU1083" s="304" t="str">
        <f t="shared" si="718"/>
        <v/>
      </c>
      <c r="AV1083" s="28"/>
      <c r="AW1083" s="304" t="str">
        <f t="shared" si="720"/>
        <v/>
      </c>
      <c r="AX1083" s="304" t="str">
        <f t="shared" si="720"/>
        <v/>
      </c>
      <c r="AY1083" s="28"/>
      <c r="AZ1083" s="304" t="str">
        <f t="shared" si="721"/>
        <v/>
      </c>
      <c r="BA1083" s="304" t="str">
        <f t="shared" si="721"/>
        <v/>
      </c>
      <c r="BB1083" s="28"/>
      <c r="BC1083" s="304" t="str">
        <f t="shared" si="722"/>
        <v/>
      </c>
      <c r="BD1083" s="304" t="str">
        <f t="shared" si="722"/>
        <v/>
      </c>
      <c r="BE1083" s="28"/>
      <c r="BF1083" s="304" t="str">
        <f t="shared" si="723"/>
        <v/>
      </c>
      <c r="BG1083" s="304" t="str">
        <f t="shared" si="723"/>
        <v/>
      </c>
      <c r="BH1083" s="28"/>
      <c r="BI1083" s="304" t="str">
        <f t="shared" si="724"/>
        <v/>
      </c>
      <c r="BJ1083" s="304" t="str">
        <f t="shared" si="724"/>
        <v/>
      </c>
      <c r="BK1083" s="28"/>
      <c r="BL1083" s="304" t="str">
        <f t="shared" si="725"/>
        <v/>
      </c>
      <c r="BM1083" s="304" t="str">
        <f t="shared" si="725"/>
        <v/>
      </c>
      <c r="BN1083" s="28"/>
      <c r="BO1083" s="304" t="str">
        <f t="shared" si="726"/>
        <v/>
      </c>
      <c r="BP1083" s="304" t="str">
        <f t="shared" si="726"/>
        <v/>
      </c>
      <c r="BQ1083" s="28"/>
      <c r="BR1083" s="304" t="str">
        <f t="shared" si="727"/>
        <v/>
      </c>
      <c r="BS1083" s="304" t="str">
        <f t="shared" si="727"/>
        <v/>
      </c>
      <c r="BT1083" s="28"/>
      <c r="BU1083" s="304" t="str">
        <f t="shared" si="728"/>
        <v/>
      </c>
      <c r="BV1083" s="304" t="str">
        <f t="shared" si="728"/>
        <v/>
      </c>
      <c r="BW1083" s="28"/>
      <c r="BX1083" s="91"/>
    </row>
    <row r="1084" spans="1:76" s="55" customFormat="1" x14ac:dyDescent="0.25">
      <c r="A1084" s="359">
        <v>21</v>
      </c>
      <c r="B1084" s="216" t="str">
        <f t="shared" si="704"/>
        <v>Middle East and Africa: FAO. 2017. Global Livestock Environmental Assessment Model (GLEAM)</v>
      </c>
      <c r="C1084" s="219" t="s">
        <v>227</v>
      </c>
      <c r="D1084" s="219" t="s">
        <v>387</v>
      </c>
      <c r="E1084" s="219" t="s">
        <v>99</v>
      </c>
      <c r="F1084" s="219" t="s">
        <v>388</v>
      </c>
      <c r="G1084" s="220" t="s">
        <v>26</v>
      </c>
      <c r="H1084" s="221">
        <v>2010</v>
      </c>
      <c r="I1084" s="220"/>
      <c r="J1084" s="227">
        <v>412188308.48000044</v>
      </c>
      <c r="K1084" s="226" t="s">
        <v>688</v>
      </c>
      <c r="L1084" s="334">
        <f>J1084/[1]GHGsources!$C$23*0.001</f>
        <v>2.6110237601882951E-2</v>
      </c>
      <c r="M1084" s="225" t="str">
        <f>CONCATENATE("t CO2-eq/ ",IF('[1]Advanced Controls'!$F$169="Implementation",AdoptionUnitOfMeasure,FunctionalUnitOfMeasure))</f>
        <v>t CO2-eq/ kg of protein</v>
      </c>
      <c r="N1084" s="227"/>
      <c r="O1084" s="227" t="s">
        <v>390</v>
      </c>
      <c r="P1084" s="122"/>
      <c r="Q1084" s="228"/>
      <c r="R1084" s="231">
        <f t="shared" si="719"/>
        <v>2.6110237601882951E-2</v>
      </c>
      <c r="S1084" s="230">
        <f t="shared" si="705"/>
        <v>2.6110237601882951E-2</v>
      </c>
      <c r="T1084" s="231">
        <f>IF(OR(Q1084="Y",IFERROR(R1084&gt;R1290+R1303*$AA$35,0),IFERROR(R1084&lt;R1290-R1303*$AA$35,0)),"",IFERROR(R1084*N1084,""))</f>
        <v>0</v>
      </c>
      <c r="U1084" s="232" t="str">
        <f t="shared" si="707"/>
        <v>t CO2-eq/ kg of protein</v>
      </c>
      <c r="V1084" s="28"/>
      <c r="W1084" s="28"/>
      <c r="Y1084" s="91"/>
      <c r="AO1084" s="91"/>
      <c r="AP1084" s="28"/>
      <c r="AQ1084" s="28"/>
      <c r="AR1084" s="233" t="str">
        <f t="shared" si="717"/>
        <v>t CO2-eq/ kg of protein</v>
      </c>
      <c r="AS1084" s="28"/>
      <c r="AT1084" s="304" t="str">
        <f t="shared" si="718"/>
        <v/>
      </c>
      <c r="AU1084" s="304" t="str">
        <f t="shared" si="718"/>
        <v/>
      </c>
      <c r="AV1084" s="28"/>
      <c r="AW1084" s="304" t="str">
        <f t="shared" si="720"/>
        <v/>
      </c>
      <c r="AX1084" s="304" t="str">
        <f t="shared" si="720"/>
        <v/>
      </c>
      <c r="AY1084" s="28"/>
      <c r="AZ1084" s="304" t="str">
        <f t="shared" si="721"/>
        <v/>
      </c>
      <c r="BA1084" s="304" t="str">
        <f t="shared" si="721"/>
        <v/>
      </c>
      <c r="BB1084" s="28"/>
      <c r="BC1084" s="304" t="str">
        <f t="shared" si="722"/>
        <v/>
      </c>
      <c r="BD1084" s="304" t="str">
        <f t="shared" si="722"/>
        <v/>
      </c>
      <c r="BE1084" s="28"/>
      <c r="BF1084" s="304">
        <f t="shared" si="723"/>
        <v>2.6110237601882951E-2</v>
      </c>
      <c r="BG1084" s="304">
        <f t="shared" si="723"/>
        <v>2.6110237601882951E-2</v>
      </c>
      <c r="BH1084" s="28"/>
      <c r="BI1084" s="304" t="str">
        <f t="shared" si="724"/>
        <v/>
      </c>
      <c r="BJ1084" s="304" t="str">
        <f t="shared" si="724"/>
        <v/>
      </c>
      <c r="BK1084" s="28"/>
      <c r="BL1084" s="304" t="str">
        <f t="shared" si="725"/>
        <v/>
      </c>
      <c r="BM1084" s="304" t="str">
        <f t="shared" si="725"/>
        <v/>
      </c>
      <c r="BN1084" s="28"/>
      <c r="BO1084" s="304" t="str">
        <f t="shared" si="726"/>
        <v/>
      </c>
      <c r="BP1084" s="304" t="str">
        <f t="shared" si="726"/>
        <v/>
      </c>
      <c r="BQ1084" s="28"/>
      <c r="BR1084" s="304" t="str">
        <f t="shared" si="727"/>
        <v/>
      </c>
      <c r="BS1084" s="304" t="str">
        <f t="shared" si="727"/>
        <v/>
      </c>
      <c r="BT1084" s="28"/>
      <c r="BU1084" s="304" t="str">
        <f t="shared" si="728"/>
        <v/>
      </c>
      <c r="BV1084" s="304" t="str">
        <f t="shared" si="728"/>
        <v/>
      </c>
      <c r="BW1084" s="28"/>
      <c r="BX1084" s="91"/>
    </row>
    <row r="1085" spans="1:76" s="55" customFormat="1" x14ac:dyDescent="0.25">
      <c r="A1085" s="359">
        <v>22</v>
      </c>
      <c r="B1085" s="216" t="str">
        <f t="shared" si="704"/>
        <v>OECD90: FAO. 2017. Global Livestock Environmental Assessment Model (GLEAM)</v>
      </c>
      <c r="C1085" s="219" t="s">
        <v>227</v>
      </c>
      <c r="D1085" s="219" t="s">
        <v>389</v>
      </c>
      <c r="E1085" s="219" t="s">
        <v>96</v>
      </c>
      <c r="F1085" s="219" t="s">
        <v>176</v>
      </c>
      <c r="G1085" s="220" t="s">
        <v>26</v>
      </c>
      <c r="H1085" s="221">
        <v>2010</v>
      </c>
      <c r="I1085" s="220"/>
      <c r="J1085" s="227">
        <v>151169744.56266868</v>
      </c>
      <c r="K1085" s="226" t="s">
        <v>688</v>
      </c>
      <c r="L1085" s="334">
        <f>J1085/[1]GHGsources!$C$24*0.001</f>
        <v>2.6178928065926622E-2</v>
      </c>
      <c r="M1085" s="225" t="str">
        <f>CONCATENATE("t CO2-eq/ ",IF('[1]Advanced Controls'!$F$169="Implementation",AdoptionUnitOfMeasure,FunctionalUnitOfMeasure))</f>
        <v>t CO2-eq/ kg of protein</v>
      </c>
      <c r="N1085" s="227"/>
      <c r="O1085" s="227" t="s">
        <v>390</v>
      </c>
      <c r="P1085" s="122"/>
      <c r="Q1085" s="228"/>
      <c r="R1085" s="231">
        <f t="shared" si="719"/>
        <v>2.6178928065926622E-2</v>
      </c>
      <c r="S1085" s="230">
        <f t="shared" si="705"/>
        <v>2.6178928065926622E-2</v>
      </c>
      <c r="T1085" s="231">
        <f>IF(OR(Q1085="Y",IFERROR(R1085&gt;R1291+R1304*$AA$35,0),IFERROR(R1085&lt;R1291-R1304*$AA$35,0)),"",IFERROR(R1085*N1085,""))</f>
        <v>0</v>
      </c>
      <c r="U1085" s="232" t="str">
        <f t="shared" si="707"/>
        <v>t CO2-eq/ kg of protein</v>
      </c>
      <c r="V1085" s="28"/>
      <c r="W1085" s="28"/>
      <c r="Y1085" s="91"/>
      <c r="AO1085" s="91"/>
      <c r="AP1085" s="28"/>
      <c r="AQ1085" s="28"/>
      <c r="AR1085" s="233" t="str">
        <f t="shared" si="717"/>
        <v>t CO2-eq/ kg of protein</v>
      </c>
      <c r="AS1085" s="28"/>
      <c r="AT1085" s="304" t="str">
        <f t="shared" si="718"/>
        <v/>
      </c>
      <c r="AU1085" s="304" t="str">
        <f t="shared" si="718"/>
        <v/>
      </c>
      <c r="AV1085" s="28"/>
      <c r="AW1085" s="304">
        <f t="shared" si="720"/>
        <v>2.6178928065926622E-2</v>
      </c>
      <c r="AX1085" s="304">
        <f t="shared" si="720"/>
        <v>2.6178928065926622E-2</v>
      </c>
      <c r="AY1085" s="28"/>
      <c r="AZ1085" s="304" t="str">
        <f t="shared" si="721"/>
        <v/>
      </c>
      <c r="BA1085" s="304" t="str">
        <f t="shared" si="721"/>
        <v/>
      </c>
      <c r="BB1085" s="28"/>
      <c r="BC1085" s="304" t="str">
        <f t="shared" si="722"/>
        <v/>
      </c>
      <c r="BD1085" s="304" t="str">
        <f t="shared" si="722"/>
        <v/>
      </c>
      <c r="BE1085" s="28"/>
      <c r="BF1085" s="304" t="str">
        <f t="shared" si="723"/>
        <v/>
      </c>
      <c r="BG1085" s="304" t="str">
        <f t="shared" si="723"/>
        <v/>
      </c>
      <c r="BH1085" s="28"/>
      <c r="BI1085" s="304" t="str">
        <f t="shared" si="724"/>
        <v/>
      </c>
      <c r="BJ1085" s="304" t="str">
        <f t="shared" si="724"/>
        <v/>
      </c>
      <c r="BK1085" s="28"/>
      <c r="BL1085" s="304" t="str">
        <f t="shared" si="725"/>
        <v/>
      </c>
      <c r="BM1085" s="304" t="str">
        <f t="shared" si="725"/>
        <v/>
      </c>
      <c r="BN1085" s="28"/>
      <c r="BO1085" s="304" t="str">
        <f t="shared" si="726"/>
        <v/>
      </c>
      <c r="BP1085" s="304" t="str">
        <f t="shared" si="726"/>
        <v/>
      </c>
      <c r="BQ1085" s="28"/>
      <c r="BR1085" s="304" t="str">
        <f t="shared" si="727"/>
        <v/>
      </c>
      <c r="BS1085" s="304" t="str">
        <f t="shared" si="727"/>
        <v/>
      </c>
      <c r="BT1085" s="28"/>
      <c r="BU1085" s="304" t="str">
        <f t="shared" si="728"/>
        <v/>
      </c>
      <c r="BV1085" s="304" t="str">
        <f t="shared" si="728"/>
        <v/>
      </c>
      <c r="BW1085" s="28"/>
      <c r="BX1085" s="91"/>
    </row>
    <row r="1086" spans="1:76" s="55" customFormat="1" x14ac:dyDescent="0.25">
      <c r="A1086" s="359">
        <v>23</v>
      </c>
      <c r="B1086" s="216" t="str">
        <f t="shared" si="704"/>
        <v>World: FAO. 2017. Global Livestock Environmental Assessment Model (GLEAM)</v>
      </c>
      <c r="C1086" s="219" t="s">
        <v>227</v>
      </c>
      <c r="D1086" s="219" t="s">
        <v>370</v>
      </c>
      <c r="E1086" s="219" t="s">
        <v>95</v>
      </c>
      <c r="F1086" s="219" t="s">
        <v>371</v>
      </c>
      <c r="G1086" s="220" t="s">
        <v>26</v>
      </c>
      <c r="H1086" s="221">
        <v>2010</v>
      </c>
      <c r="I1086" s="220"/>
      <c r="J1086" s="227">
        <v>562806229576.7002</v>
      </c>
      <c r="K1086" s="226" t="s">
        <v>688</v>
      </c>
      <c r="L1086" s="334">
        <f>J1086/[1]GHGsources!$D$14*0.001</f>
        <v>5.4439612840221446E-2</v>
      </c>
      <c r="M1086" s="225" t="str">
        <f>CONCATENATE("t CO2-eq/ ",IF('[1]Advanced Controls'!$F$169="Implementation",AdoptionUnitOfMeasure,FunctionalUnitOfMeasure))</f>
        <v>t CO2-eq/ kg of protein</v>
      </c>
      <c r="N1086" s="227"/>
      <c r="O1086" s="227" t="s">
        <v>391</v>
      </c>
      <c r="P1086" s="122"/>
      <c r="Q1086" s="228"/>
      <c r="R1086" s="231">
        <f t="shared" si="719"/>
        <v>5.4439612840221446E-2</v>
      </c>
      <c r="S1086" s="230">
        <f t="shared" si="705"/>
        <v>5.4439612840221446E-2</v>
      </c>
      <c r="T1086" s="231">
        <f>IF(OR(Q1086="Y",IFERROR(R1086&gt;R1292+R1305*$AA$35,0),IFERROR(R1086&lt;R1292-R1305*$AA$35,0)),"",IFERROR(R1086*N1086,""))</f>
        <v>0</v>
      </c>
      <c r="U1086" s="232" t="str">
        <f t="shared" si="707"/>
        <v>t CO2-eq/ kg of protein</v>
      </c>
      <c r="V1086" s="28"/>
      <c r="W1086" s="28"/>
      <c r="Y1086" s="91"/>
      <c r="AO1086" s="91"/>
      <c r="AP1086" s="28"/>
      <c r="AQ1086" s="28"/>
      <c r="AR1086" s="233" t="str">
        <f t="shared" si="717"/>
        <v>t CO2-eq/ kg of protein</v>
      </c>
      <c r="AS1086" s="28"/>
      <c r="AT1086" s="304">
        <f t="shared" si="718"/>
        <v>5.4439612840221446E-2</v>
      </c>
      <c r="AU1086" s="304">
        <f t="shared" si="718"/>
        <v>5.4439612840221446E-2</v>
      </c>
      <c r="AV1086" s="28"/>
      <c r="AW1086" s="304" t="str">
        <f t="shared" si="720"/>
        <v/>
      </c>
      <c r="AX1086" s="304" t="str">
        <f t="shared" si="720"/>
        <v/>
      </c>
      <c r="AY1086" s="28"/>
      <c r="AZ1086" s="304" t="str">
        <f t="shared" si="721"/>
        <v/>
      </c>
      <c r="BA1086" s="304" t="str">
        <f t="shared" si="721"/>
        <v/>
      </c>
      <c r="BB1086" s="28"/>
      <c r="BC1086" s="304" t="str">
        <f t="shared" si="722"/>
        <v/>
      </c>
      <c r="BD1086" s="304" t="str">
        <f t="shared" si="722"/>
        <v/>
      </c>
      <c r="BE1086" s="28"/>
      <c r="BF1086" s="304" t="str">
        <f t="shared" si="723"/>
        <v/>
      </c>
      <c r="BG1086" s="304" t="str">
        <f t="shared" si="723"/>
        <v/>
      </c>
      <c r="BH1086" s="28"/>
      <c r="BI1086" s="304" t="str">
        <f t="shared" si="724"/>
        <v/>
      </c>
      <c r="BJ1086" s="304" t="str">
        <f t="shared" si="724"/>
        <v/>
      </c>
      <c r="BK1086" s="28"/>
      <c r="BL1086" s="304" t="str">
        <f t="shared" si="725"/>
        <v/>
      </c>
      <c r="BM1086" s="304" t="str">
        <f t="shared" si="725"/>
        <v/>
      </c>
      <c r="BN1086" s="28"/>
      <c r="BO1086" s="304" t="str">
        <f t="shared" si="726"/>
        <v/>
      </c>
      <c r="BP1086" s="304" t="str">
        <f t="shared" si="726"/>
        <v/>
      </c>
      <c r="BQ1086" s="28"/>
      <c r="BR1086" s="304" t="str">
        <f t="shared" si="727"/>
        <v/>
      </c>
      <c r="BS1086" s="304" t="str">
        <f t="shared" si="727"/>
        <v/>
      </c>
      <c r="BT1086" s="28"/>
      <c r="BU1086" s="304" t="str">
        <f t="shared" si="728"/>
        <v/>
      </c>
      <c r="BV1086" s="304" t="str">
        <f t="shared" si="728"/>
        <v/>
      </c>
      <c r="BW1086" s="28"/>
      <c r="BX1086" s="91"/>
    </row>
    <row r="1087" spans="1:76" s="55" customFormat="1" x14ac:dyDescent="0.25">
      <c r="A1087" s="359">
        <v>24</v>
      </c>
      <c r="B1087" s="216" t="str">
        <f t="shared" si="704"/>
        <v>Asia (Sans Japan): FAO. 2017. Global Livestock Environmental Assessment Model (GLEAM)</v>
      </c>
      <c r="C1087" s="219" t="s">
        <v>227</v>
      </c>
      <c r="D1087" s="219" t="s">
        <v>374</v>
      </c>
      <c r="E1087" s="219" t="s">
        <v>98</v>
      </c>
      <c r="F1087" s="219" t="s">
        <v>375</v>
      </c>
      <c r="G1087" s="220" t="s">
        <v>26</v>
      </c>
      <c r="H1087" s="221">
        <v>2010</v>
      </c>
      <c r="I1087" s="220"/>
      <c r="J1087" s="227">
        <v>27429558207.827747</v>
      </c>
      <c r="K1087" s="226" t="s">
        <v>688</v>
      </c>
      <c r="L1087" s="334">
        <f>J1087/[1]GHGsources!$D$15*0.001</f>
        <v>2.6012248245418073E-2</v>
      </c>
      <c r="M1087" s="225" t="str">
        <f>CONCATENATE("t CO2-eq/ ",IF('[1]Advanced Controls'!$F$169="Implementation",AdoptionUnitOfMeasure,FunctionalUnitOfMeasure))</f>
        <v>t CO2-eq/ kg of protein</v>
      </c>
      <c r="N1087" s="227"/>
      <c r="O1087" s="227" t="s">
        <v>391</v>
      </c>
      <c r="P1087" s="122"/>
      <c r="Q1087" s="228"/>
      <c r="R1087" s="231">
        <f t="shared" si="719"/>
        <v>2.6012248245418073E-2</v>
      </c>
      <c r="S1087" s="230">
        <f t="shared" si="705"/>
        <v>2.6012248245418073E-2</v>
      </c>
      <c r="T1087" s="231">
        <f>IF(OR(Q1087="Y",IFERROR(R1087&gt;R1293+R1306*$AA$35,0),IFERROR(R1087&lt;R1293-R1306*$AA$35,0)),"",IFERROR(R1087*N1087,""))</f>
        <v>0</v>
      </c>
      <c r="U1087" s="232" t="str">
        <f t="shared" si="707"/>
        <v>t CO2-eq/ kg of protein</v>
      </c>
      <c r="V1087" s="28"/>
      <c r="W1087" s="28"/>
      <c r="Y1087" s="91"/>
      <c r="AO1087" s="91"/>
      <c r="AP1087" s="28"/>
      <c r="AQ1087" s="28"/>
      <c r="AR1087" s="233" t="str">
        <f t="shared" si="717"/>
        <v>t CO2-eq/ kg of protein</v>
      </c>
      <c r="AS1087" s="28"/>
      <c r="AT1087" s="304" t="str">
        <f t="shared" si="718"/>
        <v/>
      </c>
      <c r="AU1087" s="304" t="str">
        <f t="shared" si="718"/>
        <v/>
      </c>
      <c r="AV1087" s="28"/>
      <c r="AW1087" s="304" t="str">
        <f t="shared" si="720"/>
        <v/>
      </c>
      <c r="AX1087" s="304" t="str">
        <f t="shared" si="720"/>
        <v/>
      </c>
      <c r="AY1087" s="28"/>
      <c r="AZ1087" s="304" t="str">
        <f t="shared" si="721"/>
        <v/>
      </c>
      <c r="BA1087" s="304" t="str">
        <f t="shared" si="721"/>
        <v/>
      </c>
      <c r="BB1087" s="28"/>
      <c r="BC1087" s="304">
        <f t="shared" si="722"/>
        <v>2.6012248245418073E-2</v>
      </c>
      <c r="BD1087" s="304">
        <f t="shared" si="722"/>
        <v>2.6012248245418073E-2</v>
      </c>
      <c r="BE1087" s="28"/>
      <c r="BF1087" s="304" t="str">
        <f t="shared" si="723"/>
        <v/>
      </c>
      <c r="BG1087" s="304" t="str">
        <f t="shared" si="723"/>
        <v/>
      </c>
      <c r="BH1087" s="28"/>
      <c r="BI1087" s="304" t="str">
        <f t="shared" si="724"/>
        <v/>
      </c>
      <c r="BJ1087" s="304" t="str">
        <f t="shared" si="724"/>
        <v/>
      </c>
      <c r="BK1087" s="28"/>
      <c r="BL1087" s="304" t="str">
        <f t="shared" si="725"/>
        <v/>
      </c>
      <c r="BM1087" s="304" t="str">
        <f t="shared" si="725"/>
        <v/>
      </c>
      <c r="BN1087" s="28"/>
      <c r="BO1087" s="304" t="str">
        <f t="shared" si="726"/>
        <v/>
      </c>
      <c r="BP1087" s="304" t="str">
        <f t="shared" si="726"/>
        <v/>
      </c>
      <c r="BQ1087" s="28"/>
      <c r="BR1087" s="304" t="str">
        <f t="shared" si="727"/>
        <v/>
      </c>
      <c r="BS1087" s="304" t="str">
        <f t="shared" si="727"/>
        <v/>
      </c>
      <c r="BT1087" s="28"/>
      <c r="BU1087" s="304" t="str">
        <f t="shared" si="728"/>
        <v/>
      </c>
      <c r="BV1087" s="304" t="str">
        <f t="shared" si="728"/>
        <v/>
      </c>
      <c r="BW1087" s="28"/>
      <c r="BX1087" s="91"/>
    </row>
    <row r="1088" spans="1:76" s="55" customFormat="1" x14ac:dyDescent="0.25">
      <c r="A1088" s="359">
        <v>25</v>
      </c>
      <c r="B1088" s="216" t="str">
        <f t="shared" si="704"/>
        <v>Eastern Europe: FAO. 2017. Global Livestock Environmental Assessment Model (GLEAM)</v>
      </c>
      <c r="C1088" s="219" t="s">
        <v>227</v>
      </c>
      <c r="D1088" s="219" t="s">
        <v>376</v>
      </c>
      <c r="E1088" s="219" t="s">
        <v>97</v>
      </c>
      <c r="F1088" s="219" t="s">
        <v>97</v>
      </c>
      <c r="G1088" s="220" t="s">
        <v>26</v>
      </c>
      <c r="H1088" s="221">
        <v>2010</v>
      </c>
      <c r="I1088" s="220"/>
      <c r="J1088" s="227">
        <v>4147967108.2221403</v>
      </c>
      <c r="K1088" s="226" t="s">
        <v>688</v>
      </c>
      <c r="L1088" s="334">
        <f>J1088/[1]GHGsources!$D$16*0.001</f>
        <v>1.3915040368534731E-2</v>
      </c>
      <c r="M1088" s="225" t="str">
        <f>CONCATENATE("t CO2-eq/ ",IF('[1]Advanced Controls'!$F$169="Implementation",AdoptionUnitOfMeasure,FunctionalUnitOfMeasure))</f>
        <v>t CO2-eq/ kg of protein</v>
      </c>
      <c r="N1088" s="227"/>
      <c r="O1088" s="227" t="s">
        <v>391</v>
      </c>
      <c r="P1088" s="122"/>
      <c r="Q1088" s="228"/>
      <c r="R1088" s="231">
        <f t="shared" si="719"/>
        <v>1.3915040368534731E-2</v>
      </c>
      <c r="S1088" s="230">
        <f t="shared" si="705"/>
        <v>1.3915040368534731E-2</v>
      </c>
      <c r="T1088" s="231">
        <f t="shared" ref="T1088:T1151" si="729">IF(OR(Q1088="Y",IFERROR(R1088&gt;R1303+R1307*$AA$35,0),IFERROR(R1088&lt;R1303-R1307*$AA$35,0)),"",IFERROR(R1088*N1088,""))</f>
        <v>0</v>
      </c>
      <c r="U1088" s="232" t="str">
        <f t="shared" si="707"/>
        <v>t CO2-eq/ kg of protein</v>
      </c>
      <c r="V1088" s="28"/>
      <c r="W1088" s="28"/>
      <c r="Y1088" s="91"/>
      <c r="AO1088" s="91"/>
      <c r="AP1088" s="28"/>
      <c r="AQ1088" s="28"/>
      <c r="AR1088" s="233" t="str">
        <f t="shared" si="717"/>
        <v>t CO2-eq/ kg of protein</v>
      </c>
      <c r="AS1088" s="28"/>
      <c r="AT1088" s="304" t="str">
        <f t="shared" si="718"/>
        <v/>
      </c>
      <c r="AU1088" s="304" t="str">
        <f t="shared" si="718"/>
        <v/>
      </c>
      <c r="AV1088" s="28"/>
      <c r="AW1088" s="304" t="str">
        <f t="shared" si="720"/>
        <v/>
      </c>
      <c r="AX1088" s="304" t="str">
        <f t="shared" si="720"/>
        <v/>
      </c>
      <c r="AY1088" s="28"/>
      <c r="AZ1088" s="304">
        <f t="shared" si="721"/>
        <v>1.3915040368534731E-2</v>
      </c>
      <c r="BA1088" s="304">
        <f t="shared" si="721"/>
        <v>1.3915040368534731E-2</v>
      </c>
      <c r="BB1088" s="28"/>
      <c r="BC1088" s="304" t="str">
        <f t="shared" si="722"/>
        <v/>
      </c>
      <c r="BD1088" s="304" t="str">
        <f t="shared" si="722"/>
        <v/>
      </c>
      <c r="BE1088" s="28"/>
      <c r="BF1088" s="304" t="str">
        <f t="shared" si="723"/>
        <v/>
      </c>
      <c r="BG1088" s="304" t="str">
        <f t="shared" si="723"/>
        <v/>
      </c>
      <c r="BH1088" s="28"/>
      <c r="BI1088" s="304" t="str">
        <f t="shared" si="724"/>
        <v/>
      </c>
      <c r="BJ1088" s="304" t="str">
        <f t="shared" si="724"/>
        <v/>
      </c>
      <c r="BK1088" s="28"/>
      <c r="BL1088" s="304" t="str">
        <f t="shared" si="725"/>
        <v/>
      </c>
      <c r="BM1088" s="304" t="str">
        <f t="shared" si="725"/>
        <v/>
      </c>
      <c r="BN1088" s="28"/>
      <c r="BO1088" s="304" t="str">
        <f t="shared" si="726"/>
        <v/>
      </c>
      <c r="BP1088" s="304" t="str">
        <f t="shared" si="726"/>
        <v/>
      </c>
      <c r="BQ1088" s="28"/>
      <c r="BR1088" s="304" t="str">
        <f t="shared" si="727"/>
        <v/>
      </c>
      <c r="BS1088" s="304" t="str">
        <f t="shared" si="727"/>
        <v/>
      </c>
      <c r="BT1088" s="28"/>
      <c r="BU1088" s="304" t="str">
        <f t="shared" si="728"/>
        <v/>
      </c>
      <c r="BV1088" s="304" t="str">
        <f t="shared" si="728"/>
        <v/>
      </c>
      <c r="BW1088" s="28"/>
      <c r="BX1088" s="91"/>
    </row>
    <row r="1089" spans="1:76" s="55" customFormat="1" x14ac:dyDescent="0.25">
      <c r="A1089" s="359">
        <v>26</v>
      </c>
      <c r="B1089" s="216" t="str">
        <f t="shared" si="704"/>
        <v>Latin America: FAO. 2017. Global Livestock Environmental Assessment Model (GLEAM)</v>
      </c>
      <c r="C1089" s="219" t="s">
        <v>227</v>
      </c>
      <c r="D1089" s="219" t="s">
        <v>377</v>
      </c>
      <c r="E1089" s="219" t="s">
        <v>100</v>
      </c>
      <c r="F1089" s="219" t="s">
        <v>378</v>
      </c>
      <c r="G1089" s="220" t="s">
        <v>26</v>
      </c>
      <c r="H1089" s="221">
        <v>2010</v>
      </c>
      <c r="I1089" s="220"/>
      <c r="J1089" s="227">
        <v>424027312552.21033</v>
      </c>
      <c r="K1089" s="226" t="s">
        <v>688</v>
      </c>
      <c r="L1089" s="334">
        <f>J1089/[1]GHGsources!$D$17*0.001</f>
        <v>0.19359443588292374</v>
      </c>
      <c r="M1089" s="225" t="str">
        <f>CONCATENATE("t CO2-eq/ ",IF('[1]Advanced Controls'!$F$169="Implementation",AdoptionUnitOfMeasure,FunctionalUnitOfMeasure))</f>
        <v>t CO2-eq/ kg of protein</v>
      </c>
      <c r="N1089" s="227"/>
      <c r="O1089" s="227" t="s">
        <v>391</v>
      </c>
      <c r="P1089" s="122"/>
      <c r="Q1089" s="228"/>
      <c r="R1089" s="231">
        <f t="shared" si="719"/>
        <v>0.19359443588292374</v>
      </c>
      <c r="S1089" s="230" t="str">
        <f t="shared" si="705"/>
        <v/>
      </c>
      <c r="T1089" s="231" t="str">
        <f t="shared" si="729"/>
        <v/>
      </c>
      <c r="U1089" s="232" t="str">
        <f t="shared" si="707"/>
        <v>t CO2-eq/ kg of protein</v>
      </c>
      <c r="V1089" s="28"/>
      <c r="W1089" s="28"/>
      <c r="Y1089" s="91"/>
      <c r="AO1089" s="91"/>
      <c r="AP1089" s="28"/>
      <c r="AQ1089" s="28"/>
      <c r="AR1089" s="233" t="str">
        <f t="shared" si="717"/>
        <v>t CO2-eq/ kg of protein</v>
      </c>
      <c r="AS1089" s="28"/>
      <c r="AT1089" s="304" t="str">
        <f t="shared" si="718"/>
        <v/>
      </c>
      <c r="AU1089" s="304" t="str">
        <f t="shared" si="718"/>
        <v/>
      </c>
      <c r="AV1089" s="28"/>
      <c r="AW1089" s="304" t="str">
        <f t="shared" si="720"/>
        <v/>
      </c>
      <c r="AX1089" s="304" t="str">
        <f t="shared" si="720"/>
        <v/>
      </c>
      <c r="AY1089" s="28"/>
      <c r="AZ1089" s="304" t="str">
        <f t="shared" si="721"/>
        <v/>
      </c>
      <c r="BA1089" s="304" t="str">
        <f t="shared" si="721"/>
        <v/>
      </c>
      <c r="BB1089" s="28"/>
      <c r="BC1089" s="304" t="str">
        <f t="shared" si="722"/>
        <v/>
      </c>
      <c r="BD1089" s="304" t="str">
        <f t="shared" si="722"/>
        <v/>
      </c>
      <c r="BE1089" s="28"/>
      <c r="BF1089" s="304" t="str">
        <f t="shared" si="723"/>
        <v/>
      </c>
      <c r="BG1089" s="304" t="str">
        <f t="shared" si="723"/>
        <v/>
      </c>
      <c r="BH1089" s="28"/>
      <c r="BI1089" s="304">
        <f t="shared" si="724"/>
        <v>0.19359443588292374</v>
      </c>
      <c r="BJ1089" s="304" t="str">
        <f t="shared" si="724"/>
        <v/>
      </c>
      <c r="BK1089" s="28"/>
      <c r="BL1089" s="304" t="str">
        <f t="shared" si="725"/>
        <v/>
      </c>
      <c r="BM1089" s="304" t="str">
        <f t="shared" si="725"/>
        <v/>
      </c>
      <c r="BN1089" s="28"/>
      <c r="BO1089" s="304" t="str">
        <f t="shared" si="726"/>
        <v/>
      </c>
      <c r="BP1089" s="304" t="str">
        <f t="shared" si="726"/>
        <v/>
      </c>
      <c r="BQ1089" s="28"/>
      <c r="BR1089" s="304" t="str">
        <f t="shared" si="727"/>
        <v/>
      </c>
      <c r="BS1089" s="304" t="str">
        <f t="shared" si="727"/>
        <v/>
      </c>
      <c r="BT1089" s="28"/>
      <c r="BU1089" s="304" t="str">
        <f t="shared" si="728"/>
        <v/>
      </c>
      <c r="BV1089" s="304" t="str">
        <f t="shared" si="728"/>
        <v/>
      </c>
      <c r="BW1089" s="28"/>
      <c r="BX1089" s="91"/>
    </row>
    <row r="1090" spans="1:76" s="55" customFormat="1" x14ac:dyDescent="0.25">
      <c r="A1090" s="359">
        <v>27</v>
      </c>
      <c r="B1090" s="216" t="str">
        <f t="shared" si="704"/>
        <v>Middle East and Africa: FAO. 2017. Global Livestock Environmental Assessment Model (GLEAM)</v>
      </c>
      <c r="C1090" s="219" t="s">
        <v>227</v>
      </c>
      <c r="D1090" s="219" t="s">
        <v>379</v>
      </c>
      <c r="E1090" s="219" t="s">
        <v>99</v>
      </c>
      <c r="F1090" s="219" t="s">
        <v>380</v>
      </c>
      <c r="G1090" s="220" t="s">
        <v>26</v>
      </c>
      <c r="H1090" s="221">
        <v>2010</v>
      </c>
      <c r="I1090" s="220"/>
      <c r="J1090" s="227">
        <v>14222183504.421366</v>
      </c>
      <c r="K1090" s="226" t="s">
        <v>688</v>
      </c>
      <c r="L1090" s="334">
        <f>J1090/[1]GHGsources!$D$18*0.001</f>
        <v>1.8250363238584862E-2</v>
      </c>
      <c r="M1090" s="225" t="str">
        <f>CONCATENATE("t CO2-eq/ ",IF('[1]Advanced Controls'!$F$169="Implementation",AdoptionUnitOfMeasure,FunctionalUnitOfMeasure))</f>
        <v>t CO2-eq/ kg of protein</v>
      </c>
      <c r="N1090" s="227"/>
      <c r="O1090" s="227" t="s">
        <v>391</v>
      </c>
      <c r="P1090" s="122"/>
      <c r="Q1090" s="228"/>
      <c r="R1090" s="231">
        <f t="shared" si="719"/>
        <v>1.8250363238584862E-2</v>
      </c>
      <c r="S1090" s="230">
        <f t="shared" si="705"/>
        <v>1.8250363238584862E-2</v>
      </c>
      <c r="T1090" s="231">
        <f t="shared" si="729"/>
        <v>0</v>
      </c>
      <c r="U1090" s="232" t="str">
        <f t="shared" si="707"/>
        <v>t CO2-eq/ kg of protein</v>
      </c>
      <c r="V1090" s="28"/>
      <c r="W1090" s="28"/>
      <c r="Y1090" s="91"/>
      <c r="AO1090" s="91"/>
      <c r="AP1090" s="28"/>
      <c r="AQ1090" s="28"/>
      <c r="AR1090" s="233" t="str">
        <f t="shared" si="717"/>
        <v>t CO2-eq/ kg of protein</v>
      </c>
      <c r="AS1090" s="28"/>
      <c r="AT1090" s="304" t="str">
        <f t="shared" si="718"/>
        <v/>
      </c>
      <c r="AU1090" s="304" t="str">
        <f t="shared" si="718"/>
        <v/>
      </c>
      <c r="AV1090" s="28"/>
      <c r="AW1090" s="304" t="str">
        <f t="shared" si="720"/>
        <v/>
      </c>
      <c r="AX1090" s="304" t="str">
        <f t="shared" si="720"/>
        <v/>
      </c>
      <c r="AY1090" s="28"/>
      <c r="AZ1090" s="304" t="str">
        <f t="shared" si="721"/>
        <v/>
      </c>
      <c r="BA1090" s="304" t="str">
        <f t="shared" si="721"/>
        <v/>
      </c>
      <c r="BB1090" s="28"/>
      <c r="BC1090" s="304" t="str">
        <f t="shared" si="722"/>
        <v/>
      </c>
      <c r="BD1090" s="304" t="str">
        <f t="shared" si="722"/>
        <v/>
      </c>
      <c r="BE1090" s="28"/>
      <c r="BF1090" s="304">
        <f t="shared" si="723"/>
        <v>1.8250363238584862E-2</v>
      </c>
      <c r="BG1090" s="304">
        <f t="shared" si="723"/>
        <v>1.8250363238584862E-2</v>
      </c>
      <c r="BH1090" s="28"/>
      <c r="BI1090" s="304" t="str">
        <f t="shared" si="724"/>
        <v/>
      </c>
      <c r="BJ1090" s="304" t="str">
        <f t="shared" si="724"/>
        <v/>
      </c>
      <c r="BK1090" s="28"/>
      <c r="BL1090" s="304" t="str">
        <f t="shared" si="725"/>
        <v/>
      </c>
      <c r="BM1090" s="304" t="str">
        <f t="shared" si="725"/>
        <v/>
      </c>
      <c r="BN1090" s="28"/>
      <c r="BO1090" s="304" t="str">
        <f t="shared" si="726"/>
        <v/>
      </c>
      <c r="BP1090" s="304" t="str">
        <f t="shared" si="726"/>
        <v/>
      </c>
      <c r="BQ1090" s="28"/>
      <c r="BR1090" s="304" t="str">
        <f t="shared" si="727"/>
        <v/>
      </c>
      <c r="BS1090" s="304" t="str">
        <f t="shared" si="727"/>
        <v/>
      </c>
      <c r="BT1090" s="28"/>
      <c r="BU1090" s="304" t="str">
        <f t="shared" si="728"/>
        <v/>
      </c>
      <c r="BV1090" s="304" t="str">
        <f t="shared" si="728"/>
        <v/>
      </c>
      <c r="BW1090" s="28"/>
      <c r="BX1090" s="91"/>
    </row>
    <row r="1091" spans="1:76" s="55" customFormat="1" x14ac:dyDescent="0.25">
      <c r="A1091" s="359">
        <v>28</v>
      </c>
      <c r="B1091" s="216" t="str">
        <f t="shared" si="704"/>
        <v>OECD90: FAO. 2017. Global Livestock Environmental Assessment Model (GLEAM)</v>
      </c>
      <c r="C1091" s="219" t="s">
        <v>227</v>
      </c>
      <c r="D1091" s="219" t="s">
        <v>381</v>
      </c>
      <c r="E1091" s="219" t="s">
        <v>96</v>
      </c>
      <c r="F1091" s="219" t="s">
        <v>179</v>
      </c>
      <c r="G1091" s="220" t="s">
        <v>26</v>
      </c>
      <c r="H1091" s="221">
        <v>2010</v>
      </c>
      <c r="I1091" s="220"/>
      <c r="J1091" s="227">
        <v>26841078503.036186</v>
      </c>
      <c r="K1091" s="226" t="s">
        <v>688</v>
      </c>
      <c r="L1091" s="334">
        <f>J1091/[1]GHGsources!$D$19*0.001</f>
        <v>1.4516720990459695E-2</v>
      </c>
      <c r="M1091" s="225" t="str">
        <f>CONCATENATE("t CO2-eq/ ",IF('[1]Advanced Controls'!$F$169="Implementation",AdoptionUnitOfMeasure,FunctionalUnitOfMeasure))</f>
        <v>t CO2-eq/ kg of protein</v>
      </c>
      <c r="N1091" s="227"/>
      <c r="O1091" s="227" t="s">
        <v>391</v>
      </c>
      <c r="P1091" s="122"/>
      <c r="Q1091" s="228"/>
      <c r="R1091" s="231">
        <f t="shared" si="719"/>
        <v>1.4516720990459695E-2</v>
      </c>
      <c r="S1091" s="230">
        <f t="shared" si="705"/>
        <v>1.4516720990459695E-2</v>
      </c>
      <c r="T1091" s="231">
        <f t="shared" si="729"/>
        <v>0</v>
      </c>
      <c r="U1091" s="232" t="str">
        <f t="shared" si="707"/>
        <v>t CO2-eq/ kg of protein</v>
      </c>
      <c r="V1091" s="28"/>
      <c r="W1091" s="28"/>
      <c r="Y1091" s="91"/>
      <c r="AO1091" s="91"/>
      <c r="AP1091" s="28"/>
      <c r="AQ1091" s="28"/>
      <c r="AR1091" s="233" t="str">
        <f t="shared" si="717"/>
        <v>t CO2-eq/ kg of protein</v>
      </c>
      <c r="AS1091" s="28"/>
      <c r="AT1091" s="304" t="str">
        <f t="shared" si="718"/>
        <v/>
      </c>
      <c r="AU1091" s="304" t="str">
        <f t="shared" si="718"/>
        <v/>
      </c>
      <c r="AV1091" s="28"/>
      <c r="AW1091" s="304">
        <f t="shared" si="720"/>
        <v>1.4516720990459695E-2</v>
      </c>
      <c r="AX1091" s="304">
        <f t="shared" si="720"/>
        <v>1.4516720990459695E-2</v>
      </c>
      <c r="AY1091" s="28"/>
      <c r="AZ1091" s="304" t="str">
        <f t="shared" si="721"/>
        <v/>
      </c>
      <c r="BA1091" s="304" t="str">
        <f t="shared" si="721"/>
        <v/>
      </c>
      <c r="BB1091" s="28"/>
      <c r="BC1091" s="304" t="str">
        <f t="shared" si="722"/>
        <v/>
      </c>
      <c r="BD1091" s="304" t="str">
        <f t="shared" si="722"/>
        <v/>
      </c>
      <c r="BE1091" s="28"/>
      <c r="BF1091" s="304" t="str">
        <f t="shared" si="723"/>
        <v/>
      </c>
      <c r="BG1091" s="304" t="str">
        <f t="shared" si="723"/>
        <v/>
      </c>
      <c r="BH1091" s="28"/>
      <c r="BI1091" s="304" t="str">
        <f t="shared" si="724"/>
        <v/>
      </c>
      <c r="BJ1091" s="304" t="str">
        <f t="shared" si="724"/>
        <v/>
      </c>
      <c r="BK1091" s="28"/>
      <c r="BL1091" s="304" t="str">
        <f t="shared" si="725"/>
        <v/>
      </c>
      <c r="BM1091" s="304" t="str">
        <f t="shared" si="725"/>
        <v/>
      </c>
      <c r="BN1091" s="28"/>
      <c r="BO1091" s="304" t="str">
        <f t="shared" si="726"/>
        <v/>
      </c>
      <c r="BP1091" s="304" t="str">
        <f t="shared" si="726"/>
        <v/>
      </c>
      <c r="BQ1091" s="28"/>
      <c r="BR1091" s="304" t="str">
        <f t="shared" si="727"/>
        <v/>
      </c>
      <c r="BS1091" s="304" t="str">
        <f t="shared" si="727"/>
        <v/>
      </c>
      <c r="BT1091" s="28"/>
      <c r="BU1091" s="304" t="str">
        <f t="shared" si="728"/>
        <v/>
      </c>
      <c r="BV1091" s="304" t="str">
        <f t="shared" si="728"/>
        <v/>
      </c>
      <c r="BW1091" s="28"/>
      <c r="BX1091" s="91"/>
    </row>
    <row r="1092" spans="1:76" s="55" customFormat="1" x14ac:dyDescent="0.25">
      <c r="A1092" s="359">
        <v>29</v>
      </c>
      <c r="B1092" s="216" t="str">
        <f t="shared" si="704"/>
        <v>OECD90: FAO. 2017. Global Livestock Environmental Assessment Model (GLEAM)</v>
      </c>
      <c r="C1092" s="219" t="s">
        <v>227</v>
      </c>
      <c r="D1092" s="219" t="s">
        <v>382</v>
      </c>
      <c r="E1092" s="219" t="s">
        <v>96</v>
      </c>
      <c r="F1092" s="219" t="s">
        <v>185</v>
      </c>
      <c r="G1092" s="220" t="s">
        <v>26</v>
      </c>
      <c r="H1092" s="221">
        <v>2010</v>
      </c>
      <c r="I1092" s="220"/>
      <c r="J1092" s="227">
        <v>10588090051.766029</v>
      </c>
      <c r="K1092" s="226" t="s">
        <v>688</v>
      </c>
      <c r="L1092" s="337">
        <f>J1092/[1]GHGsources!$D$20*0.001</f>
        <v>1.6261833191297766E-2</v>
      </c>
      <c r="M1092" s="225" t="str">
        <f>CONCATENATE("t CO2-eq/ ",IF('[1]Advanced Controls'!$F$169="Implementation",AdoptionUnitOfMeasure,FunctionalUnitOfMeasure))</f>
        <v>t CO2-eq/ kg of protein</v>
      </c>
      <c r="N1092" s="227"/>
      <c r="O1092" s="227" t="s">
        <v>391</v>
      </c>
      <c r="P1092" s="122"/>
      <c r="Q1092" s="228"/>
      <c r="R1092" s="231">
        <f t="shared" si="719"/>
        <v>1.6261833191297766E-2</v>
      </c>
      <c r="S1092" s="230">
        <f t="shared" si="705"/>
        <v>1.6261833191297766E-2</v>
      </c>
      <c r="T1092" s="231">
        <f t="shared" si="729"/>
        <v>0</v>
      </c>
      <c r="U1092" s="232" t="str">
        <f t="shared" si="707"/>
        <v>t CO2-eq/ kg of protein</v>
      </c>
      <c r="V1092" s="28"/>
      <c r="W1092" s="28"/>
      <c r="Y1092" s="91"/>
      <c r="AO1092" s="91"/>
      <c r="AP1092" s="28"/>
      <c r="AQ1092" s="28"/>
      <c r="AR1092" s="233" t="str">
        <f t="shared" si="717"/>
        <v>t CO2-eq/ kg of protein</v>
      </c>
      <c r="AS1092" s="28"/>
      <c r="AT1092" s="304" t="str">
        <f t="shared" si="718"/>
        <v/>
      </c>
      <c r="AU1092" s="304" t="str">
        <f t="shared" si="718"/>
        <v/>
      </c>
      <c r="AV1092" s="28"/>
      <c r="AW1092" s="304">
        <f t="shared" si="720"/>
        <v>1.6261833191297766E-2</v>
      </c>
      <c r="AX1092" s="304">
        <f t="shared" si="720"/>
        <v>1.6261833191297766E-2</v>
      </c>
      <c r="AY1092" s="28"/>
      <c r="AZ1092" s="304" t="str">
        <f t="shared" si="721"/>
        <v/>
      </c>
      <c r="BA1092" s="304" t="str">
        <f t="shared" si="721"/>
        <v/>
      </c>
      <c r="BB1092" s="28"/>
      <c r="BC1092" s="304" t="str">
        <f t="shared" si="722"/>
        <v/>
      </c>
      <c r="BD1092" s="304" t="str">
        <f t="shared" si="722"/>
        <v/>
      </c>
      <c r="BE1092" s="28"/>
      <c r="BF1092" s="304" t="str">
        <f t="shared" si="723"/>
        <v/>
      </c>
      <c r="BG1092" s="304" t="str">
        <f t="shared" si="723"/>
        <v/>
      </c>
      <c r="BH1092" s="28"/>
      <c r="BI1092" s="304" t="str">
        <f t="shared" si="724"/>
        <v/>
      </c>
      <c r="BJ1092" s="304" t="str">
        <f t="shared" si="724"/>
        <v/>
      </c>
      <c r="BK1092" s="28"/>
      <c r="BL1092" s="304" t="str">
        <f t="shared" si="725"/>
        <v/>
      </c>
      <c r="BM1092" s="304" t="str">
        <f t="shared" si="725"/>
        <v/>
      </c>
      <c r="BN1092" s="28"/>
      <c r="BO1092" s="304" t="str">
        <f t="shared" si="726"/>
        <v/>
      </c>
      <c r="BP1092" s="304" t="str">
        <f t="shared" si="726"/>
        <v/>
      </c>
      <c r="BQ1092" s="28"/>
      <c r="BR1092" s="304" t="str">
        <f t="shared" si="727"/>
        <v/>
      </c>
      <c r="BS1092" s="304" t="str">
        <f t="shared" si="727"/>
        <v/>
      </c>
      <c r="BT1092" s="28"/>
      <c r="BU1092" s="304" t="str">
        <f t="shared" si="728"/>
        <v/>
      </c>
      <c r="BV1092" s="304" t="str">
        <f t="shared" si="728"/>
        <v/>
      </c>
      <c r="BW1092" s="28"/>
      <c r="BX1092" s="91"/>
    </row>
    <row r="1093" spans="1:76" s="55" customFormat="1" x14ac:dyDescent="0.25">
      <c r="A1093" s="359">
        <v>30</v>
      </c>
      <c r="B1093" s="216" t="str">
        <f t="shared" si="704"/>
        <v>Eastern Europe: FAO. 2017. Global Livestock Environmental Assessment Model (GLEAM)</v>
      </c>
      <c r="C1093" s="219" t="s">
        <v>227</v>
      </c>
      <c r="D1093" s="219" t="s">
        <v>383</v>
      </c>
      <c r="E1093" s="219" t="s">
        <v>97</v>
      </c>
      <c r="F1093" s="219" t="s">
        <v>384</v>
      </c>
      <c r="G1093" s="220" t="s">
        <v>26</v>
      </c>
      <c r="H1093" s="221">
        <v>2010</v>
      </c>
      <c r="I1093" s="220"/>
      <c r="J1093" s="227">
        <v>5658233988.241519</v>
      </c>
      <c r="K1093" s="226" t="s">
        <v>688</v>
      </c>
      <c r="L1093" s="334">
        <f>J1093/[1]GHGsources!$D$21*0.001</f>
        <v>1.1608831384530822E-2</v>
      </c>
      <c r="M1093" s="225" t="str">
        <f>CONCATENATE("t CO2-eq/ ",IF('[1]Advanced Controls'!$F$169="Implementation",AdoptionUnitOfMeasure,FunctionalUnitOfMeasure))</f>
        <v>t CO2-eq/ kg of protein</v>
      </c>
      <c r="N1093" s="227"/>
      <c r="O1093" s="227" t="s">
        <v>391</v>
      </c>
      <c r="P1093" s="122"/>
      <c r="Q1093" s="228"/>
      <c r="R1093" s="231">
        <f t="shared" si="719"/>
        <v>1.1608831384530822E-2</v>
      </c>
      <c r="S1093" s="230">
        <f t="shared" si="705"/>
        <v>1.1608831384530822E-2</v>
      </c>
      <c r="T1093" s="231">
        <f t="shared" si="729"/>
        <v>0</v>
      </c>
      <c r="U1093" s="232" t="str">
        <f t="shared" si="707"/>
        <v>t CO2-eq/ kg of protein</v>
      </c>
      <c r="V1093" s="28"/>
      <c r="W1093" s="28"/>
      <c r="Y1093" s="91"/>
      <c r="AO1093" s="91"/>
      <c r="AP1093" s="28"/>
      <c r="AQ1093" s="28"/>
      <c r="AR1093" s="233" t="str">
        <f t="shared" si="717"/>
        <v>t CO2-eq/ kg of protein</v>
      </c>
      <c r="AS1093" s="28"/>
      <c r="AT1093" s="304" t="str">
        <f t="shared" si="718"/>
        <v/>
      </c>
      <c r="AU1093" s="304" t="str">
        <f t="shared" si="718"/>
        <v/>
      </c>
      <c r="AV1093" s="28"/>
      <c r="AW1093" s="304" t="str">
        <f t="shared" si="720"/>
        <v/>
      </c>
      <c r="AX1093" s="304" t="str">
        <f t="shared" si="720"/>
        <v/>
      </c>
      <c r="AY1093" s="28"/>
      <c r="AZ1093" s="304">
        <f t="shared" si="721"/>
        <v>1.1608831384530822E-2</v>
      </c>
      <c r="BA1093" s="304">
        <f t="shared" si="721"/>
        <v>1.1608831384530822E-2</v>
      </c>
      <c r="BB1093" s="28"/>
      <c r="BC1093" s="304" t="str">
        <f t="shared" si="722"/>
        <v/>
      </c>
      <c r="BD1093" s="304" t="str">
        <f t="shared" si="722"/>
        <v/>
      </c>
      <c r="BE1093" s="28"/>
      <c r="BF1093" s="304" t="str">
        <f t="shared" si="723"/>
        <v/>
      </c>
      <c r="BG1093" s="304" t="str">
        <f t="shared" si="723"/>
        <v/>
      </c>
      <c r="BH1093" s="28"/>
      <c r="BI1093" s="304" t="str">
        <f t="shared" si="724"/>
        <v/>
      </c>
      <c r="BJ1093" s="304" t="str">
        <f t="shared" si="724"/>
        <v/>
      </c>
      <c r="BK1093" s="28"/>
      <c r="BL1093" s="304" t="str">
        <f t="shared" si="725"/>
        <v/>
      </c>
      <c r="BM1093" s="304" t="str">
        <f t="shared" si="725"/>
        <v/>
      </c>
      <c r="BN1093" s="28"/>
      <c r="BO1093" s="304" t="str">
        <f t="shared" si="726"/>
        <v/>
      </c>
      <c r="BP1093" s="304" t="str">
        <f t="shared" si="726"/>
        <v/>
      </c>
      <c r="BQ1093" s="28"/>
      <c r="BR1093" s="304" t="str">
        <f t="shared" si="727"/>
        <v/>
      </c>
      <c r="BS1093" s="304" t="str">
        <f t="shared" si="727"/>
        <v/>
      </c>
      <c r="BT1093" s="28"/>
      <c r="BU1093" s="304" t="str">
        <f t="shared" si="728"/>
        <v/>
      </c>
      <c r="BV1093" s="304" t="str">
        <f t="shared" si="728"/>
        <v/>
      </c>
      <c r="BW1093" s="28"/>
      <c r="BX1093" s="91"/>
    </row>
    <row r="1094" spans="1:76" s="55" customFormat="1" x14ac:dyDescent="0.25">
      <c r="A1094" s="359">
        <v>31</v>
      </c>
      <c r="B1094" s="216" t="str">
        <f t="shared" si="704"/>
        <v>Asia (Sans Japan): FAO. 2017. Global Livestock Environmental Assessment Model (GLEAM)</v>
      </c>
      <c r="C1094" s="219" t="s">
        <v>227</v>
      </c>
      <c r="D1094" s="219" t="s">
        <v>385</v>
      </c>
      <c r="E1094" s="219" t="s">
        <v>98</v>
      </c>
      <c r="F1094" s="219" t="s">
        <v>386</v>
      </c>
      <c r="G1094" s="220" t="s">
        <v>26</v>
      </c>
      <c r="H1094" s="221">
        <v>2010</v>
      </c>
      <c r="I1094" s="220"/>
      <c r="J1094" s="227">
        <v>21747642483.84185</v>
      </c>
      <c r="K1094" s="226" t="s">
        <v>688</v>
      </c>
      <c r="L1094" s="334">
        <f>J1094/[1]GHGsources!$D$22*0.001</f>
        <v>3.1397443122957377E-2</v>
      </c>
      <c r="M1094" s="225" t="str">
        <f>CONCATENATE("t CO2-eq/ ",IF('[1]Advanced Controls'!$F$169="Implementation",AdoptionUnitOfMeasure,FunctionalUnitOfMeasure))</f>
        <v>t CO2-eq/ kg of protein</v>
      </c>
      <c r="N1094" s="227"/>
      <c r="O1094" s="227" t="s">
        <v>391</v>
      </c>
      <c r="P1094" s="122"/>
      <c r="Q1094" s="228"/>
      <c r="R1094" s="231">
        <f t="shared" si="719"/>
        <v>3.1397443122957377E-2</v>
      </c>
      <c r="S1094" s="230">
        <f t="shared" si="705"/>
        <v>3.1397443122957377E-2</v>
      </c>
      <c r="T1094" s="231">
        <f t="shared" si="729"/>
        <v>0</v>
      </c>
      <c r="U1094" s="232" t="str">
        <f t="shared" si="707"/>
        <v>t CO2-eq/ kg of protein</v>
      </c>
      <c r="V1094" s="28"/>
      <c r="W1094" s="28"/>
      <c r="Y1094" s="91"/>
      <c r="AO1094" s="91"/>
      <c r="AP1094" s="28"/>
      <c r="AQ1094" s="28"/>
      <c r="AR1094" s="233" t="str">
        <f t="shared" si="717"/>
        <v>t CO2-eq/ kg of protein</v>
      </c>
      <c r="AS1094" s="28"/>
      <c r="AT1094" s="304" t="str">
        <f t="shared" si="718"/>
        <v/>
      </c>
      <c r="AU1094" s="304" t="str">
        <f t="shared" si="718"/>
        <v/>
      </c>
      <c r="AV1094" s="28"/>
      <c r="AW1094" s="304" t="str">
        <f t="shared" si="720"/>
        <v/>
      </c>
      <c r="AX1094" s="304" t="str">
        <f t="shared" si="720"/>
        <v/>
      </c>
      <c r="AY1094" s="28"/>
      <c r="AZ1094" s="304" t="str">
        <f t="shared" si="721"/>
        <v/>
      </c>
      <c r="BA1094" s="304" t="str">
        <f t="shared" si="721"/>
        <v/>
      </c>
      <c r="BB1094" s="28"/>
      <c r="BC1094" s="304">
        <f t="shared" si="722"/>
        <v>3.1397443122957377E-2</v>
      </c>
      <c r="BD1094" s="304">
        <f t="shared" si="722"/>
        <v>3.1397443122957377E-2</v>
      </c>
      <c r="BE1094" s="28"/>
      <c r="BF1094" s="304" t="str">
        <f t="shared" si="723"/>
        <v/>
      </c>
      <c r="BG1094" s="304" t="str">
        <f t="shared" si="723"/>
        <v/>
      </c>
      <c r="BH1094" s="28"/>
      <c r="BI1094" s="304" t="str">
        <f t="shared" si="724"/>
        <v/>
      </c>
      <c r="BJ1094" s="304" t="str">
        <f t="shared" si="724"/>
        <v/>
      </c>
      <c r="BK1094" s="28"/>
      <c r="BL1094" s="304" t="str">
        <f t="shared" si="725"/>
        <v/>
      </c>
      <c r="BM1094" s="304" t="str">
        <f t="shared" si="725"/>
        <v/>
      </c>
      <c r="BN1094" s="28"/>
      <c r="BO1094" s="304" t="str">
        <f t="shared" si="726"/>
        <v/>
      </c>
      <c r="BP1094" s="304" t="str">
        <f t="shared" si="726"/>
        <v/>
      </c>
      <c r="BQ1094" s="28"/>
      <c r="BR1094" s="304" t="str">
        <f t="shared" si="727"/>
        <v/>
      </c>
      <c r="BS1094" s="304" t="str">
        <f t="shared" si="727"/>
        <v/>
      </c>
      <c r="BT1094" s="28"/>
      <c r="BU1094" s="304" t="str">
        <f t="shared" si="728"/>
        <v/>
      </c>
      <c r="BV1094" s="304" t="str">
        <f t="shared" si="728"/>
        <v/>
      </c>
      <c r="BW1094" s="28"/>
      <c r="BX1094" s="91"/>
    </row>
    <row r="1095" spans="1:76" s="55" customFormat="1" x14ac:dyDescent="0.25">
      <c r="A1095" s="359">
        <v>32</v>
      </c>
      <c r="B1095" s="216" t="str">
        <f t="shared" si="704"/>
        <v>Middle East and Africa: FAO. 2017. Global Livestock Environmental Assessment Model (GLEAM)</v>
      </c>
      <c r="C1095" s="219" t="s">
        <v>227</v>
      </c>
      <c r="D1095" s="219" t="s">
        <v>387</v>
      </c>
      <c r="E1095" s="219" t="s">
        <v>99</v>
      </c>
      <c r="F1095" s="219" t="s">
        <v>388</v>
      </c>
      <c r="G1095" s="220" t="s">
        <v>26</v>
      </c>
      <c r="H1095" s="221">
        <v>2010</v>
      </c>
      <c r="I1095" s="220"/>
      <c r="J1095" s="227">
        <v>2329763988.8761802</v>
      </c>
      <c r="K1095" s="226" t="s">
        <v>688</v>
      </c>
      <c r="L1095" s="334">
        <f>J1095/[1]GHGsources!$D$23*0.001</f>
        <v>4.4168801458578134E-3</v>
      </c>
      <c r="M1095" s="225" t="str">
        <f>CONCATENATE("t CO2-eq/ ",IF('[1]Advanced Controls'!$F$169="Implementation",AdoptionUnitOfMeasure,FunctionalUnitOfMeasure))</f>
        <v>t CO2-eq/ kg of protein</v>
      </c>
      <c r="N1095" s="227"/>
      <c r="O1095" s="227" t="s">
        <v>391</v>
      </c>
      <c r="P1095" s="122"/>
      <c r="Q1095" s="228"/>
      <c r="R1095" s="231">
        <f t="shared" si="719"/>
        <v>4.4168801458578134E-3</v>
      </c>
      <c r="S1095" s="230">
        <f t="shared" si="705"/>
        <v>4.4168801458578134E-3</v>
      </c>
      <c r="T1095" s="231">
        <f t="shared" si="729"/>
        <v>0</v>
      </c>
      <c r="U1095" s="232" t="str">
        <f t="shared" si="707"/>
        <v>t CO2-eq/ kg of protein</v>
      </c>
      <c r="V1095" s="28"/>
      <c r="W1095" s="28"/>
      <c r="Y1095" s="91"/>
      <c r="AO1095" s="91"/>
      <c r="AP1095" s="28"/>
      <c r="AQ1095" s="28"/>
      <c r="AR1095" s="233" t="str">
        <f t="shared" si="717"/>
        <v>t CO2-eq/ kg of protein</v>
      </c>
      <c r="AS1095" s="28"/>
      <c r="AT1095" s="304" t="str">
        <f t="shared" si="718"/>
        <v/>
      </c>
      <c r="AU1095" s="304" t="str">
        <f t="shared" si="718"/>
        <v/>
      </c>
      <c r="AV1095" s="28"/>
      <c r="AW1095" s="304" t="str">
        <f t="shared" si="720"/>
        <v/>
      </c>
      <c r="AX1095" s="304" t="str">
        <f t="shared" si="720"/>
        <v/>
      </c>
      <c r="AY1095" s="28"/>
      <c r="AZ1095" s="304" t="str">
        <f t="shared" si="721"/>
        <v/>
      </c>
      <c r="BA1095" s="304" t="str">
        <f t="shared" si="721"/>
        <v/>
      </c>
      <c r="BB1095" s="28"/>
      <c r="BC1095" s="304" t="str">
        <f t="shared" si="722"/>
        <v/>
      </c>
      <c r="BD1095" s="304" t="str">
        <f t="shared" si="722"/>
        <v/>
      </c>
      <c r="BE1095" s="28"/>
      <c r="BF1095" s="304">
        <f t="shared" si="723"/>
        <v>4.4168801458578134E-3</v>
      </c>
      <c r="BG1095" s="304">
        <f t="shared" si="723"/>
        <v>4.4168801458578134E-3</v>
      </c>
      <c r="BH1095" s="28"/>
      <c r="BI1095" s="304" t="str">
        <f t="shared" si="724"/>
        <v/>
      </c>
      <c r="BJ1095" s="304" t="str">
        <f t="shared" si="724"/>
        <v/>
      </c>
      <c r="BK1095" s="28"/>
      <c r="BL1095" s="304" t="str">
        <f t="shared" si="725"/>
        <v/>
      </c>
      <c r="BM1095" s="304" t="str">
        <f t="shared" si="725"/>
        <v/>
      </c>
      <c r="BN1095" s="28"/>
      <c r="BO1095" s="304" t="str">
        <f t="shared" si="726"/>
        <v/>
      </c>
      <c r="BP1095" s="304" t="str">
        <f t="shared" si="726"/>
        <v/>
      </c>
      <c r="BQ1095" s="28"/>
      <c r="BR1095" s="304" t="str">
        <f t="shared" si="727"/>
        <v/>
      </c>
      <c r="BS1095" s="304" t="str">
        <f t="shared" si="727"/>
        <v/>
      </c>
      <c r="BT1095" s="28"/>
      <c r="BU1095" s="304" t="str">
        <f t="shared" si="728"/>
        <v/>
      </c>
      <c r="BV1095" s="304" t="str">
        <f t="shared" si="728"/>
        <v/>
      </c>
      <c r="BW1095" s="28"/>
      <c r="BX1095" s="91"/>
    </row>
    <row r="1096" spans="1:76" s="55" customFormat="1" x14ac:dyDescent="0.25">
      <c r="A1096" s="359">
        <v>33</v>
      </c>
      <c r="B1096" s="216" t="str">
        <f t="shared" si="704"/>
        <v>OECD90: FAO. 2017. Global Livestock Environmental Assessment Model (GLEAM)</v>
      </c>
      <c r="C1096" s="219" t="s">
        <v>227</v>
      </c>
      <c r="D1096" s="219" t="s">
        <v>389</v>
      </c>
      <c r="E1096" s="219" t="s">
        <v>96</v>
      </c>
      <c r="F1096" s="219" t="s">
        <v>176</v>
      </c>
      <c r="G1096" s="220" t="s">
        <v>26</v>
      </c>
      <c r="H1096" s="221">
        <v>2010</v>
      </c>
      <c r="I1096" s="220"/>
      <c r="J1096" s="227">
        <v>25814399188.25679</v>
      </c>
      <c r="K1096" s="226" t="s">
        <v>688</v>
      </c>
      <c r="L1096" s="334">
        <f>J1096/[1]GHGsources!$D$24*0.001</f>
        <v>1.4274579554953945E-2</v>
      </c>
      <c r="M1096" s="225" t="str">
        <f>CONCATENATE("t CO2-eq/ ",IF('[1]Advanced Controls'!$F$169="Implementation",AdoptionUnitOfMeasure,FunctionalUnitOfMeasure))</f>
        <v>t CO2-eq/ kg of protein</v>
      </c>
      <c r="N1096" s="227"/>
      <c r="O1096" s="227" t="s">
        <v>391</v>
      </c>
      <c r="P1096" s="122"/>
      <c r="Q1096" s="228"/>
      <c r="R1096" s="231">
        <f t="shared" si="719"/>
        <v>1.4274579554953945E-2</v>
      </c>
      <c r="S1096" s="230">
        <f t="shared" si="705"/>
        <v>1.4274579554953945E-2</v>
      </c>
      <c r="T1096" s="231">
        <f t="shared" si="729"/>
        <v>0</v>
      </c>
      <c r="U1096" s="232" t="str">
        <f t="shared" si="707"/>
        <v>t CO2-eq/ kg of protein</v>
      </c>
      <c r="V1096" s="28"/>
      <c r="W1096" s="28"/>
      <c r="Y1096" s="91"/>
      <c r="AO1096" s="91"/>
      <c r="AP1096" s="28"/>
      <c r="AQ1096" s="28"/>
      <c r="AR1096" s="233" t="str">
        <f t="shared" si="717"/>
        <v>t CO2-eq/ kg of protein</v>
      </c>
      <c r="AS1096" s="28"/>
      <c r="AT1096" s="304" t="str">
        <f t="shared" si="718"/>
        <v/>
      </c>
      <c r="AU1096" s="304" t="str">
        <f t="shared" si="718"/>
        <v/>
      </c>
      <c r="AV1096" s="28"/>
      <c r="AW1096" s="304">
        <f t="shared" si="720"/>
        <v>1.4274579554953945E-2</v>
      </c>
      <c r="AX1096" s="304">
        <f t="shared" si="720"/>
        <v>1.4274579554953945E-2</v>
      </c>
      <c r="AY1096" s="28"/>
      <c r="AZ1096" s="304" t="str">
        <f t="shared" si="721"/>
        <v/>
      </c>
      <c r="BA1096" s="304" t="str">
        <f t="shared" si="721"/>
        <v/>
      </c>
      <c r="BB1096" s="28"/>
      <c r="BC1096" s="304" t="str">
        <f t="shared" si="722"/>
        <v/>
      </c>
      <c r="BD1096" s="304" t="str">
        <f t="shared" si="722"/>
        <v/>
      </c>
      <c r="BE1096" s="28"/>
      <c r="BF1096" s="304" t="str">
        <f t="shared" si="723"/>
        <v/>
      </c>
      <c r="BG1096" s="304" t="str">
        <f t="shared" si="723"/>
        <v/>
      </c>
      <c r="BH1096" s="28"/>
      <c r="BI1096" s="304" t="str">
        <f t="shared" si="724"/>
        <v/>
      </c>
      <c r="BJ1096" s="304" t="str">
        <f t="shared" si="724"/>
        <v/>
      </c>
      <c r="BK1096" s="28"/>
      <c r="BL1096" s="304" t="str">
        <f t="shared" si="725"/>
        <v/>
      </c>
      <c r="BM1096" s="304" t="str">
        <f t="shared" si="725"/>
        <v/>
      </c>
      <c r="BN1096" s="28"/>
      <c r="BO1096" s="304" t="str">
        <f t="shared" si="726"/>
        <v/>
      </c>
      <c r="BP1096" s="304" t="str">
        <f t="shared" si="726"/>
        <v/>
      </c>
      <c r="BQ1096" s="28"/>
      <c r="BR1096" s="304" t="str">
        <f t="shared" si="727"/>
        <v/>
      </c>
      <c r="BS1096" s="304" t="str">
        <f t="shared" si="727"/>
        <v/>
      </c>
      <c r="BT1096" s="28"/>
      <c r="BU1096" s="304" t="str">
        <f t="shared" si="728"/>
        <v/>
      </c>
      <c r="BV1096" s="304" t="str">
        <f t="shared" si="728"/>
        <v/>
      </c>
      <c r="BW1096" s="28"/>
      <c r="BX1096" s="91"/>
    </row>
    <row r="1097" spans="1:76" s="55" customFormat="1" x14ac:dyDescent="0.25">
      <c r="A1097" s="359">
        <v>34</v>
      </c>
      <c r="B1097" s="216" t="str">
        <f t="shared" si="704"/>
        <v>World: FAO. 2017. Global Livestock Environmental Assessment Model (GLEAM)</v>
      </c>
      <c r="C1097" s="219" t="s">
        <v>227</v>
      </c>
      <c r="D1097" s="219" t="s">
        <v>392</v>
      </c>
      <c r="E1097" s="219" t="s">
        <v>95</v>
      </c>
      <c r="F1097" s="219" t="s">
        <v>371</v>
      </c>
      <c r="G1097" s="220" t="s">
        <v>26</v>
      </c>
      <c r="H1097" s="221">
        <v>2010</v>
      </c>
      <c r="I1097" s="220"/>
      <c r="J1097" s="227">
        <v>352970480430.71985</v>
      </c>
      <c r="K1097" s="226" t="s">
        <v>688</v>
      </c>
      <c r="L1097" s="334">
        <f>J1097/[1]GHGsources!$E$14*0.001</f>
        <v>2.03956493088088E-2</v>
      </c>
      <c r="M1097" s="225" t="str">
        <f>CONCATENATE("t CO2-eq/ ",IF('[1]Advanced Controls'!$F$169="Implementation",AdoptionUnitOfMeasure,FunctionalUnitOfMeasure))</f>
        <v>t CO2-eq/ kg of protein</v>
      </c>
      <c r="N1097" s="227"/>
      <c r="O1097" s="227" t="s">
        <v>393</v>
      </c>
      <c r="P1097" s="122"/>
      <c r="Q1097" s="228"/>
      <c r="R1097" s="231">
        <f t="shared" si="719"/>
        <v>2.03956493088088E-2</v>
      </c>
      <c r="S1097" s="230">
        <f t="shared" si="705"/>
        <v>2.03956493088088E-2</v>
      </c>
      <c r="T1097" s="231">
        <f t="shared" si="729"/>
        <v>0</v>
      </c>
      <c r="U1097" s="232" t="str">
        <f t="shared" si="707"/>
        <v>t CO2-eq/ kg of protein</v>
      </c>
      <c r="V1097" s="28"/>
      <c r="W1097" s="28"/>
      <c r="Y1097" s="91"/>
      <c r="AO1097" s="91"/>
      <c r="AP1097" s="28"/>
      <c r="AQ1097" s="28"/>
      <c r="AR1097" s="233" t="str">
        <f t="shared" si="717"/>
        <v>t CO2-eq/ kg of protein</v>
      </c>
      <c r="AS1097" s="28"/>
      <c r="AT1097" s="304">
        <f t="shared" si="718"/>
        <v>2.03956493088088E-2</v>
      </c>
      <c r="AU1097" s="304">
        <f t="shared" si="718"/>
        <v>2.03956493088088E-2</v>
      </c>
      <c r="AV1097" s="28"/>
      <c r="AW1097" s="304" t="str">
        <f t="shared" si="720"/>
        <v/>
      </c>
      <c r="AX1097" s="304" t="str">
        <f t="shared" si="720"/>
        <v/>
      </c>
      <c r="AY1097" s="28"/>
      <c r="AZ1097" s="304" t="str">
        <f t="shared" si="721"/>
        <v/>
      </c>
      <c r="BA1097" s="304" t="str">
        <f t="shared" si="721"/>
        <v/>
      </c>
      <c r="BB1097" s="28"/>
      <c r="BC1097" s="304" t="str">
        <f t="shared" si="722"/>
        <v/>
      </c>
      <c r="BD1097" s="304" t="str">
        <f t="shared" si="722"/>
        <v/>
      </c>
      <c r="BE1097" s="28"/>
      <c r="BF1097" s="304" t="str">
        <f t="shared" si="723"/>
        <v/>
      </c>
      <c r="BG1097" s="304" t="str">
        <f t="shared" si="723"/>
        <v/>
      </c>
      <c r="BH1097" s="28"/>
      <c r="BI1097" s="304" t="str">
        <f t="shared" si="724"/>
        <v/>
      </c>
      <c r="BJ1097" s="304" t="str">
        <f t="shared" si="724"/>
        <v/>
      </c>
      <c r="BK1097" s="28"/>
      <c r="BL1097" s="304" t="str">
        <f t="shared" si="725"/>
        <v/>
      </c>
      <c r="BM1097" s="304" t="str">
        <f t="shared" si="725"/>
        <v/>
      </c>
      <c r="BN1097" s="28"/>
      <c r="BO1097" s="304" t="str">
        <f t="shared" si="726"/>
        <v/>
      </c>
      <c r="BP1097" s="304" t="str">
        <f t="shared" si="726"/>
        <v/>
      </c>
      <c r="BQ1097" s="28"/>
      <c r="BR1097" s="304" t="str">
        <f t="shared" si="727"/>
        <v/>
      </c>
      <c r="BS1097" s="304" t="str">
        <f t="shared" si="727"/>
        <v/>
      </c>
      <c r="BT1097" s="28"/>
      <c r="BU1097" s="304" t="str">
        <f t="shared" si="728"/>
        <v/>
      </c>
      <c r="BV1097" s="304" t="str">
        <f t="shared" si="728"/>
        <v/>
      </c>
      <c r="BW1097" s="28"/>
      <c r="BX1097" s="91"/>
    </row>
    <row r="1098" spans="1:76" s="55" customFormat="1" x14ac:dyDescent="0.25">
      <c r="A1098" s="359">
        <v>35</v>
      </c>
      <c r="B1098" s="216" t="str">
        <f t="shared" si="704"/>
        <v>Asia (Sans Japan): FAO. 2017. Global Livestock Environmental Assessment Model (GLEAM)</v>
      </c>
      <c r="C1098" s="219" t="s">
        <v>227</v>
      </c>
      <c r="D1098" s="219" t="s">
        <v>394</v>
      </c>
      <c r="E1098" s="219" t="s">
        <v>98</v>
      </c>
      <c r="F1098" s="219" t="s">
        <v>375</v>
      </c>
      <c r="G1098" s="220" t="s">
        <v>26</v>
      </c>
      <c r="H1098" s="221">
        <v>2010</v>
      </c>
      <c r="I1098" s="220"/>
      <c r="J1098" s="227">
        <v>55835134780.995491</v>
      </c>
      <c r="K1098" s="226" t="s">
        <v>688</v>
      </c>
      <c r="L1098" s="334">
        <f>J1098/[1]GHGsources!$E$15*0.001</f>
        <v>3.3077644133233865E-2</v>
      </c>
      <c r="M1098" s="225" t="str">
        <f>CONCATENATE("t CO2-eq/ ",IF('[1]Advanced Controls'!$F$169="Implementation",AdoptionUnitOfMeasure,FunctionalUnitOfMeasure))</f>
        <v>t CO2-eq/ kg of protein</v>
      </c>
      <c r="N1098" s="227"/>
      <c r="O1098" s="227" t="s">
        <v>393</v>
      </c>
      <c r="P1098" s="122"/>
      <c r="Q1098" s="228"/>
      <c r="R1098" s="231">
        <f t="shared" si="719"/>
        <v>3.3077644133233865E-2</v>
      </c>
      <c r="S1098" s="230">
        <f t="shared" si="705"/>
        <v>3.3077644133233865E-2</v>
      </c>
      <c r="T1098" s="231">
        <f t="shared" si="729"/>
        <v>0</v>
      </c>
      <c r="U1098" s="232" t="str">
        <f t="shared" si="707"/>
        <v>t CO2-eq/ kg of protein</v>
      </c>
      <c r="V1098" s="28"/>
      <c r="W1098" s="28"/>
      <c r="Y1098" s="91"/>
      <c r="AO1098" s="91"/>
      <c r="AP1098" s="28"/>
      <c r="AQ1098" s="28"/>
      <c r="AR1098" s="233" t="str">
        <f t="shared" si="717"/>
        <v>t CO2-eq/ kg of protein</v>
      </c>
      <c r="AS1098" s="28"/>
      <c r="AT1098" s="304" t="str">
        <f t="shared" si="718"/>
        <v/>
      </c>
      <c r="AU1098" s="304" t="str">
        <f t="shared" si="718"/>
        <v/>
      </c>
      <c r="AV1098" s="28"/>
      <c r="AW1098" s="304" t="str">
        <f t="shared" si="720"/>
        <v/>
      </c>
      <c r="AX1098" s="304" t="str">
        <f t="shared" si="720"/>
        <v/>
      </c>
      <c r="AY1098" s="28"/>
      <c r="AZ1098" s="304" t="str">
        <f t="shared" si="721"/>
        <v/>
      </c>
      <c r="BA1098" s="304" t="str">
        <f t="shared" si="721"/>
        <v/>
      </c>
      <c r="BB1098" s="28"/>
      <c r="BC1098" s="304">
        <f t="shared" si="722"/>
        <v>3.3077644133233865E-2</v>
      </c>
      <c r="BD1098" s="304">
        <f t="shared" si="722"/>
        <v>3.3077644133233865E-2</v>
      </c>
      <c r="BE1098" s="28"/>
      <c r="BF1098" s="304" t="str">
        <f t="shared" si="723"/>
        <v/>
      </c>
      <c r="BG1098" s="304" t="str">
        <f t="shared" si="723"/>
        <v/>
      </c>
      <c r="BH1098" s="28"/>
      <c r="BI1098" s="304" t="str">
        <f t="shared" si="724"/>
        <v/>
      </c>
      <c r="BJ1098" s="304" t="str">
        <f t="shared" si="724"/>
        <v/>
      </c>
      <c r="BK1098" s="28"/>
      <c r="BL1098" s="304" t="str">
        <f t="shared" si="725"/>
        <v/>
      </c>
      <c r="BM1098" s="304" t="str">
        <f t="shared" si="725"/>
        <v/>
      </c>
      <c r="BN1098" s="28"/>
      <c r="BO1098" s="304" t="str">
        <f t="shared" si="726"/>
        <v/>
      </c>
      <c r="BP1098" s="304" t="str">
        <f t="shared" si="726"/>
        <v/>
      </c>
      <c r="BQ1098" s="28"/>
      <c r="BR1098" s="304" t="str">
        <f t="shared" si="727"/>
        <v/>
      </c>
      <c r="BS1098" s="304" t="str">
        <f t="shared" si="727"/>
        <v/>
      </c>
      <c r="BT1098" s="28"/>
      <c r="BU1098" s="304" t="str">
        <f t="shared" si="728"/>
        <v/>
      </c>
      <c r="BV1098" s="304" t="str">
        <f t="shared" si="728"/>
        <v/>
      </c>
      <c r="BW1098" s="28"/>
      <c r="BX1098" s="91"/>
    </row>
    <row r="1099" spans="1:76" s="55" customFormat="1" x14ac:dyDescent="0.25">
      <c r="A1099" s="359">
        <v>36</v>
      </c>
      <c r="B1099" s="216" t="str">
        <f t="shared" si="704"/>
        <v>Eastern Europe: FAO. 2017. Global Livestock Environmental Assessment Model (GLEAM)</v>
      </c>
      <c r="C1099" s="219" t="s">
        <v>227</v>
      </c>
      <c r="D1099" s="219" t="s">
        <v>395</v>
      </c>
      <c r="E1099" s="219" t="s">
        <v>97</v>
      </c>
      <c r="F1099" s="219" t="s">
        <v>97</v>
      </c>
      <c r="G1099" s="220" t="s">
        <v>26</v>
      </c>
      <c r="H1099" s="221">
        <v>2010</v>
      </c>
      <c r="I1099" s="220"/>
      <c r="J1099" s="227">
        <v>14481259180.285275</v>
      </c>
      <c r="K1099" s="226" t="s">
        <v>688</v>
      </c>
      <c r="L1099" s="334">
        <f>J1099/[1]GHGsources!$E$16*0.001</f>
        <v>1.3876318700542845E-2</v>
      </c>
      <c r="M1099" s="225" t="str">
        <f>CONCATENATE("t CO2-eq/ ",IF('[1]Advanced Controls'!$F$169="Implementation",AdoptionUnitOfMeasure,FunctionalUnitOfMeasure))</f>
        <v>t CO2-eq/ kg of protein</v>
      </c>
      <c r="N1099" s="227"/>
      <c r="O1099" s="227" t="s">
        <v>393</v>
      </c>
      <c r="P1099" s="122"/>
      <c r="Q1099" s="228"/>
      <c r="R1099" s="231">
        <f t="shared" si="719"/>
        <v>1.3876318700542845E-2</v>
      </c>
      <c r="S1099" s="230">
        <f t="shared" si="705"/>
        <v>1.3876318700542845E-2</v>
      </c>
      <c r="T1099" s="231">
        <f t="shared" si="729"/>
        <v>0</v>
      </c>
      <c r="U1099" s="232" t="str">
        <f t="shared" si="707"/>
        <v>t CO2-eq/ kg of protein</v>
      </c>
      <c r="V1099" s="28"/>
      <c r="W1099" s="28"/>
      <c r="Y1099" s="91"/>
      <c r="AO1099" s="91"/>
      <c r="AP1099" s="28"/>
      <c r="AQ1099" s="28"/>
      <c r="AR1099" s="233" t="str">
        <f t="shared" si="717"/>
        <v>t CO2-eq/ kg of protein</v>
      </c>
      <c r="AS1099" s="28"/>
      <c r="AT1099" s="304" t="str">
        <f t="shared" si="718"/>
        <v/>
      </c>
      <c r="AU1099" s="304" t="str">
        <f t="shared" si="718"/>
        <v/>
      </c>
      <c r="AV1099" s="28"/>
      <c r="AW1099" s="304" t="str">
        <f t="shared" si="720"/>
        <v/>
      </c>
      <c r="AX1099" s="304" t="str">
        <f t="shared" si="720"/>
        <v/>
      </c>
      <c r="AY1099" s="28"/>
      <c r="AZ1099" s="304">
        <f t="shared" si="721"/>
        <v>1.3876318700542845E-2</v>
      </c>
      <c r="BA1099" s="304">
        <f t="shared" si="721"/>
        <v>1.3876318700542845E-2</v>
      </c>
      <c r="BB1099" s="28"/>
      <c r="BC1099" s="304" t="str">
        <f t="shared" si="722"/>
        <v/>
      </c>
      <c r="BD1099" s="304" t="str">
        <f t="shared" si="722"/>
        <v/>
      </c>
      <c r="BE1099" s="28"/>
      <c r="BF1099" s="304" t="str">
        <f t="shared" si="723"/>
        <v/>
      </c>
      <c r="BG1099" s="304" t="str">
        <f t="shared" si="723"/>
        <v/>
      </c>
      <c r="BH1099" s="28"/>
      <c r="BI1099" s="304" t="str">
        <f t="shared" si="724"/>
        <v/>
      </c>
      <c r="BJ1099" s="304" t="str">
        <f t="shared" si="724"/>
        <v/>
      </c>
      <c r="BK1099" s="28"/>
      <c r="BL1099" s="304" t="str">
        <f t="shared" si="725"/>
        <v/>
      </c>
      <c r="BM1099" s="304" t="str">
        <f t="shared" si="725"/>
        <v/>
      </c>
      <c r="BN1099" s="28"/>
      <c r="BO1099" s="304" t="str">
        <f t="shared" si="726"/>
        <v/>
      </c>
      <c r="BP1099" s="304" t="str">
        <f t="shared" si="726"/>
        <v/>
      </c>
      <c r="BQ1099" s="28"/>
      <c r="BR1099" s="304" t="str">
        <f t="shared" si="727"/>
        <v/>
      </c>
      <c r="BS1099" s="304" t="str">
        <f t="shared" si="727"/>
        <v/>
      </c>
      <c r="BT1099" s="28"/>
      <c r="BU1099" s="304" t="str">
        <f t="shared" si="728"/>
        <v/>
      </c>
      <c r="BV1099" s="304" t="str">
        <f t="shared" si="728"/>
        <v/>
      </c>
      <c r="BW1099" s="28"/>
      <c r="BX1099" s="91"/>
    </row>
    <row r="1100" spans="1:76" s="55" customFormat="1" x14ac:dyDescent="0.25">
      <c r="A1100" s="359">
        <v>37</v>
      </c>
      <c r="B1100" s="216" t="str">
        <f t="shared" si="704"/>
        <v>Latin America: FAO. 2017. Global Livestock Environmental Assessment Model (GLEAM)</v>
      </c>
      <c r="C1100" s="219" t="s">
        <v>227</v>
      </c>
      <c r="D1100" s="219" t="s">
        <v>396</v>
      </c>
      <c r="E1100" s="219" t="s">
        <v>100</v>
      </c>
      <c r="F1100" s="219" t="s">
        <v>378</v>
      </c>
      <c r="G1100" s="220" t="s">
        <v>26</v>
      </c>
      <c r="H1100" s="221">
        <v>2010</v>
      </c>
      <c r="I1100" s="220"/>
      <c r="J1100" s="227">
        <v>72945990555.181488</v>
      </c>
      <c r="K1100" s="226" t="s">
        <v>688</v>
      </c>
      <c r="L1100" s="334">
        <f>J1100/[1]GHGsources!$E$17*0.001</f>
        <v>2.1470071571137572E-2</v>
      </c>
      <c r="M1100" s="225" t="str">
        <f>CONCATENATE("t CO2-eq/ ",IF('[1]Advanced Controls'!$F$169="Implementation",AdoptionUnitOfMeasure,FunctionalUnitOfMeasure))</f>
        <v>t CO2-eq/ kg of protein</v>
      </c>
      <c r="N1100" s="227"/>
      <c r="O1100" s="227" t="s">
        <v>393</v>
      </c>
      <c r="P1100" s="122"/>
      <c r="Q1100" s="228"/>
      <c r="R1100" s="231">
        <f t="shared" si="719"/>
        <v>2.1470071571137572E-2</v>
      </c>
      <c r="S1100" s="230">
        <f t="shared" si="705"/>
        <v>2.1470071571137572E-2</v>
      </c>
      <c r="T1100" s="231">
        <f t="shared" si="729"/>
        <v>0</v>
      </c>
      <c r="U1100" s="232" t="str">
        <f t="shared" si="707"/>
        <v>t CO2-eq/ kg of protein</v>
      </c>
      <c r="V1100" s="28"/>
      <c r="W1100" s="28"/>
      <c r="Y1100" s="91"/>
      <c r="AO1100" s="91"/>
      <c r="AP1100" s="28"/>
      <c r="AQ1100" s="28"/>
      <c r="AR1100" s="233" t="str">
        <f t="shared" si="717"/>
        <v>t CO2-eq/ kg of protein</v>
      </c>
      <c r="AS1100" s="28"/>
      <c r="AT1100" s="304" t="str">
        <f t="shared" si="718"/>
        <v/>
      </c>
      <c r="AU1100" s="304" t="str">
        <f t="shared" si="718"/>
        <v/>
      </c>
      <c r="AV1100" s="28"/>
      <c r="AW1100" s="304" t="str">
        <f t="shared" si="720"/>
        <v/>
      </c>
      <c r="AX1100" s="304" t="str">
        <f t="shared" si="720"/>
        <v/>
      </c>
      <c r="AY1100" s="28"/>
      <c r="AZ1100" s="304" t="str">
        <f t="shared" si="721"/>
        <v/>
      </c>
      <c r="BA1100" s="304" t="str">
        <f t="shared" si="721"/>
        <v/>
      </c>
      <c r="BB1100" s="28"/>
      <c r="BC1100" s="304" t="str">
        <f t="shared" si="722"/>
        <v/>
      </c>
      <c r="BD1100" s="304" t="str">
        <f t="shared" si="722"/>
        <v/>
      </c>
      <c r="BE1100" s="28"/>
      <c r="BF1100" s="304" t="str">
        <f t="shared" si="723"/>
        <v/>
      </c>
      <c r="BG1100" s="304" t="str">
        <f t="shared" si="723"/>
        <v/>
      </c>
      <c r="BH1100" s="28"/>
      <c r="BI1100" s="304">
        <f t="shared" si="724"/>
        <v>2.1470071571137572E-2</v>
      </c>
      <c r="BJ1100" s="304">
        <f t="shared" si="724"/>
        <v>2.1470071571137572E-2</v>
      </c>
      <c r="BK1100" s="28"/>
      <c r="BL1100" s="304" t="str">
        <f t="shared" si="725"/>
        <v/>
      </c>
      <c r="BM1100" s="304" t="str">
        <f t="shared" si="725"/>
        <v/>
      </c>
      <c r="BN1100" s="28"/>
      <c r="BO1100" s="304" t="str">
        <f t="shared" si="726"/>
        <v/>
      </c>
      <c r="BP1100" s="304" t="str">
        <f t="shared" si="726"/>
        <v/>
      </c>
      <c r="BQ1100" s="28"/>
      <c r="BR1100" s="304" t="str">
        <f t="shared" si="727"/>
        <v/>
      </c>
      <c r="BS1100" s="304" t="str">
        <f t="shared" si="727"/>
        <v/>
      </c>
      <c r="BT1100" s="28"/>
      <c r="BU1100" s="304" t="str">
        <f t="shared" si="728"/>
        <v/>
      </c>
      <c r="BV1100" s="304" t="str">
        <f t="shared" si="728"/>
        <v/>
      </c>
      <c r="BW1100" s="28"/>
      <c r="BX1100" s="91"/>
    </row>
    <row r="1101" spans="1:76" s="55" customFormat="1" x14ac:dyDescent="0.25">
      <c r="A1101" s="359">
        <v>38</v>
      </c>
      <c r="B1101" s="216" t="str">
        <f t="shared" si="704"/>
        <v>Middle East and Africa: FAO. 2017. Global Livestock Environmental Assessment Model (GLEAM)</v>
      </c>
      <c r="C1101" s="219" t="s">
        <v>227</v>
      </c>
      <c r="D1101" s="219" t="s">
        <v>397</v>
      </c>
      <c r="E1101" s="219" t="s">
        <v>99</v>
      </c>
      <c r="F1101" s="219" t="s">
        <v>380</v>
      </c>
      <c r="G1101" s="220" t="s">
        <v>26</v>
      </c>
      <c r="H1101" s="221">
        <v>2010</v>
      </c>
      <c r="I1101" s="220"/>
      <c r="J1101" s="227">
        <v>12461377483.565073</v>
      </c>
      <c r="K1101" s="226" t="s">
        <v>688</v>
      </c>
      <c r="L1101" s="334">
        <f>J1101/[1]GHGsources!$E$18*0.001</f>
        <v>1.0981795419037189E-2</v>
      </c>
      <c r="M1101" s="225" t="str">
        <f>CONCATENATE("t CO2-eq/ ",IF('[1]Advanced Controls'!$F$169="Implementation",AdoptionUnitOfMeasure,FunctionalUnitOfMeasure))</f>
        <v>t CO2-eq/ kg of protein</v>
      </c>
      <c r="N1101" s="227"/>
      <c r="O1101" s="227" t="s">
        <v>393</v>
      </c>
      <c r="P1101" s="122"/>
      <c r="Q1101" s="228"/>
      <c r="R1101" s="231">
        <f t="shared" si="719"/>
        <v>1.0981795419037189E-2</v>
      </c>
      <c r="S1101" s="230">
        <f t="shared" si="705"/>
        <v>1.0981795419037189E-2</v>
      </c>
      <c r="T1101" s="231">
        <f t="shared" si="729"/>
        <v>0</v>
      </c>
      <c r="U1101" s="232" t="str">
        <f t="shared" si="707"/>
        <v>t CO2-eq/ kg of protein</v>
      </c>
      <c r="V1101" s="28"/>
      <c r="W1101" s="28"/>
      <c r="Y1101" s="91"/>
      <c r="AO1101" s="91"/>
      <c r="AP1101" s="28"/>
      <c r="AQ1101" s="28"/>
      <c r="AR1101" s="233" t="str">
        <f t="shared" si="717"/>
        <v>t CO2-eq/ kg of protein</v>
      </c>
      <c r="AS1101" s="28"/>
      <c r="AT1101" s="304" t="str">
        <f t="shared" si="718"/>
        <v/>
      </c>
      <c r="AU1101" s="304" t="str">
        <f t="shared" si="718"/>
        <v/>
      </c>
      <c r="AV1101" s="28"/>
      <c r="AW1101" s="304" t="str">
        <f t="shared" si="720"/>
        <v/>
      </c>
      <c r="AX1101" s="304" t="str">
        <f t="shared" si="720"/>
        <v/>
      </c>
      <c r="AY1101" s="28"/>
      <c r="AZ1101" s="304" t="str">
        <f t="shared" si="721"/>
        <v/>
      </c>
      <c r="BA1101" s="304" t="str">
        <f t="shared" si="721"/>
        <v/>
      </c>
      <c r="BB1101" s="28"/>
      <c r="BC1101" s="304" t="str">
        <f t="shared" si="722"/>
        <v/>
      </c>
      <c r="BD1101" s="304" t="str">
        <f t="shared" si="722"/>
        <v/>
      </c>
      <c r="BE1101" s="28"/>
      <c r="BF1101" s="304">
        <f t="shared" si="723"/>
        <v>1.0981795419037189E-2</v>
      </c>
      <c r="BG1101" s="304">
        <f t="shared" si="723"/>
        <v>1.0981795419037189E-2</v>
      </c>
      <c r="BH1101" s="28"/>
      <c r="BI1101" s="304" t="str">
        <f t="shared" si="724"/>
        <v/>
      </c>
      <c r="BJ1101" s="304" t="str">
        <f t="shared" si="724"/>
        <v/>
      </c>
      <c r="BK1101" s="28"/>
      <c r="BL1101" s="304" t="str">
        <f t="shared" si="725"/>
        <v/>
      </c>
      <c r="BM1101" s="304" t="str">
        <f t="shared" si="725"/>
        <v/>
      </c>
      <c r="BN1101" s="28"/>
      <c r="BO1101" s="304" t="str">
        <f t="shared" si="726"/>
        <v/>
      </c>
      <c r="BP1101" s="304" t="str">
        <f t="shared" si="726"/>
        <v/>
      </c>
      <c r="BQ1101" s="28"/>
      <c r="BR1101" s="304" t="str">
        <f t="shared" si="727"/>
        <v/>
      </c>
      <c r="BS1101" s="304" t="str">
        <f t="shared" si="727"/>
        <v/>
      </c>
      <c r="BT1101" s="28"/>
      <c r="BU1101" s="304" t="str">
        <f t="shared" si="728"/>
        <v/>
      </c>
      <c r="BV1101" s="304" t="str">
        <f t="shared" si="728"/>
        <v/>
      </c>
      <c r="BW1101" s="28"/>
      <c r="BX1101" s="91"/>
    </row>
    <row r="1102" spans="1:76" s="55" customFormat="1" x14ac:dyDescent="0.25">
      <c r="A1102" s="359">
        <v>39</v>
      </c>
      <c r="B1102" s="216" t="str">
        <f t="shared" si="704"/>
        <v>OECD90: FAO. 2017. Global Livestock Environmental Assessment Model (GLEAM)</v>
      </c>
      <c r="C1102" s="219" t="s">
        <v>227</v>
      </c>
      <c r="D1102" s="219" t="s">
        <v>398</v>
      </c>
      <c r="E1102" s="219" t="s">
        <v>96</v>
      </c>
      <c r="F1102" s="219" t="s">
        <v>179</v>
      </c>
      <c r="G1102" s="220" t="s">
        <v>26</v>
      </c>
      <c r="H1102" s="221">
        <v>2010</v>
      </c>
      <c r="I1102" s="220"/>
      <c r="J1102" s="227">
        <v>28802810048.906246</v>
      </c>
      <c r="K1102" s="226" t="s">
        <v>688</v>
      </c>
      <c r="L1102" s="334">
        <f>J1102/[1]GHGsources!$E$19*0.001</f>
        <v>1.4100951884974311E-2</v>
      </c>
      <c r="M1102" s="225" t="str">
        <f>CONCATENATE("t CO2-eq/ ",IF('[1]Advanced Controls'!$F$169="Implementation",AdoptionUnitOfMeasure,FunctionalUnitOfMeasure))</f>
        <v>t CO2-eq/ kg of protein</v>
      </c>
      <c r="N1102" s="227"/>
      <c r="O1102" s="227" t="s">
        <v>393</v>
      </c>
      <c r="P1102" s="122"/>
      <c r="Q1102" s="228"/>
      <c r="R1102" s="231">
        <f t="shared" si="719"/>
        <v>1.4100951884974311E-2</v>
      </c>
      <c r="S1102" s="230">
        <f t="shared" si="705"/>
        <v>1.4100951884974311E-2</v>
      </c>
      <c r="T1102" s="231" t="str">
        <f t="shared" si="729"/>
        <v/>
      </c>
      <c r="U1102" s="232" t="str">
        <f t="shared" si="707"/>
        <v>t CO2-eq/ kg of protein</v>
      </c>
      <c r="V1102" s="28"/>
      <c r="W1102" s="28"/>
      <c r="Y1102" s="91"/>
      <c r="AO1102" s="91"/>
      <c r="AP1102" s="28"/>
      <c r="AQ1102" s="28"/>
      <c r="AR1102" s="233" t="str">
        <f t="shared" si="717"/>
        <v>t CO2-eq/ kg of protein</v>
      </c>
      <c r="AS1102" s="28"/>
      <c r="AT1102" s="304" t="str">
        <f t="shared" si="718"/>
        <v/>
      </c>
      <c r="AU1102" s="304" t="str">
        <f t="shared" si="718"/>
        <v/>
      </c>
      <c r="AV1102" s="28"/>
      <c r="AW1102" s="304">
        <f t="shared" si="720"/>
        <v>1.4100951884974311E-2</v>
      </c>
      <c r="AX1102" s="304">
        <f t="shared" si="720"/>
        <v>1.4100951884974311E-2</v>
      </c>
      <c r="AY1102" s="28"/>
      <c r="AZ1102" s="304" t="str">
        <f t="shared" si="721"/>
        <v/>
      </c>
      <c r="BA1102" s="304" t="str">
        <f t="shared" si="721"/>
        <v/>
      </c>
      <c r="BB1102" s="28"/>
      <c r="BC1102" s="304" t="str">
        <f t="shared" si="722"/>
        <v/>
      </c>
      <c r="BD1102" s="304" t="str">
        <f t="shared" si="722"/>
        <v/>
      </c>
      <c r="BE1102" s="28"/>
      <c r="BF1102" s="304" t="str">
        <f t="shared" si="723"/>
        <v/>
      </c>
      <c r="BG1102" s="304" t="str">
        <f t="shared" si="723"/>
        <v/>
      </c>
      <c r="BH1102" s="28"/>
      <c r="BI1102" s="304" t="str">
        <f t="shared" si="724"/>
        <v/>
      </c>
      <c r="BJ1102" s="304" t="str">
        <f t="shared" si="724"/>
        <v/>
      </c>
      <c r="BK1102" s="28"/>
      <c r="BL1102" s="304" t="str">
        <f t="shared" si="725"/>
        <v/>
      </c>
      <c r="BM1102" s="304" t="str">
        <f t="shared" si="725"/>
        <v/>
      </c>
      <c r="BN1102" s="28"/>
      <c r="BO1102" s="304" t="str">
        <f t="shared" si="726"/>
        <v/>
      </c>
      <c r="BP1102" s="304" t="str">
        <f t="shared" si="726"/>
        <v/>
      </c>
      <c r="BQ1102" s="28"/>
      <c r="BR1102" s="304" t="str">
        <f t="shared" si="727"/>
        <v/>
      </c>
      <c r="BS1102" s="304" t="str">
        <f t="shared" si="727"/>
        <v/>
      </c>
      <c r="BT1102" s="28"/>
      <c r="BU1102" s="304" t="str">
        <f t="shared" si="728"/>
        <v/>
      </c>
      <c r="BV1102" s="304" t="str">
        <f t="shared" si="728"/>
        <v/>
      </c>
      <c r="BW1102" s="28"/>
      <c r="BX1102" s="91"/>
    </row>
    <row r="1103" spans="1:76" s="55" customFormat="1" x14ac:dyDescent="0.25">
      <c r="A1103" s="359">
        <v>40</v>
      </c>
      <c r="B1103" s="216" t="str">
        <f t="shared" si="704"/>
        <v>OECD90: FAO. 2017. Global Livestock Environmental Assessment Model (GLEAM)</v>
      </c>
      <c r="C1103" s="219" t="s">
        <v>227</v>
      </c>
      <c r="D1103" s="219" t="s">
        <v>399</v>
      </c>
      <c r="E1103" s="219" t="s">
        <v>96</v>
      </c>
      <c r="F1103" s="219" t="s">
        <v>185</v>
      </c>
      <c r="G1103" s="220" t="s">
        <v>26</v>
      </c>
      <c r="H1103" s="221">
        <v>2010</v>
      </c>
      <c r="I1103" s="220"/>
      <c r="J1103" s="227">
        <v>8928309789.5470238</v>
      </c>
      <c r="K1103" s="226" t="s">
        <v>688</v>
      </c>
      <c r="L1103" s="337">
        <f>J1103/[1]GHGsources!$E$20*0.001</f>
        <v>1.8098492082236548E-2</v>
      </c>
      <c r="M1103" s="225" t="str">
        <f>CONCATENATE("t CO2-eq/ ",IF('[1]Advanced Controls'!$F$169="Implementation",AdoptionUnitOfMeasure,FunctionalUnitOfMeasure))</f>
        <v>t CO2-eq/ kg of protein</v>
      </c>
      <c r="N1103" s="227"/>
      <c r="O1103" s="227" t="s">
        <v>393</v>
      </c>
      <c r="P1103" s="122"/>
      <c r="Q1103" s="228"/>
      <c r="R1103" s="231">
        <f t="shared" si="719"/>
        <v>1.8098492082236548E-2</v>
      </c>
      <c r="S1103" s="230">
        <f t="shared" si="705"/>
        <v>1.8098492082236548E-2</v>
      </c>
      <c r="T1103" s="231">
        <f t="shared" si="729"/>
        <v>0</v>
      </c>
      <c r="U1103" s="232" t="str">
        <f t="shared" si="707"/>
        <v>t CO2-eq/ kg of protein</v>
      </c>
      <c r="V1103" s="28"/>
      <c r="W1103" s="28"/>
      <c r="Y1103" s="91"/>
      <c r="AO1103" s="91"/>
      <c r="AP1103" s="28"/>
      <c r="AQ1103" s="28"/>
      <c r="AR1103" s="233" t="str">
        <f t="shared" si="717"/>
        <v>t CO2-eq/ kg of protein</v>
      </c>
      <c r="AS1103" s="28"/>
      <c r="AT1103" s="304" t="str">
        <f t="shared" si="718"/>
        <v/>
      </c>
      <c r="AU1103" s="304" t="str">
        <f t="shared" si="718"/>
        <v/>
      </c>
      <c r="AV1103" s="28"/>
      <c r="AW1103" s="304">
        <f t="shared" si="720"/>
        <v>1.8098492082236548E-2</v>
      </c>
      <c r="AX1103" s="304">
        <f t="shared" si="720"/>
        <v>1.8098492082236548E-2</v>
      </c>
      <c r="AY1103" s="28"/>
      <c r="AZ1103" s="304" t="str">
        <f t="shared" si="721"/>
        <v/>
      </c>
      <c r="BA1103" s="304" t="str">
        <f t="shared" si="721"/>
        <v/>
      </c>
      <c r="BB1103" s="28"/>
      <c r="BC1103" s="304" t="str">
        <f t="shared" si="722"/>
        <v/>
      </c>
      <c r="BD1103" s="304" t="str">
        <f t="shared" si="722"/>
        <v/>
      </c>
      <c r="BE1103" s="28"/>
      <c r="BF1103" s="304" t="str">
        <f t="shared" si="723"/>
        <v/>
      </c>
      <c r="BG1103" s="304" t="str">
        <f t="shared" si="723"/>
        <v/>
      </c>
      <c r="BH1103" s="28"/>
      <c r="BI1103" s="304" t="str">
        <f t="shared" si="724"/>
        <v/>
      </c>
      <c r="BJ1103" s="304" t="str">
        <f t="shared" si="724"/>
        <v/>
      </c>
      <c r="BK1103" s="28"/>
      <c r="BL1103" s="304" t="str">
        <f t="shared" si="725"/>
        <v/>
      </c>
      <c r="BM1103" s="304" t="str">
        <f t="shared" si="725"/>
        <v/>
      </c>
      <c r="BN1103" s="28"/>
      <c r="BO1103" s="304" t="str">
        <f t="shared" si="726"/>
        <v/>
      </c>
      <c r="BP1103" s="304" t="str">
        <f t="shared" si="726"/>
        <v/>
      </c>
      <c r="BQ1103" s="28"/>
      <c r="BR1103" s="304" t="str">
        <f t="shared" si="727"/>
        <v/>
      </c>
      <c r="BS1103" s="304" t="str">
        <f t="shared" si="727"/>
        <v/>
      </c>
      <c r="BT1103" s="28"/>
      <c r="BU1103" s="304" t="str">
        <f t="shared" si="728"/>
        <v/>
      </c>
      <c r="BV1103" s="304" t="str">
        <f t="shared" si="728"/>
        <v/>
      </c>
      <c r="BW1103" s="28"/>
      <c r="BX1103" s="91"/>
    </row>
    <row r="1104" spans="1:76" s="55" customFormat="1" x14ac:dyDescent="0.25">
      <c r="A1104" s="359">
        <v>41</v>
      </c>
      <c r="B1104" s="216" t="str">
        <f t="shared" si="704"/>
        <v>Eastern Europe: FAO. 2017. Global Livestock Environmental Assessment Model (GLEAM)</v>
      </c>
      <c r="C1104" s="219" t="s">
        <v>227</v>
      </c>
      <c r="D1104" s="219" t="s">
        <v>400</v>
      </c>
      <c r="E1104" s="219" t="s">
        <v>97</v>
      </c>
      <c r="F1104" s="219" t="s">
        <v>384</v>
      </c>
      <c r="G1104" s="220" t="s">
        <v>26</v>
      </c>
      <c r="H1104" s="221">
        <v>2010</v>
      </c>
      <c r="I1104" s="220"/>
      <c r="J1104" s="227">
        <v>8662816257.0078983</v>
      </c>
      <c r="K1104" s="226" t="s">
        <v>688</v>
      </c>
      <c r="L1104" s="334">
        <f>J1104/[1]GHGsources!$E$21*0.001</f>
        <v>1.3972357852214307E-2</v>
      </c>
      <c r="M1104" s="225" t="str">
        <f>CONCATENATE("t CO2-eq/ ",IF('[1]Advanced Controls'!$F$169="Implementation",AdoptionUnitOfMeasure,FunctionalUnitOfMeasure))</f>
        <v>t CO2-eq/ kg of protein</v>
      </c>
      <c r="N1104" s="227"/>
      <c r="O1104" s="227" t="s">
        <v>393</v>
      </c>
      <c r="P1104" s="122"/>
      <c r="Q1104" s="228"/>
      <c r="R1104" s="231">
        <f t="shared" si="719"/>
        <v>1.3972357852214307E-2</v>
      </c>
      <c r="S1104" s="230">
        <f t="shared" si="705"/>
        <v>1.3972357852214307E-2</v>
      </c>
      <c r="T1104" s="231">
        <f t="shared" si="729"/>
        <v>0</v>
      </c>
      <c r="U1104" s="232" t="str">
        <f t="shared" si="707"/>
        <v>t CO2-eq/ kg of protein</v>
      </c>
      <c r="V1104" s="28"/>
      <c r="W1104" s="28"/>
      <c r="Y1104" s="91"/>
      <c r="AO1104" s="91"/>
      <c r="AP1104" s="28"/>
      <c r="AQ1104" s="28"/>
      <c r="AR1104" s="233" t="str">
        <f t="shared" si="717"/>
        <v>t CO2-eq/ kg of protein</v>
      </c>
      <c r="AS1104" s="28"/>
      <c r="AT1104" s="304" t="str">
        <f t="shared" si="718"/>
        <v/>
      </c>
      <c r="AU1104" s="304" t="str">
        <f t="shared" si="718"/>
        <v/>
      </c>
      <c r="AV1104" s="28"/>
      <c r="AW1104" s="304" t="str">
        <f t="shared" si="720"/>
        <v/>
      </c>
      <c r="AX1104" s="304" t="str">
        <f t="shared" si="720"/>
        <v/>
      </c>
      <c r="AY1104" s="28"/>
      <c r="AZ1104" s="304">
        <f t="shared" si="721"/>
        <v>1.3972357852214307E-2</v>
      </c>
      <c r="BA1104" s="304">
        <f t="shared" si="721"/>
        <v>1.3972357852214307E-2</v>
      </c>
      <c r="BB1104" s="28"/>
      <c r="BC1104" s="304" t="str">
        <f t="shared" si="722"/>
        <v/>
      </c>
      <c r="BD1104" s="304" t="str">
        <f t="shared" si="722"/>
        <v/>
      </c>
      <c r="BE1104" s="28"/>
      <c r="BF1104" s="304" t="str">
        <f t="shared" si="723"/>
        <v/>
      </c>
      <c r="BG1104" s="304" t="str">
        <f t="shared" si="723"/>
        <v/>
      </c>
      <c r="BH1104" s="28"/>
      <c r="BI1104" s="304" t="str">
        <f t="shared" si="724"/>
        <v/>
      </c>
      <c r="BJ1104" s="304" t="str">
        <f t="shared" si="724"/>
        <v/>
      </c>
      <c r="BK1104" s="28"/>
      <c r="BL1104" s="304" t="str">
        <f t="shared" si="725"/>
        <v/>
      </c>
      <c r="BM1104" s="304" t="str">
        <f t="shared" si="725"/>
        <v/>
      </c>
      <c r="BN1104" s="28"/>
      <c r="BO1104" s="304" t="str">
        <f t="shared" si="726"/>
        <v/>
      </c>
      <c r="BP1104" s="304" t="str">
        <f t="shared" si="726"/>
        <v/>
      </c>
      <c r="BQ1104" s="28"/>
      <c r="BR1104" s="304" t="str">
        <f t="shared" si="727"/>
        <v/>
      </c>
      <c r="BS1104" s="304" t="str">
        <f t="shared" si="727"/>
        <v/>
      </c>
      <c r="BT1104" s="28"/>
      <c r="BU1104" s="304" t="str">
        <f t="shared" si="728"/>
        <v/>
      </c>
      <c r="BV1104" s="304" t="str">
        <f t="shared" si="728"/>
        <v/>
      </c>
      <c r="BW1104" s="28"/>
      <c r="BX1104" s="91"/>
    </row>
    <row r="1105" spans="1:76" s="55" customFormat="1" x14ac:dyDescent="0.25">
      <c r="A1105" s="359">
        <v>42</v>
      </c>
      <c r="B1105" s="216" t="str">
        <f t="shared" si="704"/>
        <v>Asia (Sans Japan): FAO. 2017. Global Livestock Environmental Assessment Model (GLEAM)</v>
      </c>
      <c r="C1105" s="219" t="s">
        <v>227</v>
      </c>
      <c r="D1105" s="219" t="s">
        <v>401</v>
      </c>
      <c r="E1105" s="219" t="s">
        <v>98</v>
      </c>
      <c r="F1105" s="219" t="s">
        <v>386</v>
      </c>
      <c r="G1105" s="220" t="s">
        <v>26</v>
      </c>
      <c r="H1105" s="221">
        <v>2010</v>
      </c>
      <c r="I1105" s="220"/>
      <c r="J1105" s="227">
        <v>89316808996.528809</v>
      </c>
      <c r="K1105" s="226" t="s">
        <v>688</v>
      </c>
      <c r="L1105" s="334">
        <f>J1105/[1]GHGsources!$E$22*0.001</f>
        <v>3.409790325965726E-2</v>
      </c>
      <c r="M1105" s="225" t="str">
        <f>CONCATENATE("t CO2-eq/ ",IF('[1]Advanced Controls'!$F$169="Implementation",AdoptionUnitOfMeasure,FunctionalUnitOfMeasure))</f>
        <v>t CO2-eq/ kg of protein</v>
      </c>
      <c r="N1105" s="227"/>
      <c r="O1105" s="227" t="s">
        <v>393</v>
      </c>
      <c r="P1105" s="122"/>
      <c r="Q1105" s="228"/>
      <c r="R1105" s="231">
        <f t="shared" si="719"/>
        <v>3.409790325965726E-2</v>
      </c>
      <c r="S1105" s="230">
        <f t="shared" si="705"/>
        <v>3.409790325965726E-2</v>
      </c>
      <c r="T1105" s="231" t="str">
        <f t="shared" si="729"/>
        <v/>
      </c>
      <c r="U1105" s="232" t="str">
        <f t="shared" si="707"/>
        <v>t CO2-eq/ kg of protein</v>
      </c>
      <c r="V1105" s="28"/>
      <c r="W1105" s="28"/>
      <c r="Y1105" s="91"/>
      <c r="AO1105" s="91"/>
      <c r="AP1105" s="28"/>
      <c r="AQ1105" s="28"/>
      <c r="AR1105" s="233" t="str">
        <f t="shared" si="717"/>
        <v>t CO2-eq/ kg of protein</v>
      </c>
      <c r="AS1105" s="28"/>
      <c r="AT1105" s="304" t="str">
        <f t="shared" si="718"/>
        <v/>
      </c>
      <c r="AU1105" s="304" t="str">
        <f t="shared" si="718"/>
        <v/>
      </c>
      <c r="AV1105" s="28"/>
      <c r="AW1105" s="304" t="str">
        <f t="shared" si="720"/>
        <v/>
      </c>
      <c r="AX1105" s="304" t="str">
        <f t="shared" si="720"/>
        <v/>
      </c>
      <c r="AY1105" s="28"/>
      <c r="AZ1105" s="304" t="str">
        <f t="shared" si="721"/>
        <v/>
      </c>
      <c r="BA1105" s="304" t="str">
        <f t="shared" si="721"/>
        <v/>
      </c>
      <c r="BB1105" s="28"/>
      <c r="BC1105" s="304">
        <f t="shared" si="722"/>
        <v>3.409790325965726E-2</v>
      </c>
      <c r="BD1105" s="304">
        <f t="shared" si="722"/>
        <v>3.409790325965726E-2</v>
      </c>
      <c r="BE1105" s="28"/>
      <c r="BF1105" s="304" t="str">
        <f t="shared" si="723"/>
        <v/>
      </c>
      <c r="BG1105" s="304" t="str">
        <f t="shared" si="723"/>
        <v/>
      </c>
      <c r="BH1105" s="28"/>
      <c r="BI1105" s="304" t="str">
        <f t="shared" si="724"/>
        <v/>
      </c>
      <c r="BJ1105" s="304" t="str">
        <f t="shared" si="724"/>
        <v/>
      </c>
      <c r="BK1105" s="28"/>
      <c r="BL1105" s="304" t="str">
        <f t="shared" si="725"/>
        <v/>
      </c>
      <c r="BM1105" s="304" t="str">
        <f t="shared" si="725"/>
        <v/>
      </c>
      <c r="BN1105" s="28"/>
      <c r="BO1105" s="304" t="str">
        <f t="shared" si="726"/>
        <v/>
      </c>
      <c r="BP1105" s="304" t="str">
        <f t="shared" si="726"/>
        <v/>
      </c>
      <c r="BQ1105" s="28"/>
      <c r="BR1105" s="304" t="str">
        <f t="shared" si="727"/>
        <v/>
      </c>
      <c r="BS1105" s="304" t="str">
        <f t="shared" si="727"/>
        <v/>
      </c>
      <c r="BT1105" s="28"/>
      <c r="BU1105" s="304" t="str">
        <f t="shared" si="728"/>
        <v/>
      </c>
      <c r="BV1105" s="304" t="str">
        <f t="shared" si="728"/>
        <v/>
      </c>
      <c r="BW1105" s="28"/>
      <c r="BX1105" s="91"/>
    </row>
    <row r="1106" spans="1:76" s="55" customFormat="1" x14ac:dyDescent="0.25">
      <c r="A1106" s="359">
        <v>43</v>
      </c>
      <c r="B1106" s="216" t="str">
        <f t="shared" si="704"/>
        <v>Middle East and Africa: FAO. 2017. Global Livestock Environmental Assessment Model (GLEAM)</v>
      </c>
      <c r="C1106" s="219" t="s">
        <v>227</v>
      </c>
      <c r="D1106" s="219" t="s">
        <v>402</v>
      </c>
      <c r="E1106" s="219" t="s">
        <v>99</v>
      </c>
      <c r="F1106" s="219" t="s">
        <v>388</v>
      </c>
      <c r="G1106" s="220" t="s">
        <v>26</v>
      </c>
      <c r="H1106" s="221">
        <v>2010</v>
      </c>
      <c r="I1106" s="220"/>
      <c r="J1106" s="227">
        <v>3686100036.1512537</v>
      </c>
      <c r="K1106" s="226" t="s">
        <v>688</v>
      </c>
      <c r="L1106" s="334">
        <f>J1106/[1]GHGsources!$E$23*0.001</f>
        <v>6.8394452941086641E-3</v>
      </c>
      <c r="M1106" s="225" t="str">
        <f>CONCATENATE("t CO2-eq/ ",IF('[1]Advanced Controls'!$F$169="Implementation",AdoptionUnitOfMeasure,FunctionalUnitOfMeasure))</f>
        <v>t CO2-eq/ kg of protein</v>
      </c>
      <c r="N1106" s="227"/>
      <c r="O1106" s="227" t="s">
        <v>393</v>
      </c>
      <c r="P1106" s="122"/>
      <c r="Q1106" s="228"/>
      <c r="R1106" s="231">
        <f t="shared" si="719"/>
        <v>6.8394452941086641E-3</v>
      </c>
      <c r="S1106" s="230">
        <f t="shared" si="705"/>
        <v>6.8394452941086641E-3</v>
      </c>
      <c r="T1106" s="231" t="str">
        <f t="shared" si="729"/>
        <v/>
      </c>
      <c r="U1106" s="232" t="str">
        <f t="shared" si="707"/>
        <v>t CO2-eq/ kg of protein</v>
      </c>
      <c r="V1106" s="28"/>
      <c r="W1106" s="28"/>
      <c r="Y1106" s="91"/>
      <c r="AO1106" s="91"/>
      <c r="AP1106" s="28"/>
      <c r="AQ1106" s="28"/>
      <c r="AR1106" s="233" t="str">
        <f t="shared" si="717"/>
        <v>t CO2-eq/ kg of protein</v>
      </c>
      <c r="AS1106" s="28"/>
      <c r="AT1106" s="304" t="str">
        <f t="shared" si="718"/>
        <v/>
      </c>
      <c r="AU1106" s="304" t="str">
        <f t="shared" si="718"/>
        <v/>
      </c>
      <c r="AV1106" s="28"/>
      <c r="AW1106" s="304" t="str">
        <f t="shared" si="720"/>
        <v/>
      </c>
      <c r="AX1106" s="304" t="str">
        <f t="shared" si="720"/>
        <v/>
      </c>
      <c r="AY1106" s="28"/>
      <c r="AZ1106" s="304" t="str">
        <f t="shared" si="721"/>
        <v/>
      </c>
      <c r="BA1106" s="304" t="str">
        <f t="shared" si="721"/>
        <v/>
      </c>
      <c r="BB1106" s="28"/>
      <c r="BC1106" s="304" t="str">
        <f t="shared" si="722"/>
        <v/>
      </c>
      <c r="BD1106" s="304" t="str">
        <f t="shared" si="722"/>
        <v/>
      </c>
      <c r="BE1106" s="28"/>
      <c r="BF1106" s="304">
        <f t="shared" si="723"/>
        <v>6.8394452941086641E-3</v>
      </c>
      <c r="BG1106" s="304">
        <f t="shared" si="723"/>
        <v>6.8394452941086641E-3</v>
      </c>
      <c r="BH1106" s="28"/>
      <c r="BI1106" s="304" t="str">
        <f t="shared" si="724"/>
        <v/>
      </c>
      <c r="BJ1106" s="304" t="str">
        <f t="shared" si="724"/>
        <v/>
      </c>
      <c r="BK1106" s="28"/>
      <c r="BL1106" s="304" t="str">
        <f t="shared" si="725"/>
        <v/>
      </c>
      <c r="BM1106" s="304" t="str">
        <f t="shared" si="725"/>
        <v/>
      </c>
      <c r="BN1106" s="28"/>
      <c r="BO1106" s="304" t="str">
        <f t="shared" si="726"/>
        <v/>
      </c>
      <c r="BP1106" s="304" t="str">
        <f t="shared" si="726"/>
        <v/>
      </c>
      <c r="BQ1106" s="28"/>
      <c r="BR1106" s="304" t="str">
        <f t="shared" si="727"/>
        <v/>
      </c>
      <c r="BS1106" s="304" t="str">
        <f t="shared" si="727"/>
        <v/>
      </c>
      <c r="BT1106" s="28"/>
      <c r="BU1106" s="304" t="str">
        <f t="shared" si="728"/>
        <v/>
      </c>
      <c r="BV1106" s="304" t="str">
        <f t="shared" si="728"/>
        <v/>
      </c>
      <c r="BW1106" s="28"/>
      <c r="BX1106" s="91"/>
    </row>
    <row r="1107" spans="1:76" s="55" customFormat="1" x14ac:dyDescent="0.25">
      <c r="A1107" s="359">
        <v>44</v>
      </c>
      <c r="B1107" s="216" t="str">
        <f t="shared" si="704"/>
        <v>OECD90: FAO. 2017. Global Livestock Environmental Assessment Model (GLEAM)</v>
      </c>
      <c r="C1107" s="219" t="s">
        <v>227</v>
      </c>
      <c r="D1107" s="219" t="s">
        <v>403</v>
      </c>
      <c r="E1107" s="219" t="s">
        <v>96</v>
      </c>
      <c r="F1107" s="219" t="s">
        <v>176</v>
      </c>
      <c r="G1107" s="220" t="s">
        <v>26</v>
      </c>
      <c r="H1107" s="221">
        <v>2010</v>
      </c>
      <c r="I1107" s="220"/>
      <c r="J1107" s="227">
        <v>57849873302.551323</v>
      </c>
      <c r="K1107" s="226" t="s">
        <v>688</v>
      </c>
      <c r="L1107" s="334">
        <f>J1107/[1]GHGsources!$E$24*0.001</f>
        <v>1.5517783788566056E-2</v>
      </c>
      <c r="M1107" s="225" t="str">
        <f>CONCATENATE("t CO2-eq/ ",IF('[1]Advanced Controls'!$F$169="Implementation",AdoptionUnitOfMeasure,FunctionalUnitOfMeasure))</f>
        <v>t CO2-eq/ kg of protein</v>
      </c>
      <c r="N1107" s="227"/>
      <c r="O1107" s="227" t="s">
        <v>393</v>
      </c>
      <c r="P1107" s="122"/>
      <c r="Q1107" s="228"/>
      <c r="R1107" s="231">
        <f t="shared" si="719"/>
        <v>1.5517783788566056E-2</v>
      </c>
      <c r="S1107" s="230">
        <f t="shared" si="705"/>
        <v>1.5517783788566056E-2</v>
      </c>
      <c r="T1107" s="231">
        <f t="shared" si="729"/>
        <v>0</v>
      </c>
      <c r="U1107" s="232" t="str">
        <f t="shared" si="707"/>
        <v>t CO2-eq/ kg of protein</v>
      </c>
      <c r="V1107" s="28"/>
      <c r="W1107" s="28"/>
      <c r="Y1107" s="91"/>
      <c r="AO1107" s="91"/>
      <c r="AP1107" s="28"/>
      <c r="AQ1107" s="28"/>
      <c r="AR1107" s="233" t="str">
        <f t="shared" si="717"/>
        <v>t CO2-eq/ kg of protein</v>
      </c>
      <c r="AS1107" s="28"/>
      <c r="AT1107" s="304" t="str">
        <f t="shared" si="718"/>
        <v/>
      </c>
      <c r="AU1107" s="304" t="str">
        <f t="shared" si="718"/>
        <v/>
      </c>
      <c r="AV1107" s="28"/>
      <c r="AW1107" s="304">
        <f t="shared" si="720"/>
        <v>1.5517783788566056E-2</v>
      </c>
      <c r="AX1107" s="304">
        <f t="shared" si="720"/>
        <v>1.5517783788566056E-2</v>
      </c>
      <c r="AY1107" s="28"/>
      <c r="AZ1107" s="304" t="str">
        <f t="shared" si="721"/>
        <v/>
      </c>
      <c r="BA1107" s="304" t="str">
        <f t="shared" si="721"/>
        <v/>
      </c>
      <c r="BB1107" s="28"/>
      <c r="BC1107" s="304" t="str">
        <f t="shared" si="722"/>
        <v/>
      </c>
      <c r="BD1107" s="304" t="str">
        <f t="shared" si="722"/>
        <v/>
      </c>
      <c r="BE1107" s="28"/>
      <c r="BF1107" s="304" t="str">
        <f t="shared" si="723"/>
        <v/>
      </c>
      <c r="BG1107" s="304" t="str">
        <f t="shared" si="723"/>
        <v/>
      </c>
      <c r="BH1107" s="28"/>
      <c r="BI1107" s="304" t="str">
        <f t="shared" si="724"/>
        <v/>
      </c>
      <c r="BJ1107" s="304" t="str">
        <f t="shared" si="724"/>
        <v/>
      </c>
      <c r="BK1107" s="28"/>
      <c r="BL1107" s="304" t="str">
        <f t="shared" si="725"/>
        <v/>
      </c>
      <c r="BM1107" s="304" t="str">
        <f t="shared" si="725"/>
        <v/>
      </c>
      <c r="BN1107" s="28"/>
      <c r="BO1107" s="304" t="str">
        <f t="shared" si="726"/>
        <v/>
      </c>
      <c r="BP1107" s="304" t="str">
        <f t="shared" si="726"/>
        <v/>
      </c>
      <c r="BQ1107" s="28"/>
      <c r="BR1107" s="304" t="str">
        <f t="shared" si="727"/>
        <v/>
      </c>
      <c r="BS1107" s="304" t="str">
        <f t="shared" si="727"/>
        <v/>
      </c>
      <c r="BT1107" s="28"/>
      <c r="BU1107" s="304" t="str">
        <f t="shared" si="728"/>
        <v/>
      </c>
      <c r="BV1107" s="304" t="str">
        <f t="shared" si="728"/>
        <v/>
      </c>
      <c r="BW1107" s="28"/>
      <c r="BX1107" s="91"/>
    </row>
    <row r="1108" spans="1:76" s="55" customFormat="1" x14ac:dyDescent="0.25">
      <c r="A1108" s="359">
        <v>45</v>
      </c>
      <c r="B1108" s="216" t="str">
        <f t="shared" si="704"/>
        <v>World: FAO. 2017. Global Livestock Environmental Assessment Model (GLEAM)</v>
      </c>
      <c r="C1108" s="219" t="s">
        <v>227</v>
      </c>
      <c r="D1108" s="219" t="s">
        <v>404</v>
      </c>
      <c r="E1108" s="219" t="s">
        <v>95</v>
      </c>
      <c r="F1108" s="371" t="s">
        <v>371</v>
      </c>
      <c r="G1108" s="220" t="s">
        <v>26</v>
      </c>
      <c r="H1108" s="221">
        <v>2010</v>
      </c>
      <c r="I1108" s="372"/>
      <c r="J1108" s="227">
        <v>669238522174.89856</v>
      </c>
      <c r="K1108" s="226" t="s">
        <v>688</v>
      </c>
      <c r="L1108" s="334">
        <f>J1108/[1]GHGsources!$F$14*0.001</f>
        <v>6.5086975510658382E-2</v>
      </c>
      <c r="M1108" s="225" t="str">
        <f>CONCATENATE("t CO2-eq/ ",IF('[1]Advanced Controls'!$F$169="Implementation",AdoptionUnitOfMeasure,FunctionalUnitOfMeasure))</f>
        <v>t CO2-eq/ kg of protein</v>
      </c>
      <c r="N1108" s="227"/>
      <c r="O1108" s="227" t="s">
        <v>405</v>
      </c>
      <c r="P1108" s="122"/>
      <c r="Q1108" s="228"/>
      <c r="R1108" s="231">
        <f t="shared" si="719"/>
        <v>6.5086975510658382E-2</v>
      </c>
      <c r="S1108" s="230">
        <f t="shared" si="705"/>
        <v>6.5086975510658382E-2</v>
      </c>
      <c r="T1108" s="231">
        <f t="shared" si="729"/>
        <v>0</v>
      </c>
      <c r="U1108" s="232" t="str">
        <f t="shared" si="707"/>
        <v>t CO2-eq/ kg of protein</v>
      </c>
      <c r="V1108" s="28"/>
      <c r="W1108" s="28"/>
      <c r="Y1108" s="91"/>
      <c r="AO1108" s="91"/>
      <c r="AP1108" s="28"/>
      <c r="AQ1108" s="28"/>
      <c r="AR1108" s="233" t="str">
        <f t="shared" si="717"/>
        <v>t CO2-eq/ kg of protein</v>
      </c>
      <c r="AS1108" s="28"/>
      <c r="AT1108" s="304">
        <f t="shared" si="718"/>
        <v>6.5086975510658382E-2</v>
      </c>
      <c r="AU1108" s="304">
        <f t="shared" si="718"/>
        <v>6.5086975510658382E-2</v>
      </c>
      <c r="AV1108" s="28"/>
      <c r="AW1108" s="304" t="str">
        <f t="shared" si="720"/>
        <v/>
      </c>
      <c r="AX1108" s="304" t="str">
        <f t="shared" si="720"/>
        <v/>
      </c>
      <c r="AY1108" s="28"/>
      <c r="AZ1108" s="304" t="str">
        <f t="shared" si="721"/>
        <v/>
      </c>
      <c r="BA1108" s="304" t="str">
        <f t="shared" si="721"/>
        <v/>
      </c>
      <c r="BB1108" s="28"/>
      <c r="BC1108" s="304" t="str">
        <f t="shared" si="722"/>
        <v/>
      </c>
      <c r="BD1108" s="304" t="str">
        <f t="shared" si="722"/>
        <v/>
      </c>
      <c r="BE1108" s="28"/>
      <c r="BF1108" s="304" t="str">
        <f t="shared" si="723"/>
        <v/>
      </c>
      <c r="BG1108" s="304" t="str">
        <f t="shared" si="723"/>
        <v/>
      </c>
      <c r="BH1108" s="28"/>
      <c r="BI1108" s="304" t="str">
        <f t="shared" si="724"/>
        <v/>
      </c>
      <c r="BJ1108" s="304" t="str">
        <f t="shared" si="724"/>
        <v/>
      </c>
      <c r="BK1108" s="28"/>
      <c r="BL1108" s="304" t="str">
        <f t="shared" si="725"/>
        <v/>
      </c>
      <c r="BM1108" s="304" t="str">
        <f t="shared" si="725"/>
        <v/>
      </c>
      <c r="BN1108" s="28"/>
      <c r="BO1108" s="304" t="str">
        <f t="shared" si="726"/>
        <v/>
      </c>
      <c r="BP1108" s="304" t="str">
        <f t="shared" si="726"/>
        <v/>
      </c>
      <c r="BQ1108" s="28"/>
      <c r="BR1108" s="304" t="str">
        <f t="shared" si="727"/>
        <v/>
      </c>
      <c r="BS1108" s="304" t="str">
        <f t="shared" si="727"/>
        <v/>
      </c>
      <c r="BT1108" s="28"/>
      <c r="BU1108" s="304" t="str">
        <f t="shared" si="728"/>
        <v/>
      </c>
      <c r="BV1108" s="304" t="str">
        <f t="shared" si="728"/>
        <v/>
      </c>
      <c r="BW1108" s="28"/>
      <c r="BX1108" s="91"/>
    </row>
    <row r="1109" spans="1:76" s="55" customFormat="1" x14ac:dyDescent="0.25">
      <c r="A1109" s="359">
        <v>46</v>
      </c>
      <c r="B1109" s="216" t="str">
        <f t="shared" si="704"/>
        <v>Asia (Sans Japan): FAO. 2017. Global Livestock Environmental Assessment Model (GLEAM)</v>
      </c>
      <c r="C1109" s="219" t="s">
        <v>227</v>
      </c>
      <c r="D1109" s="219" t="s">
        <v>406</v>
      </c>
      <c r="E1109" s="219" t="s">
        <v>98</v>
      </c>
      <c r="F1109" s="373" t="s">
        <v>375</v>
      </c>
      <c r="G1109" s="220" t="s">
        <v>26</v>
      </c>
      <c r="H1109" s="221">
        <v>2010</v>
      </c>
      <c r="I1109" s="372"/>
      <c r="J1109" s="227">
        <v>60454176346.573486</v>
      </c>
      <c r="K1109" s="226" t="s">
        <v>688</v>
      </c>
      <c r="L1109" s="334">
        <f>J1109/[1]GHGsources!$F$15*0.001</f>
        <v>4.8282910228571972E-2</v>
      </c>
      <c r="M1109" s="225" t="str">
        <f>CONCATENATE("t CO2-eq/ ",IF('[1]Advanced Controls'!$F$169="Implementation",AdoptionUnitOfMeasure,FunctionalUnitOfMeasure))</f>
        <v>t CO2-eq/ kg of protein</v>
      </c>
      <c r="N1109" s="227"/>
      <c r="O1109" s="227" t="s">
        <v>405</v>
      </c>
      <c r="P1109" s="122"/>
      <c r="Q1109" s="228"/>
      <c r="R1109" s="231">
        <f t="shared" si="719"/>
        <v>4.8282910228571972E-2</v>
      </c>
      <c r="S1109" s="230">
        <f t="shared" si="705"/>
        <v>4.8282910228571972E-2</v>
      </c>
      <c r="T1109" s="231" t="str">
        <f t="shared" si="729"/>
        <v/>
      </c>
      <c r="U1109" s="232" t="str">
        <f t="shared" si="707"/>
        <v>t CO2-eq/ kg of protein</v>
      </c>
      <c r="V1109" s="28"/>
      <c r="W1109" s="28"/>
      <c r="Y1109" s="91"/>
      <c r="AO1109" s="91"/>
      <c r="AP1109" s="28"/>
      <c r="AQ1109" s="28"/>
      <c r="AR1109" s="233" t="str">
        <f t="shared" si="717"/>
        <v>t CO2-eq/ kg of protein</v>
      </c>
      <c r="AS1109" s="28"/>
      <c r="AT1109" s="304" t="str">
        <f t="shared" si="718"/>
        <v/>
      </c>
      <c r="AU1109" s="304" t="str">
        <f t="shared" si="718"/>
        <v/>
      </c>
      <c r="AV1109" s="28"/>
      <c r="AW1109" s="304" t="str">
        <f t="shared" si="720"/>
        <v/>
      </c>
      <c r="AX1109" s="304" t="str">
        <f t="shared" si="720"/>
        <v/>
      </c>
      <c r="AY1109" s="28"/>
      <c r="AZ1109" s="304" t="str">
        <f t="shared" si="721"/>
        <v/>
      </c>
      <c r="BA1109" s="304" t="str">
        <f t="shared" si="721"/>
        <v/>
      </c>
      <c r="BB1109" s="28"/>
      <c r="BC1109" s="304">
        <f t="shared" si="722"/>
        <v>4.8282910228571972E-2</v>
      </c>
      <c r="BD1109" s="304">
        <f t="shared" si="722"/>
        <v>4.8282910228571972E-2</v>
      </c>
      <c r="BE1109" s="28"/>
      <c r="BF1109" s="304" t="str">
        <f t="shared" si="723"/>
        <v/>
      </c>
      <c r="BG1109" s="304" t="str">
        <f t="shared" si="723"/>
        <v/>
      </c>
      <c r="BH1109" s="28"/>
      <c r="BI1109" s="304" t="str">
        <f t="shared" si="724"/>
        <v/>
      </c>
      <c r="BJ1109" s="304" t="str">
        <f t="shared" si="724"/>
        <v/>
      </c>
      <c r="BK1109" s="28"/>
      <c r="BL1109" s="304" t="str">
        <f t="shared" si="725"/>
        <v/>
      </c>
      <c r="BM1109" s="304" t="str">
        <f t="shared" si="725"/>
        <v/>
      </c>
      <c r="BN1109" s="28"/>
      <c r="BO1109" s="304" t="str">
        <f t="shared" si="726"/>
        <v/>
      </c>
      <c r="BP1109" s="304" t="str">
        <f t="shared" si="726"/>
        <v/>
      </c>
      <c r="BQ1109" s="28"/>
      <c r="BR1109" s="304" t="str">
        <f t="shared" si="727"/>
        <v/>
      </c>
      <c r="BS1109" s="304" t="str">
        <f t="shared" si="727"/>
        <v/>
      </c>
      <c r="BT1109" s="28"/>
      <c r="BU1109" s="304" t="str">
        <f t="shared" si="728"/>
        <v/>
      </c>
      <c r="BV1109" s="304" t="str">
        <f t="shared" si="728"/>
        <v/>
      </c>
      <c r="BW1109" s="28"/>
      <c r="BX1109" s="91"/>
    </row>
    <row r="1110" spans="1:76" s="55" customFormat="1" x14ac:dyDescent="0.25">
      <c r="A1110" s="359">
        <v>47</v>
      </c>
      <c r="B1110" s="216" t="str">
        <f t="shared" si="704"/>
        <v>Eastern Europe: FAO. 2017. Global Livestock Environmental Assessment Model (GLEAM)</v>
      </c>
      <c r="C1110" s="219" t="s">
        <v>227</v>
      </c>
      <c r="D1110" s="219" t="s">
        <v>407</v>
      </c>
      <c r="E1110" s="219" t="s">
        <v>97</v>
      </c>
      <c r="F1110" s="373" t="s">
        <v>97</v>
      </c>
      <c r="G1110" s="220" t="s">
        <v>26</v>
      </c>
      <c r="H1110" s="221">
        <v>2010</v>
      </c>
      <c r="I1110" s="372"/>
      <c r="J1110" s="227">
        <v>7850880351.0803909</v>
      </c>
      <c r="K1110" s="226" t="s">
        <v>688</v>
      </c>
      <c r="L1110" s="334">
        <f>J1110/[1]GHGsources!$F$16*0.001</f>
        <v>2.9854819395452394E-2</v>
      </c>
      <c r="M1110" s="225" t="str">
        <f>CONCATENATE("t CO2-eq/ ",IF('[1]Advanced Controls'!$F$169="Implementation",AdoptionUnitOfMeasure,FunctionalUnitOfMeasure))</f>
        <v>t CO2-eq/ kg of protein</v>
      </c>
      <c r="N1110" s="227"/>
      <c r="O1110" s="227" t="s">
        <v>405</v>
      </c>
      <c r="P1110" s="122"/>
      <c r="Q1110" s="228"/>
      <c r="R1110" s="231">
        <f t="shared" si="719"/>
        <v>2.9854819395452394E-2</v>
      </c>
      <c r="S1110" s="230">
        <f t="shared" si="705"/>
        <v>2.9854819395452394E-2</v>
      </c>
      <c r="T1110" s="231">
        <f t="shared" si="729"/>
        <v>0</v>
      </c>
      <c r="U1110" s="232" t="str">
        <f t="shared" si="707"/>
        <v>t CO2-eq/ kg of protein</v>
      </c>
      <c r="V1110" s="28"/>
      <c r="W1110" s="28"/>
      <c r="Y1110" s="91"/>
      <c r="AO1110" s="91"/>
      <c r="AP1110" s="28"/>
      <c r="AQ1110" s="28"/>
      <c r="AR1110" s="233" t="str">
        <f t="shared" si="717"/>
        <v>t CO2-eq/ kg of protein</v>
      </c>
      <c r="AS1110" s="28"/>
      <c r="AT1110" s="304" t="str">
        <f t="shared" si="718"/>
        <v/>
      </c>
      <c r="AU1110" s="304" t="str">
        <f t="shared" si="718"/>
        <v/>
      </c>
      <c r="AV1110" s="28"/>
      <c r="AW1110" s="304" t="str">
        <f t="shared" si="720"/>
        <v/>
      </c>
      <c r="AX1110" s="304" t="str">
        <f t="shared" si="720"/>
        <v/>
      </c>
      <c r="AY1110" s="28"/>
      <c r="AZ1110" s="304">
        <f t="shared" si="721"/>
        <v>2.9854819395452394E-2</v>
      </c>
      <c r="BA1110" s="304">
        <f t="shared" si="721"/>
        <v>2.9854819395452394E-2</v>
      </c>
      <c r="BB1110" s="28"/>
      <c r="BC1110" s="304" t="str">
        <f t="shared" si="722"/>
        <v/>
      </c>
      <c r="BD1110" s="304" t="str">
        <f t="shared" si="722"/>
        <v/>
      </c>
      <c r="BE1110" s="28"/>
      <c r="BF1110" s="304" t="str">
        <f t="shared" si="723"/>
        <v/>
      </c>
      <c r="BG1110" s="304" t="str">
        <f t="shared" si="723"/>
        <v/>
      </c>
      <c r="BH1110" s="28"/>
      <c r="BI1110" s="304" t="str">
        <f t="shared" si="724"/>
        <v/>
      </c>
      <c r="BJ1110" s="304" t="str">
        <f t="shared" si="724"/>
        <v/>
      </c>
      <c r="BK1110" s="28"/>
      <c r="BL1110" s="304" t="str">
        <f t="shared" si="725"/>
        <v/>
      </c>
      <c r="BM1110" s="304" t="str">
        <f t="shared" si="725"/>
        <v/>
      </c>
      <c r="BN1110" s="28"/>
      <c r="BO1110" s="304" t="str">
        <f t="shared" si="726"/>
        <v/>
      </c>
      <c r="BP1110" s="304" t="str">
        <f t="shared" si="726"/>
        <v/>
      </c>
      <c r="BQ1110" s="28"/>
      <c r="BR1110" s="304" t="str">
        <f t="shared" si="727"/>
        <v/>
      </c>
      <c r="BS1110" s="304" t="str">
        <f t="shared" si="727"/>
        <v/>
      </c>
      <c r="BT1110" s="28"/>
      <c r="BU1110" s="304" t="str">
        <f t="shared" si="728"/>
        <v/>
      </c>
      <c r="BV1110" s="304" t="str">
        <f t="shared" si="728"/>
        <v/>
      </c>
      <c r="BW1110" s="28"/>
      <c r="BX1110" s="91"/>
    </row>
    <row r="1111" spans="1:76" s="55" customFormat="1" x14ac:dyDescent="0.25">
      <c r="A1111" s="359">
        <v>48</v>
      </c>
      <c r="B1111" s="216" t="str">
        <f t="shared" si="704"/>
        <v>Latin America: FAO. 2017. Global Livestock Environmental Assessment Model (GLEAM)</v>
      </c>
      <c r="C1111" s="219" t="s">
        <v>227</v>
      </c>
      <c r="D1111" s="219" t="s">
        <v>408</v>
      </c>
      <c r="E1111" s="219" t="s">
        <v>100</v>
      </c>
      <c r="F1111" s="373" t="s">
        <v>378</v>
      </c>
      <c r="G1111" s="220" t="s">
        <v>26</v>
      </c>
      <c r="H1111" s="221">
        <v>2010</v>
      </c>
      <c r="I1111" s="372"/>
      <c r="J1111" s="227">
        <v>469022653927.47089</v>
      </c>
      <c r="K1111" s="226" t="s">
        <v>688</v>
      </c>
      <c r="L1111" s="334">
        <f>J1111/[1]GHGsources!$F$17*0.001</f>
        <v>0.14257428161572497</v>
      </c>
      <c r="M1111" s="225" t="str">
        <f>CONCATENATE("t CO2-eq/ ",IF('[1]Advanced Controls'!$F$169="Implementation",AdoptionUnitOfMeasure,FunctionalUnitOfMeasure))</f>
        <v>t CO2-eq/ kg of protein</v>
      </c>
      <c r="N1111" s="227"/>
      <c r="O1111" s="227" t="s">
        <v>405</v>
      </c>
      <c r="P1111" s="122"/>
      <c r="Q1111" s="228"/>
      <c r="R1111" s="231">
        <f t="shared" si="719"/>
        <v>0.14257428161572497</v>
      </c>
      <c r="S1111" s="230">
        <f t="shared" si="705"/>
        <v>0.14257428161572497</v>
      </c>
      <c r="T1111" s="231" t="str">
        <f t="shared" si="729"/>
        <v/>
      </c>
      <c r="U1111" s="232" t="str">
        <f t="shared" si="707"/>
        <v>t CO2-eq/ kg of protein</v>
      </c>
      <c r="V1111" s="28"/>
      <c r="W1111" s="28"/>
      <c r="Y1111" s="91"/>
      <c r="AO1111" s="91"/>
      <c r="AP1111" s="28"/>
      <c r="AQ1111" s="28"/>
      <c r="AR1111" s="233" t="str">
        <f t="shared" si="717"/>
        <v>t CO2-eq/ kg of protein</v>
      </c>
      <c r="AS1111" s="28"/>
      <c r="AT1111" s="304" t="str">
        <f t="shared" si="718"/>
        <v/>
      </c>
      <c r="AU1111" s="304" t="str">
        <f t="shared" si="718"/>
        <v/>
      </c>
      <c r="AV1111" s="28"/>
      <c r="AW1111" s="304" t="str">
        <f t="shared" si="720"/>
        <v/>
      </c>
      <c r="AX1111" s="304" t="str">
        <f t="shared" si="720"/>
        <v/>
      </c>
      <c r="AY1111" s="28"/>
      <c r="AZ1111" s="304" t="str">
        <f t="shared" si="721"/>
        <v/>
      </c>
      <c r="BA1111" s="304" t="str">
        <f t="shared" si="721"/>
        <v/>
      </c>
      <c r="BB1111" s="28"/>
      <c r="BC1111" s="304" t="str">
        <f t="shared" si="722"/>
        <v/>
      </c>
      <c r="BD1111" s="304" t="str">
        <f t="shared" si="722"/>
        <v/>
      </c>
      <c r="BE1111" s="28"/>
      <c r="BF1111" s="304" t="str">
        <f t="shared" si="723"/>
        <v/>
      </c>
      <c r="BG1111" s="304" t="str">
        <f t="shared" si="723"/>
        <v/>
      </c>
      <c r="BH1111" s="28"/>
      <c r="BI1111" s="304">
        <f t="shared" si="724"/>
        <v>0.14257428161572497</v>
      </c>
      <c r="BJ1111" s="304">
        <f t="shared" si="724"/>
        <v>0.14257428161572497</v>
      </c>
      <c r="BK1111" s="28"/>
      <c r="BL1111" s="304" t="str">
        <f t="shared" si="725"/>
        <v/>
      </c>
      <c r="BM1111" s="304" t="str">
        <f t="shared" si="725"/>
        <v/>
      </c>
      <c r="BN1111" s="28"/>
      <c r="BO1111" s="304" t="str">
        <f t="shared" si="726"/>
        <v/>
      </c>
      <c r="BP1111" s="304" t="str">
        <f t="shared" si="726"/>
        <v/>
      </c>
      <c r="BQ1111" s="28"/>
      <c r="BR1111" s="304" t="str">
        <f t="shared" si="727"/>
        <v/>
      </c>
      <c r="BS1111" s="304" t="str">
        <f t="shared" si="727"/>
        <v/>
      </c>
      <c r="BT1111" s="28"/>
      <c r="BU1111" s="304" t="str">
        <f t="shared" si="728"/>
        <v/>
      </c>
      <c r="BV1111" s="304" t="str">
        <f t="shared" si="728"/>
        <v/>
      </c>
      <c r="BW1111" s="28"/>
      <c r="BX1111" s="91"/>
    </row>
    <row r="1112" spans="1:76" s="55" customFormat="1" x14ac:dyDescent="0.25">
      <c r="A1112" s="359">
        <v>49</v>
      </c>
      <c r="B1112" s="216" t="str">
        <f t="shared" si="704"/>
        <v>Middle East and Africa: FAO. 2017. Global Livestock Environmental Assessment Model (GLEAM)</v>
      </c>
      <c r="C1112" s="219" t="s">
        <v>227</v>
      </c>
      <c r="D1112" s="219" t="s">
        <v>409</v>
      </c>
      <c r="E1112" s="219" t="s">
        <v>99</v>
      </c>
      <c r="F1112" s="373" t="s">
        <v>380</v>
      </c>
      <c r="G1112" s="220" t="s">
        <v>26</v>
      </c>
      <c r="H1112" s="221">
        <v>2010</v>
      </c>
      <c r="I1112" s="372"/>
      <c r="J1112" s="227">
        <v>7057154394.9029188</v>
      </c>
      <c r="K1112" s="226" t="s">
        <v>688</v>
      </c>
      <c r="L1112" s="334">
        <f>J1112/[1]GHGsources!$F$18*0.001</f>
        <v>1.4872132790096811E-2</v>
      </c>
      <c r="M1112" s="225" t="str">
        <f>CONCATENATE("t CO2-eq/ ",IF('[1]Advanced Controls'!$F$169="Implementation",AdoptionUnitOfMeasure,FunctionalUnitOfMeasure))</f>
        <v>t CO2-eq/ kg of protein</v>
      </c>
      <c r="N1112" s="227"/>
      <c r="O1112" s="227" t="s">
        <v>405</v>
      </c>
      <c r="P1112" s="122"/>
      <c r="Q1112" s="228"/>
      <c r="R1112" s="231">
        <f t="shared" si="719"/>
        <v>1.4872132790096811E-2</v>
      </c>
      <c r="S1112" s="230">
        <f t="shared" si="705"/>
        <v>1.4872132790096811E-2</v>
      </c>
      <c r="T1112" s="231">
        <f t="shared" si="729"/>
        <v>0</v>
      </c>
      <c r="U1112" s="232" t="str">
        <f t="shared" si="707"/>
        <v>t CO2-eq/ kg of protein</v>
      </c>
      <c r="V1112" s="28"/>
      <c r="W1112" s="28"/>
      <c r="Y1112" s="91"/>
      <c r="AO1112" s="91"/>
      <c r="AP1112" s="28"/>
      <c r="AQ1112" s="28"/>
      <c r="AR1112" s="233" t="str">
        <f t="shared" si="717"/>
        <v>t CO2-eq/ kg of protein</v>
      </c>
      <c r="AS1112" s="28"/>
      <c r="AT1112" s="304" t="str">
        <f t="shared" si="718"/>
        <v/>
      </c>
      <c r="AU1112" s="304" t="str">
        <f t="shared" si="718"/>
        <v/>
      </c>
      <c r="AV1112" s="28"/>
      <c r="AW1112" s="304" t="str">
        <f t="shared" si="720"/>
        <v/>
      </c>
      <c r="AX1112" s="304" t="str">
        <f t="shared" si="720"/>
        <v/>
      </c>
      <c r="AY1112" s="28"/>
      <c r="AZ1112" s="304" t="str">
        <f t="shared" si="721"/>
        <v/>
      </c>
      <c r="BA1112" s="304" t="str">
        <f t="shared" si="721"/>
        <v/>
      </c>
      <c r="BB1112" s="28"/>
      <c r="BC1112" s="304" t="str">
        <f t="shared" si="722"/>
        <v/>
      </c>
      <c r="BD1112" s="304" t="str">
        <f t="shared" si="722"/>
        <v/>
      </c>
      <c r="BE1112" s="28"/>
      <c r="BF1112" s="304">
        <f t="shared" si="723"/>
        <v>1.4872132790096811E-2</v>
      </c>
      <c r="BG1112" s="304">
        <f t="shared" si="723"/>
        <v>1.4872132790096811E-2</v>
      </c>
      <c r="BH1112" s="28"/>
      <c r="BI1112" s="304" t="str">
        <f t="shared" si="724"/>
        <v/>
      </c>
      <c r="BJ1112" s="304" t="str">
        <f t="shared" si="724"/>
        <v/>
      </c>
      <c r="BK1112" s="28"/>
      <c r="BL1112" s="304" t="str">
        <f t="shared" si="725"/>
        <v/>
      </c>
      <c r="BM1112" s="304" t="str">
        <f t="shared" si="725"/>
        <v/>
      </c>
      <c r="BN1112" s="28"/>
      <c r="BO1112" s="304" t="str">
        <f t="shared" si="726"/>
        <v/>
      </c>
      <c r="BP1112" s="304" t="str">
        <f t="shared" si="726"/>
        <v/>
      </c>
      <c r="BQ1112" s="28"/>
      <c r="BR1112" s="304" t="str">
        <f t="shared" si="727"/>
        <v/>
      </c>
      <c r="BS1112" s="304" t="str">
        <f t="shared" si="727"/>
        <v/>
      </c>
      <c r="BT1112" s="28"/>
      <c r="BU1112" s="304" t="str">
        <f t="shared" si="728"/>
        <v/>
      </c>
      <c r="BV1112" s="304" t="str">
        <f t="shared" si="728"/>
        <v/>
      </c>
      <c r="BW1112" s="28"/>
      <c r="BX1112" s="91"/>
    </row>
    <row r="1113" spans="1:76" s="55" customFormat="1" x14ac:dyDescent="0.25">
      <c r="A1113" s="359">
        <v>50</v>
      </c>
      <c r="B1113" s="216" t="str">
        <f t="shared" si="704"/>
        <v>OECD90: FAO. 2017. Global Livestock Environmental Assessment Model (GLEAM)</v>
      </c>
      <c r="C1113" s="219" t="s">
        <v>227</v>
      </c>
      <c r="D1113" s="219" t="s">
        <v>410</v>
      </c>
      <c r="E1113" s="219" t="s">
        <v>96</v>
      </c>
      <c r="F1113" s="373" t="s">
        <v>179</v>
      </c>
      <c r="G1113" s="220" t="s">
        <v>26</v>
      </c>
      <c r="H1113" s="221">
        <v>2010</v>
      </c>
      <c r="I1113" s="372"/>
      <c r="J1113" s="227">
        <v>28913607677.607018</v>
      </c>
      <c r="K1113" s="226" t="s">
        <v>688</v>
      </c>
      <c r="L1113" s="334">
        <f>J1113/[1]GHGsources!$F$19*0.001</f>
        <v>1.4085390372467402E-2</v>
      </c>
      <c r="M1113" s="225" t="str">
        <f>CONCATENATE("t CO2-eq/ ",IF('[1]Advanced Controls'!$F$169="Implementation",AdoptionUnitOfMeasure,FunctionalUnitOfMeasure))</f>
        <v>t CO2-eq/ kg of protein</v>
      </c>
      <c r="N1113" s="227"/>
      <c r="O1113" s="227" t="s">
        <v>405</v>
      </c>
      <c r="P1113" s="122"/>
      <c r="Q1113" s="228"/>
      <c r="R1113" s="231">
        <f t="shared" si="719"/>
        <v>1.4085390372467402E-2</v>
      </c>
      <c r="S1113" s="230">
        <f t="shared" si="705"/>
        <v>1.4085390372467402E-2</v>
      </c>
      <c r="T1113" s="231">
        <f t="shared" si="729"/>
        <v>0</v>
      </c>
      <c r="U1113" s="232" t="str">
        <f t="shared" si="707"/>
        <v>t CO2-eq/ kg of protein</v>
      </c>
      <c r="V1113" s="28"/>
      <c r="W1113" s="28"/>
      <c r="Y1113" s="91"/>
      <c r="AO1113" s="91"/>
      <c r="AP1113" s="28"/>
      <c r="AQ1113" s="28"/>
      <c r="AR1113" s="233" t="str">
        <f t="shared" si="717"/>
        <v>t CO2-eq/ kg of protein</v>
      </c>
      <c r="AS1113" s="28"/>
      <c r="AT1113" s="304" t="str">
        <f t="shared" si="718"/>
        <v/>
      </c>
      <c r="AU1113" s="304" t="str">
        <f t="shared" si="718"/>
        <v/>
      </c>
      <c r="AV1113" s="28"/>
      <c r="AW1113" s="304">
        <f t="shared" si="720"/>
        <v>1.4085390372467402E-2</v>
      </c>
      <c r="AX1113" s="304">
        <f t="shared" si="720"/>
        <v>1.4085390372467402E-2</v>
      </c>
      <c r="AY1113" s="28"/>
      <c r="AZ1113" s="304" t="str">
        <f t="shared" si="721"/>
        <v/>
      </c>
      <c r="BA1113" s="304" t="str">
        <f t="shared" si="721"/>
        <v/>
      </c>
      <c r="BB1113" s="28"/>
      <c r="BC1113" s="304" t="str">
        <f t="shared" si="722"/>
        <v/>
      </c>
      <c r="BD1113" s="304" t="str">
        <f t="shared" si="722"/>
        <v/>
      </c>
      <c r="BE1113" s="28"/>
      <c r="BF1113" s="304" t="str">
        <f t="shared" si="723"/>
        <v/>
      </c>
      <c r="BG1113" s="304" t="str">
        <f t="shared" si="723"/>
        <v/>
      </c>
      <c r="BH1113" s="28"/>
      <c r="BI1113" s="304" t="str">
        <f t="shared" si="724"/>
        <v/>
      </c>
      <c r="BJ1113" s="304" t="str">
        <f t="shared" si="724"/>
        <v/>
      </c>
      <c r="BK1113" s="28"/>
      <c r="BL1113" s="304" t="str">
        <f t="shared" si="725"/>
        <v/>
      </c>
      <c r="BM1113" s="304" t="str">
        <f t="shared" si="725"/>
        <v/>
      </c>
      <c r="BN1113" s="28"/>
      <c r="BO1113" s="304" t="str">
        <f t="shared" si="726"/>
        <v/>
      </c>
      <c r="BP1113" s="304" t="str">
        <f t="shared" si="726"/>
        <v/>
      </c>
      <c r="BQ1113" s="28"/>
      <c r="BR1113" s="304" t="str">
        <f t="shared" si="727"/>
        <v/>
      </c>
      <c r="BS1113" s="304" t="str">
        <f t="shared" si="727"/>
        <v/>
      </c>
      <c r="BT1113" s="28"/>
      <c r="BU1113" s="304" t="str">
        <f t="shared" si="728"/>
        <v/>
      </c>
      <c r="BV1113" s="304" t="str">
        <f t="shared" si="728"/>
        <v/>
      </c>
      <c r="BW1113" s="28"/>
      <c r="BX1113" s="91"/>
    </row>
    <row r="1114" spans="1:76" s="55" customFormat="1" x14ac:dyDescent="0.25">
      <c r="A1114" s="359">
        <v>51</v>
      </c>
      <c r="B1114" s="216" t="str">
        <f t="shared" si="704"/>
        <v>OECD90: FAO. 2017. Global Livestock Environmental Assessment Model (GLEAM)</v>
      </c>
      <c r="C1114" s="219" t="s">
        <v>227</v>
      </c>
      <c r="D1114" s="219" t="s">
        <v>411</v>
      </c>
      <c r="E1114" s="219" t="s">
        <v>96</v>
      </c>
      <c r="F1114" s="373" t="s">
        <v>185</v>
      </c>
      <c r="G1114" s="220" t="s">
        <v>26</v>
      </c>
      <c r="H1114" s="221">
        <v>2010</v>
      </c>
      <c r="I1114" s="372"/>
      <c r="J1114" s="227">
        <v>8342726342.0918274</v>
      </c>
      <c r="K1114" s="226" t="s">
        <v>688</v>
      </c>
      <c r="L1114" s="337">
        <f>J1114/[1]GHGsources!$F$20*0.001</f>
        <v>2.1709158413060634E-2</v>
      </c>
      <c r="M1114" s="225" t="str">
        <f>CONCATENATE("t CO2-eq/ ",IF('[1]Advanced Controls'!$F$169="Implementation",AdoptionUnitOfMeasure,FunctionalUnitOfMeasure))</f>
        <v>t CO2-eq/ kg of protein</v>
      </c>
      <c r="N1114" s="227"/>
      <c r="O1114" s="227" t="s">
        <v>405</v>
      </c>
      <c r="P1114" s="122"/>
      <c r="Q1114" s="228"/>
      <c r="R1114" s="231">
        <f t="shared" si="719"/>
        <v>2.1709158413060634E-2</v>
      </c>
      <c r="S1114" s="230">
        <f t="shared" si="705"/>
        <v>2.1709158413060634E-2</v>
      </c>
      <c r="T1114" s="231">
        <f t="shared" si="729"/>
        <v>0</v>
      </c>
      <c r="U1114" s="232" t="str">
        <f t="shared" si="707"/>
        <v>t CO2-eq/ kg of protein</v>
      </c>
      <c r="V1114" s="28"/>
      <c r="W1114" s="28"/>
      <c r="Y1114" s="91"/>
      <c r="AO1114" s="91"/>
      <c r="AP1114" s="28"/>
      <c r="AQ1114" s="28"/>
      <c r="AR1114" s="233" t="str">
        <f t="shared" si="717"/>
        <v>t CO2-eq/ kg of protein</v>
      </c>
      <c r="AS1114" s="28"/>
      <c r="AT1114" s="304" t="str">
        <f t="shared" si="718"/>
        <v/>
      </c>
      <c r="AU1114" s="304" t="str">
        <f t="shared" si="718"/>
        <v/>
      </c>
      <c r="AV1114" s="28"/>
      <c r="AW1114" s="304">
        <f t="shared" si="720"/>
        <v>2.1709158413060634E-2</v>
      </c>
      <c r="AX1114" s="304">
        <f t="shared" si="720"/>
        <v>2.1709158413060634E-2</v>
      </c>
      <c r="AY1114" s="28"/>
      <c r="AZ1114" s="304" t="str">
        <f t="shared" si="721"/>
        <v/>
      </c>
      <c r="BA1114" s="304" t="str">
        <f t="shared" si="721"/>
        <v/>
      </c>
      <c r="BB1114" s="28"/>
      <c r="BC1114" s="304" t="str">
        <f t="shared" si="722"/>
        <v/>
      </c>
      <c r="BD1114" s="304" t="str">
        <f t="shared" si="722"/>
        <v/>
      </c>
      <c r="BE1114" s="28"/>
      <c r="BF1114" s="304" t="str">
        <f t="shared" si="723"/>
        <v/>
      </c>
      <c r="BG1114" s="304" t="str">
        <f t="shared" si="723"/>
        <v/>
      </c>
      <c r="BH1114" s="28"/>
      <c r="BI1114" s="304" t="str">
        <f t="shared" si="724"/>
        <v/>
      </c>
      <c r="BJ1114" s="304" t="str">
        <f t="shared" si="724"/>
        <v/>
      </c>
      <c r="BK1114" s="28"/>
      <c r="BL1114" s="304" t="str">
        <f t="shared" si="725"/>
        <v/>
      </c>
      <c r="BM1114" s="304" t="str">
        <f t="shared" si="725"/>
        <v/>
      </c>
      <c r="BN1114" s="28"/>
      <c r="BO1114" s="304" t="str">
        <f t="shared" si="726"/>
        <v/>
      </c>
      <c r="BP1114" s="304" t="str">
        <f t="shared" si="726"/>
        <v/>
      </c>
      <c r="BQ1114" s="28"/>
      <c r="BR1114" s="304" t="str">
        <f t="shared" si="727"/>
        <v/>
      </c>
      <c r="BS1114" s="304" t="str">
        <f t="shared" si="727"/>
        <v/>
      </c>
      <c r="BT1114" s="28"/>
      <c r="BU1114" s="304" t="str">
        <f t="shared" si="728"/>
        <v/>
      </c>
      <c r="BV1114" s="304" t="str">
        <f t="shared" si="728"/>
        <v/>
      </c>
      <c r="BW1114" s="28"/>
      <c r="BX1114" s="91"/>
    </row>
    <row r="1115" spans="1:76" s="55" customFormat="1" x14ac:dyDescent="0.25">
      <c r="A1115" s="359">
        <v>52</v>
      </c>
      <c r="B1115" s="216" t="str">
        <f t="shared" si="704"/>
        <v>Eastern Europe: FAO. 2017. Global Livestock Environmental Assessment Model (GLEAM)</v>
      </c>
      <c r="C1115" s="219" t="s">
        <v>227</v>
      </c>
      <c r="D1115" s="219" t="s">
        <v>412</v>
      </c>
      <c r="E1115" s="219" t="s">
        <v>97</v>
      </c>
      <c r="F1115" s="373" t="s">
        <v>384</v>
      </c>
      <c r="G1115" s="220" t="s">
        <v>26</v>
      </c>
      <c r="H1115" s="221">
        <v>2010</v>
      </c>
      <c r="I1115" s="372"/>
      <c r="J1115" s="227">
        <v>6760542266.0691128</v>
      </c>
      <c r="K1115" s="226" t="s">
        <v>688</v>
      </c>
      <c r="L1115" s="334">
        <f>J1115/[1]GHGsources!$F$21*0.001</f>
        <v>2.6954043949652905E-2</v>
      </c>
      <c r="M1115" s="225" t="str">
        <f>CONCATENATE("t CO2-eq/ ",IF('[1]Advanced Controls'!$F$169="Implementation",AdoptionUnitOfMeasure,FunctionalUnitOfMeasure))</f>
        <v>t CO2-eq/ kg of protein</v>
      </c>
      <c r="N1115" s="227"/>
      <c r="O1115" s="227" t="s">
        <v>405</v>
      </c>
      <c r="P1115" s="122"/>
      <c r="Q1115" s="228"/>
      <c r="R1115" s="231">
        <f t="shared" si="719"/>
        <v>2.6954043949652905E-2</v>
      </c>
      <c r="S1115" s="230">
        <f t="shared" si="705"/>
        <v>2.6954043949652905E-2</v>
      </c>
      <c r="T1115" s="231">
        <f t="shared" si="729"/>
        <v>0</v>
      </c>
      <c r="U1115" s="232" t="str">
        <f t="shared" si="707"/>
        <v>t CO2-eq/ kg of protein</v>
      </c>
      <c r="V1115" s="28"/>
      <c r="W1115" s="28"/>
      <c r="Y1115" s="91"/>
      <c r="AO1115" s="91"/>
      <c r="AP1115" s="28"/>
      <c r="AQ1115" s="28"/>
      <c r="AR1115" s="233" t="str">
        <f t="shared" si="717"/>
        <v>t CO2-eq/ kg of protein</v>
      </c>
      <c r="AS1115" s="28"/>
      <c r="AT1115" s="304" t="str">
        <f t="shared" si="718"/>
        <v/>
      </c>
      <c r="AU1115" s="304" t="str">
        <f t="shared" si="718"/>
        <v/>
      </c>
      <c r="AV1115" s="28"/>
      <c r="AW1115" s="304" t="str">
        <f t="shared" si="720"/>
        <v/>
      </c>
      <c r="AX1115" s="304" t="str">
        <f t="shared" si="720"/>
        <v/>
      </c>
      <c r="AY1115" s="28"/>
      <c r="AZ1115" s="304">
        <f t="shared" si="721"/>
        <v>2.6954043949652905E-2</v>
      </c>
      <c r="BA1115" s="304">
        <f t="shared" si="721"/>
        <v>2.6954043949652905E-2</v>
      </c>
      <c r="BB1115" s="28"/>
      <c r="BC1115" s="304" t="str">
        <f t="shared" si="722"/>
        <v/>
      </c>
      <c r="BD1115" s="304" t="str">
        <f t="shared" si="722"/>
        <v/>
      </c>
      <c r="BE1115" s="28"/>
      <c r="BF1115" s="304" t="str">
        <f t="shared" si="723"/>
        <v/>
      </c>
      <c r="BG1115" s="304" t="str">
        <f t="shared" si="723"/>
        <v/>
      </c>
      <c r="BH1115" s="28"/>
      <c r="BI1115" s="304" t="str">
        <f t="shared" si="724"/>
        <v/>
      </c>
      <c r="BJ1115" s="304" t="str">
        <f t="shared" si="724"/>
        <v/>
      </c>
      <c r="BK1115" s="28"/>
      <c r="BL1115" s="304" t="str">
        <f t="shared" si="725"/>
        <v/>
      </c>
      <c r="BM1115" s="304" t="str">
        <f t="shared" si="725"/>
        <v/>
      </c>
      <c r="BN1115" s="28"/>
      <c r="BO1115" s="304" t="str">
        <f t="shared" si="726"/>
        <v/>
      </c>
      <c r="BP1115" s="304" t="str">
        <f t="shared" si="726"/>
        <v/>
      </c>
      <c r="BQ1115" s="28"/>
      <c r="BR1115" s="304" t="str">
        <f t="shared" si="727"/>
        <v/>
      </c>
      <c r="BS1115" s="304" t="str">
        <f t="shared" si="727"/>
        <v/>
      </c>
      <c r="BT1115" s="28"/>
      <c r="BU1115" s="304" t="str">
        <f t="shared" si="728"/>
        <v/>
      </c>
      <c r="BV1115" s="304" t="str">
        <f t="shared" si="728"/>
        <v/>
      </c>
      <c r="BW1115" s="28"/>
      <c r="BX1115" s="91"/>
    </row>
    <row r="1116" spans="1:76" s="55" customFormat="1" x14ac:dyDescent="0.25">
      <c r="A1116" s="359">
        <v>53</v>
      </c>
      <c r="B1116" s="216" t="str">
        <f t="shared" si="704"/>
        <v>Asia (Sans Japan): FAO. 2017. Global Livestock Environmental Assessment Model (GLEAM)</v>
      </c>
      <c r="C1116" s="219" t="s">
        <v>227</v>
      </c>
      <c r="D1116" s="219" t="s">
        <v>413</v>
      </c>
      <c r="E1116" s="219" t="s">
        <v>98</v>
      </c>
      <c r="F1116" s="373" t="s">
        <v>386</v>
      </c>
      <c r="G1116" s="220" t="s">
        <v>26</v>
      </c>
      <c r="H1116" s="221">
        <v>2010</v>
      </c>
      <c r="I1116" s="372"/>
      <c r="J1116" s="227">
        <v>47190425797.073845</v>
      </c>
      <c r="K1116" s="226" t="s">
        <v>688</v>
      </c>
      <c r="L1116" s="334">
        <f>J1116/[1]GHGsources!$F$22*0.001</f>
        <v>6.8697897952797432E-2</v>
      </c>
      <c r="M1116" s="225" t="str">
        <f>CONCATENATE("t CO2-eq/ ",IF('[1]Advanced Controls'!$F$169="Implementation",AdoptionUnitOfMeasure,FunctionalUnitOfMeasure))</f>
        <v>t CO2-eq/ kg of protein</v>
      </c>
      <c r="N1116" s="227"/>
      <c r="O1116" s="227" t="s">
        <v>405</v>
      </c>
      <c r="P1116" s="122"/>
      <c r="Q1116" s="228"/>
      <c r="R1116" s="231">
        <f t="shared" si="719"/>
        <v>6.8697897952797432E-2</v>
      </c>
      <c r="S1116" s="230">
        <f t="shared" si="705"/>
        <v>6.8697897952797432E-2</v>
      </c>
      <c r="T1116" s="231">
        <f t="shared" si="729"/>
        <v>0</v>
      </c>
      <c r="U1116" s="232" t="str">
        <f t="shared" si="707"/>
        <v>t CO2-eq/ kg of protein</v>
      </c>
      <c r="V1116" s="28"/>
      <c r="W1116" s="28"/>
      <c r="Y1116" s="91"/>
      <c r="AO1116" s="91"/>
      <c r="AP1116" s="28"/>
      <c r="AQ1116" s="28"/>
      <c r="AR1116" s="233" t="str">
        <f t="shared" si="717"/>
        <v>t CO2-eq/ kg of protein</v>
      </c>
      <c r="AS1116" s="28"/>
      <c r="AT1116" s="304" t="str">
        <f t="shared" si="718"/>
        <v/>
      </c>
      <c r="AU1116" s="304" t="str">
        <f t="shared" si="718"/>
        <v/>
      </c>
      <c r="AV1116" s="28"/>
      <c r="AW1116" s="304" t="str">
        <f t="shared" si="720"/>
        <v/>
      </c>
      <c r="AX1116" s="304" t="str">
        <f t="shared" si="720"/>
        <v/>
      </c>
      <c r="AY1116" s="28"/>
      <c r="AZ1116" s="304" t="str">
        <f t="shared" si="721"/>
        <v/>
      </c>
      <c r="BA1116" s="304" t="str">
        <f t="shared" si="721"/>
        <v/>
      </c>
      <c r="BB1116" s="28"/>
      <c r="BC1116" s="304">
        <f t="shared" si="722"/>
        <v>6.8697897952797432E-2</v>
      </c>
      <c r="BD1116" s="304">
        <f t="shared" si="722"/>
        <v>6.8697897952797432E-2</v>
      </c>
      <c r="BE1116" s="28"/>
      <c r="BF1116" s="304" t="str">
        <f t="shared" si="723"/>
        <v/>
      </c>
      <c r="BG1116" s="304" t="str">
        <f t="shared" si="723"/>
        <v/>
      </c>
      <c r="BH1116" s="28"/>
      <c r="BI1116" s="304" t="str">
        <f t="shared" si="724"/>
        <v/>
      </c>
      <c r="BJ1116" s="304" t="str">
        <f t="shared" si="724"/>
        <v/>
      </c>
      <c r="BK1116" s="28"/>
      <c r="BL1116" s="304" t="str">
        <f t="shared" si="725"/>
        <v/>
      </c>
      <c r="BM1116" s="304" t="str">
        <f t="shared" si="725"/>
        <v/>
      </c>
      <c r="BN1116" s="28"/>
      <c r="BO1116" s="304" t="str">
        <f t="shared" si="726"/>
        <v/>
      </c>
      <c r="BP1116" s="304" t="str">
        <f t="shared" si="726"/>
        <v/>
      </c>
      <c r="BQ1116" s="28"/>
      <c r="BR1116" s="304" t="str">
        <f t="shared" si="727"/>
        <v/>
      </c>
      <c r="BS1116" s="304" t="str">
        <f t="shared" si="727"/>
        <v/>
      </c>
      <c r="BT1116" s="28"/>
      <c r="BU1116" s="304" t="str">
        <f t="shared" si="728"/>
        <v/>
      </c>
      <c r="BV1116" s="304" t="str">
        <f t="shared" si="728"/>
        <v/>
      </c>
      <c r="BW1116" s="28"/>
      <c r="BX1116" s="91"/>
    </row>
    <row r="1117" spans="1:76" s="55" customFormat="1" x14ac:dyDescent="0.25">
      <c r="A1117" s="359">
        <v>54</v>
      </c>
      <c r="B1117" s="216" t="str">
        <f t="shared" si="704"/>
        <v>Middle East and Africa: FAO. 2017. Global Livestock Environmental Assessment Model (GLEAM)</v>
      </c>
      <c r="C1117" s="219" t="s">
        <v>227</v>
      </c>
      <c r="D1117" s="219" t="s">
        <v>414</v>
      </c>
      <c r="E1117" s="219" t="s">
        <v>99</v>
      </c>
      <c r="F1117" s="373" t="s">
        <v>388</v>
      </c>
      <c r="G1117" s="220" t="s">
        <v>26</v>
      </c>
      <c r="H1117" s="221">
        <v>2010</v>
      </c>
      <c r="I1117" s="372"/>
      <c r="J1117" s="227">
        <v>2712678975.2651649</v>
      </c>
      <c r="K1117" s="226" t="s">
        <v>688</v>
      </c>
      <c r="L1117" s="334">
        <f>J1117/[1]GHGsources!$F$23*0.001</f>
        <v>5.9391703261918475E-3</v>
      </c>
      <c r="M1117" s="225" t="str">
        <f>CONCATENATE("t CO2-eq/ ",IF('[1]Advanced Controls'!$F$169="Implementation",AdoptionUnitOfMeasure,FunctionalUnitOfMeasure))</f>
        <v>t CO2-eq/ kg of protein</v>
      </c>
      <c r="N1117" s="227"/>
      <c r="O1117" s="227" t="s">
        <v>405</v>
      </c>
      <c r="P1117" s="122"/>
      <c r="Q1117" s="228"/>
      <c r="R1117" s="231">
        <f t="shared" si="719"/>
        <v>5.9391703261918475E-3</v>
      </c>
      <c r="S1117" s="230">
        <f t="shared" si="705"/>
        <v>5.9391703261918475E-3</v>
      </c>
      <c r="T1117" s="231">
        <f t="shared" si="729"/>
        <v>0</v>
      </c>
      <c r="U1117" s="232" t="str">
        <f t="shared" si="707"/>
        <v>t CO2-eq/ kg of protein</v>
      </c>
      <c r="V1117" s="28"/>
      <c r="W1117" s="28"/>
      <c r="Y1117" s="91"/>
      <c r="AO1117" s="91"/>
      <c r="AP1117" s="28"/>
      <c r="AQ1117" s="28"/>
      <c r="AR1117" s="233" t="str">
        <f t="shared" si="717"/>
        <v>t CO2-eq/ kg of protein</v>
      </c>
      <c r="AS1117" s="28"/>
      <c r="AT1117" s="304" t="str">
        <f t="shared" si="718"/>
        <v/>
      </c>
      <c r="AU1117" s="304" t="str">
        <f t="shared" si="718"/>
        <v/>
      </c>
      <c r="AV1117" s="28"/>
      <c r="AW1117" s="304" t="str">
        <f t="shared" si="720"/>
        <v/>
      </c>
      <c r="AX1117" s="304" t="str">
        <f t="shared" si="720"/>
        <v/>
      </c>
      <c r="AY1117" s="28"/>
      <c r="AZ1117" s="304" t="str">
        <f t="shared" si="721"/>
        <v/>
      </c>
      <c r="BA1117" s="304" t="str">
        <f t="shared" si="721"/>
        <v/>
      </c>
      <c r="BB1117" s="28"/>
      <c r="BC1117" s="304" t="str">
        <f t="shared" si="722"/>
        <v/>
      </c>
      <c r="BD1117" s="304" t="str">
        <f t="shared" si="722"/>
        <v/>
      </c>
      <c r="BE1117" s="28"/>
      <c r="BF1117" s="304">
        <f t="shared" si="723"/>
        <v>5.9391703261918475E-3</v>
      </c>
      <c r="BG1117" s="304">
        <f t="shared" si="723"/>
        <v>5.9391703261918475E-3</v>
      </c>
      <c r="BH1117" s="28"/>
      <c r="BI1117" s="304" t="str">
        <f t="shared" si="724"/>
        <v/>
      </c>
      <c r="BJ1117" s="304" t="str">
        <f t="shared" si="724"/>
        <v/>
      </c>
      <c r="BK1117" s="28"/>
      <c r="BL1117" s="304" t="str">
        <f t="shared" si="725"/>
        <v/>
      </c>
      <c r="BM1117" s="304" t="str">
        <f t="shared" si="725"/>
        <v/>
      </c>
      <c r="BN1117" s="28"/>
      <c r="BO1117" s="304" t="str">
        <f t="shared" si="726"/>
        <v/>
      </c>
      <c r="BP1117" s="304" t="str">
        <f t="shared" si="726"/>
        <v/>
      </c>
      <c r="BQ1117" s="28"/>
      <c r="BR1117" s="304" t="str">
        <f t="shared" si="727"/>
        <v/>
      </c>
      <c r="BS1117" s="304" t="str">
        <f t="shared" si="727"/>
        <v/>
      </c>
      <c r="BT1117" s="28"/>
      <c r="BU1117" s="304" t="str">
        <f t="shared" si="728"/>
        <v/>
      </c>
      <c r="BV1117" s="304" t="str">
        <f t="shared" si="728"/>
        <v/>
      </c>
      <c r="BW1117" s="28"/>
      <c r="BX1117" s="91"/>
    </row>
    <row r="1118" spans="1:76" s="55" customFormat="1" x14ac:dyDescent="0.25">
      <c r="A1118" s="359">
        <v>55</v>
      </c>
      <c r="B1118" s="216" t="str">
        <f t="shared" si="704"/>
        <v>OECD90: FAO. 2017. Global Livestock Environmental Assessment Model (GLEAM)</v>
      </c>
      <c r="C1118" s="219" t="s">
        <v>227</v>
      </c>
      <c r="D1118" s="219" t="s">
        <v>415</v>
      </c>
      <c r="E1118" s="219" t="s">
        <v>96</v>
      </c>
      <c r="F1118" s="373" t="s">
        <v>176</v>
      </c>
      <c r="G1118" s="220" t="s">
        <v>26</v>
      </c>
      <c r="H1118" s="221">
        <v>2010</v>
      </c>
      <c r="I1118" s="372"/>
      <c r="J1118" s="227">
        <v>30933676096.763988</v>
      </c>
      <c r="K1118" s="226" t="s">
        <v>688</v>
      </c>
      <c r="L1118" s="334">
        <f>J1118/[1]GHGsources!$F$24*0.001</f>
        <v>2.6406243615469942E-2</v>
      </c>
      <c r="M1118" s="225" t="str">
        <f>CONCATENATE("t CO2-eq/ ",IF('[1]Advanced Controls'!$F$169="Implementation",AdoptionUnitOfMeasure,FunctionalUnitOfMeasure))</f>
        <v>t CO2-eq/ kg of protein</v>
      </c>
      <c r="N1118" s="227"/>
      <c r="O1118" s="227" t="s">
        <v>405</v>
      </c>
      <c r="P1118" s="122"/>
      <c r="Q1118" s="228"/>
      <c r="R1118" s="231">
        <f t="shared" si="719"/>
        <v>2.6406243615469942E-2</v>
      </c>
      <c r="S1118" s="230">
        <f t="shared" si="705"/>
        <v>2.6406243615469942E-2</v>
      </c>
      <c r="T1118" s="231">
        <f t="shared" si="729"/>
        <v>0</v>
      </c>
      <c r="U1118" s="232" t="str">
        <f t="shared" si="707"/>
        <v>t CO2-eq/ kg of protein</v>
      </c>
      <c r="V1118" s="28"/>
      <c r="W1118" s="28"/>
      <c r="Y1118" s="91"/>
      <c r="AO1118" s="91"/>
      <c r="AP1118" s="28"/>
      <c r="AQ1118" s="28"/>
      <c r="AR1118" s="233" t="str">
        <f t="shared" si="717"/>
        <v>t CO2-eq/ kg of protein</v>
      </c>
      <c r="AS1118" s="28"/>
      <c r="AT1118" s="304" t="str">
        <f t="shared" si="718"/>
        <v/>
      </c>
      <c r="AU1118" s="304" t="str">
        <f t="shared" si="718"/>
        <v/>
      </c>
      <c r="AV1118" s="28"/>
      <c r="AW1118" s="304">
        <f t="shared" si="720"/>
        <v>2.6406243615469942E-2</v>
      </c>
      <c r="AX1118" s="304">
        <f t="shared" si="720"/>
        <v>2.6406243615469942E-2</v>
      </c>
      <c r="AY1118" s="28"/>
      <c r="AZ1118" s="304" t="str">
        <f t="shared" si="721"/>
        <v/>
      </c>
      <c r="BA1118" s="304" t="str">
        <f t="shared" si="721"/>
        <v/>
      </c>
      <c r="BB1118" s="28"/>
      <c r="BC1118" s="304" t="str">
        <f t="shared" si="722"/>
        <v/>
      </c>
      <c r="BD1118" s="304" t="str">
        <f t="shared" si="722"/>
        <v/>
      </c>
      <c r="BE1118" s="28"/>
      <c r="BF1118" s="304" t="str">
        <f t="shared" si="723"/>
        <v/>
      </c>
      <c r="BG1118" s="304" t="str">
        <f t="shared" si="723"/>
        <v/>
      </c>
      <c r="BH1118" s="28"/>
      <c r="BI1118" s="304" t="str">
        <f t="shared" si="724"/>
        <v/>
      </c>
      <c r="BJ1118" s="304" t="str">
        <f t="shared" si="724"/>
        <v/>
      </c>
      <c r="BK1118" s="28"/>
      <c r="BL1118" s="304" t="str">
        <f t="shared" si="725"/>
        <v/>
      </c>
      <c r="BM1118" s="304" t="str">
        <f t="shared" si="725"/>
        <v/>
      </c>
      <c r="BN1118" s="28"/>
      <c r="BO1118" s="304" t="str">
        <f t="shared" si="726"/>
        <v/>
      </c>
      <c r="BP1118" s="304" t="str">
        <f t="shared" si="726"/>
        <v/>
      </c>
      <c r="BQ1118" s="28"/>
      <c r="BR1118" s="304" t="str">
        <f t="shared" si="727"/>
        <v/>
      </c>
      <c r="BS1118" s="304" t="str">
        <f t="shared" si="727"/>
        <v/>
      </c>
      <c r="BT1118" s="28"/>
      <c r="BU1118" s="304" t="str">
        <f t="shared" si="728"/>
        <v/>
      </c>
      <c r="BV1118" s="304" t="str">
        <f t="shared" si="728"/>
        <v/>
      </c>
      <c r="BW1118" s="28"/>
      <c r="BX1118" s="91"/>
    </row>
    <row r="1119" spans="1:76" s="55" customFormat="1" x14ac:dyDescent="0.25">
      <c r="A1119" s="359">
        <v>56</v>
      </c>
      <c r="B1119" s="216" t="str">
        <f t="shared" si="704"/>
        <v>World: FAO. 2017. Global Livestock Environmental Assessment Model (GLEAM)</v>
      </c>
      <c r="C1119" s="219" t="s">
        <v>227</v>
      </c>
      <c r="D1119" s="219" t="s">
        <v>416</v>
      </c>
      <c r="E1119" s="219" t="s">
        <v>95</v>
      </c>
      <c r="F1119" s="371" t="s">
        <v>371</v>
      </c>
      <c r="G1119" s="220" t="s">
        <v>26</v>
      </c>
      <c r="H1119" s="221">
        <v>2010</v>
      </c>
      <c r="I1119" s="372"/>
      <c r="J1119" s="227">
        <v>29153218432.755577</v>
      </c>
      <c r="K1119" s="226" t="s">
        <v>688</v>
      </c>
      <c r="L1119" s="334">
        <f>J1119/[1]GHGsources!$G$14*0.001</f>
        <v>1.9195358345387874E-2</v>
      </c>
      <c r="M1119" s="225" t="str">
        <f>CONCATENATE("t CO2-eq/ ",IF('[1]Advanced Controls'!$F$169="Implementation",AdoptionUnitOfMeasure,FunctionalUnitOfMeasure))</f>
        <v>t CO2-eq/ kg of protein</v>
      </c>
      <c r="N1119" s="227"/>
      <c r="O1119" s="227" t="s">
        <v>417</v>
      </c>
      <c r="P1119" s="122"/>
      <c r="Q1119" s="228"/>
      <c r="R1119" s="231">
        <f t="shared" si="719"/>
        <v>1.9195358345387874E-2</v>
      </c>
      <c r="S1119" s="230">
        <f t="shared" si="705"/>
        <v>1.9195358345387874E-2</v>
      </c>
      <c r="T1119" s="231">
        <f t="shared" si="729"/>
        <v>0</v>
      </c>
      <c r="U1119" s="232" t="str">
        <f t="shared" si="707"/>
        <v>t CO2-eq/ kg of protein</v>
      </c>
      <c r="V1119" s="28"/>
      <c r="W1119" s="28"/>
      <c r="Y1119" s="91"/>
      <c r="AO1119" s="91"/>
      <c r="AP1119" s="28"/>
      <c r="AQ1119" s="28"/>
      <c r="AR1119" s="233" t="str">
        <f t="shared" si="717"/>
        <v>t CO2-eq/ kg of protein</v>
      </c>
      <c r="AS1119" s="28"/>
      <c r="AT1119" s="304">
        <f t="shared" si="718"/>
        <v>1.9195358345387874E-2</v>
      </c>
      <c r="AU1119" s="304">
        <f t="shared" si="718"/>
        <v>1.9195358345387874E-2</v>
      </c>
      <c r="AV1119" s="28"/>
      <c r="AW1119" s="304" t="str">
        <f t="shared" si="720"/>
        <v/>
      </c>
      <c r="AX1119" s="304" t="str">
        <f t="shared" si="720"/>
        <v/>
      </c>
      <c r="AY1119" s="28"/>
      <c r="AZ1119" s="304" t="str">
        <f t="shared" si="721"/>
        <v/>
      </c>
      <c r="BA1119" s="304" t="str">
        <f t="shared" si="721"/>
        <v/>
      </c>
      <c r="BB1119" s="28"/>
      <c r="BC1119" s="304" t="str">
        <f t="shared" si="722"/>
        <v/>
      </c>
      <c r="BD1119" s="304" t="str">
        <f t="shared" si="722"/>
        <v/>
      </c>
      <c r="BE1119" s="28"/>
      <c r="BF1119" s="304" t="str">
        <f t="shared" si="723"/>
        <v/>
      </c>
      <c r="BG1119" s="304" t="str">
        <f t="shared" si="723"/>
        <v/>
      </c>
      <c r="BH1119" s="28"/>
      <c r="BI1119" s="304" t="str">
        <f t="shared" si="724"/>
        <v/>
      </c>
      <c r="BJ1119" s="304" t="str">
        <f t="shared" si="724"/>
        <v/>
      </c>
      <c r="BK1119" s="28"/>
      <c r="BL1119" s="304" t="str">
        <f t="shared" si="725"/>
        <v/>
      </c>
      <c r="BM1119" s="304" t="str">
        <f t="shared" si="725"/>
        <v/>
      </c>
      <c r="BN1119" s="28"/>
      <c r="BO1119" s="304" t="str">
        <f t="shared" si="726"/>
        <v/>
      </c>
      <c r="BP1119" s="304" t="str">
        <f t="shared" si="726"/>
        <v/>
      </c>
      <c r="BQ1119" s="28"/>
      <c r="BR1119" s="304" t="str">
        <f t="shared" si="727"/>
        <v/>
      </c>
      <c r="BS1119" s="304" t="str">
        <f t="shared" si="727"/>
        <v/>
      </c>
      <c r="BT1119" s="28"/>
      <c r="BU1119" s="304" t="str">
        <f t="shared" si="728"/>
        <v/>
      </c>
      <c r="BV1119" s="304" t="str">
        <f t="shared" si="728"/>
        <v/>
      </c>
      <c r="BW1119" s="28"/>
      <c r="BX1119" s="91"/>
    </row>
    <row r="1120" spans="1:76" s="55" customFormat="1" x14ac:dyDescent="0.25">
      <c r="A1120" s="359">
        <v>57</v>
      </c>
      <c r="B1120" s="216" t="str">
        <f t="shared" si="704"/>
        <v>Asia (Sans Japan): FAO. 2017. Global Livestock Environmental Assessment Model (GLEAM)</v>
      </c>
      <c r="C1120" s="219" t="s">
        <v>227</v>
      </c>
      <c r="D1120" s="219" t="s">
        <v>418</v>
      </c>
      <c r="E1120" s="219" t="s">
        <v>98</v>
      </c>
      <c r="F1120" s="373" t="s">
        <v>375</v>
      </c>
      <c r="G1120" s="220" t="s">
        <v>26</v>
      </c>
      <c r="H1120" s="221">
        <v>2010</v>
      </c>
      <c r="I1120" s="372"/>
      <c r="J1120" s="227">
        <v>8507628223.9681501</v>
      </c>
      <c r="K1120" s="226" t="s">
        <v>688</v>
      </c>
      <c r="L1120" s="334">
        <f>J1120/[1]GHGsources!$G$15*0.001</f>
        <v>3.4746043213480737E-2</v>
      </c>
      <c r="M1120" s="225" t="str">
        <f>CONCATENATE("t CO2-eq/ ",IF('[1]Advanced Controls'!$F$169="Implementation",AdoptionUnitOfMeasure,FunctionalUnitOfMeasure))</f>
        <v>t CO2-eq/ kg of protein</v>
      </c>
      <c r="N1120" s="227"/>
      <c r="O1120" s="227" t="s">
        <v>417</v>
      </c>
      <c r="P1120" s="122"/>
      <c r="Q1120" s="228"/>
      <c r="R1120" s="231">
        <f t="shared" si="719"/>
        <v>3.4746043213480737E-2</v>
      </c>
      <c r="S1120" s="230">
        <f t="shared" si="705"/>
        <v>3.4746043213480737E-2</v>
      </c>
      <c r="T1120" s="231">
        <f t="shared" si="729"/>
        <v>0</v>
      </c>
      <c r="U1120" s="232" t="str">
        <f t="shared" si="707"/>
        <v>t CO2-eq/ kg of protein</v>
      </c>
      <c r="V1120" s="28"/>
      <c r="W1120" s="28"/>
      <c r="Y1120" s="91"/>
      <c r="AO1120" s="91"/>
      <c r="AP1120" s="28"/>
      <c r="AQ1120" s="28"/>
      <c r="AR1120" s="233" t="str">
        <f t="shared" si="717"/>
        <v>t CO2-eq/ kg of protein</v>
      </c>
      <c r="AS1120" s="28"/>
      <c r="AT1120" s="304" t="str">
        <f t="shared" si="718"/>
        <v/>
      </c>
      <c r="AU1120" s="304" t="str">
        <f t="shared" si="718"/>
        <v/>
      </c>
      <c r="AV1120" s="28"/>
      <c r="AW1120" s="304" t="str">
        <f t="shared" si="720"/>
        <v/>
      </c>
      <c r="AX1120" s="304" t="str">
        <f t="shared" si="720"/>
        <v/>
      </c>
      <c r="AY1120" s="28"/>
      <c r="AZ1120" s="304" t="str">
        <f t="shared" si="721"/>
        <v/>
      </c>
      <c r="BA1120" s="304" t="str">
        <f t="shared" si="721"/>
        <v/>
      </c>
      <c r="BB1120" s="28"/>
      <c r="BC1120" s="304">
        <f t="shared" si="722"/>
        <v>3.4746043213480737E-2</v>
      </c>
      <c r="BD1120" s="304">
        <f t="shared" si="722"/>
        <v>3.4746043213480737E-2</v>
      </c>
      <c r="BE1120" s="28"/>
      <c r="BF1120" s="304" t="str">
        <f t="shared" si="723"/>
        <v/>
      </c>
      <c r="BG1120" s="304" t="str">
        <f t="shared" si="723"/>
        <v/>
      </c>
      <c r="BH1120" s="28"/>
      <c r="BI1120" s="304" t="str">
        <f t="shared" si="724"/>
        <v/>
      </c>
      <c r="BJ1120" s="304" t="str">
        <f t="shared" si="724"/>
        <v/>
      </c>
      <c r="BK1120" s="28"/>
      <c r="BL1120" s="304" t="str">
        <f t="shared" si="725"/>
        <v/>
      </c>
      <c r="BM1120" s="304" t="str">
        <f t="shared" si="725"/>
        <v/>
      </c>
      <c r="BN1120" s="28"/>
      <c r="BO1120" s="304" t="str">
        <f t="shared" si="726"/>
        <v/>
      </c>
      <c r="BP1120" s="304" t="str">
        <f t="shared" si="726"/>
        <v/>
      </c>
      <c r="BQ1120" s="28"/>
      <c r="BR1120" s="304" t="str">
        <f t="shared" si="727"/>
        <v/>
      </c>
      <c r="BS1120" s="304" t="str">
        <f t="shared" si="727"/>
        <v/>
      </c>
      <c r="BT1120" s="28"/>
      <c r="BU1120" s="304" t="str">
        <f t="shared" si="728"/>
        <v/>
      </c>
      <c r="BV1120" s="304" t="str">
        <f t="shared" si="728"/>
        <v/>
      </c>
      <c r="BW1120" s="28"/>
      <c r="BX1120" s="91"/>
    </row>
    <row r="1121" spans="1:76" s="55" customFormat="1" x14ac:dyDescent="0.25">
      <c r="A1121" s="359">
        <v>58</v>
      </c>
      <c r="B1121" s="216" t="str">
        <f t="shared" si="704"/>
        <v>Eastern Europe: FAO. 2017. Global Livestock Environmental Assessment Model (GLEAM)</v>
      </c>
      <c r="C1121" s="219" t="s">
        <v>227</v>
      </c>
      <c r="D1121" s="219" t="s">
        <v>419</v>
      </c>
      <c r="E1121" s="219" t="s">
        <v>97</v>
      </c>
      <c r="F1121" s="373" t="s">
        <v>97</v>
      </c>
      <c r="G1121" s="220" t="s">
        <v>26</v>
      </c>
      <c r="H1121" s="221">
        <v>2010</v>
      </c>
      <c r="I1121" s="372"/>
      <c r="J1121" s="227"/>
      <c r="K1121" s="226" t="s">
        <v>688</v>
      </c>
      <c r="L1121" s="241" t="e">
        <f>J1121/[1]GHGsources!$G$16*0.001</f>
        <v>#DIV/0!</v>
      </c>
      <c r="M1121" s="225" t="str">
        <f>CONCATENATE("t CO2-eq/ ",IF('[1]Advanced Controls'!$F$169="Implementation",AdoptionUnitOfMeasure,FunctionalUnitOfMeasure))</f>
        <v>t CO2-eq/ kg of protein</v>
      </c>
      <c r="N1121" s="227"/>
      <c r="O1121" s="227" t="s">
        <v>417</v>
      </c>
      <c r="P1121" s="122"/>
      <c r="Q1121" s="228" t="s">
        <v>327</v>
      </c>
      <c r="R1121" s="231" t="str">
        <f t="shared" si="719"/>
        <v/>
      </c>
      <c r="S1121" s="230" t="str">
        <f t="shared" si="705"/>
        <v/>
      </c>
      <c r="T1121" s="231" t="str">
        <f t="shared" si="729"/>
        <v/>
      </c>
      <c r="U1121" s="232" t="str">
        <f t="shared" si="707"/>
        <v>t CO2-eq/ kg of protein</v>
      </c>
      <c r="V1121" s="28"/>
      <c r="W1121" s="28"/>
      <c r="Y1121" s="91"/>
      <c r="AO1121" s="91"/>
      <c r="AP1121" s="28"/>
      <c r="AQ1121" s="28"/>
      <c r="AR1121" s="233" t="str">
        <f t="shared" si="717"/>
        <v>t CO2-eq/ kg of protein</v>
      </c>
      <c r="AS1121" s="28"/>
      <c r="AT1121" s="304" t="str">
        <f t="shared" si="718"/>
        <v/>
      </c>
      <c r="AU1121" s="304" t="str">
        <f t="shared" si="718"/>
        <v/>
      </c>
      <c r="AV1121" s="28"/>
      <c r="AW1121" s="304" t="str">
        <f t="shared" si="720"/>
        <v/>
      </c>
      <c r="AX1121" s="304" t="str">
        <f t="shared" si="720"/>
        <v/>
      </c>
      <c r="AY1121" s="28"/>
      <c r="AZ1121" s="304" t="str">
        <f t="shared" si="721"/>
        <v/>
      </c>
      <c r="BA1121" s="304" t="str">
        <f t="shared" si="721"/>
        <v/>
      </c>
      <c r="BB1121" s="28"/>
      <c r="BC1121" s="304" t="str">
        <f t="shared" si="722"/>
        <v/>
      </c>
      <c r="BD1121" s="304" t="str">
        <f t="shared" si="722"/>
        <v/>
      </c>
      <c r="BE1121" s="28"/>
      <c r="BF1121" s="304" t="str">
        <f t="shared" si="723"/>
        <v/>
      </c>
      <c r="BG1121" s="304" t="str">
        <f t="shared" si="723"/>
        <v/>
      </c>
      <c r="BH1121" s="28"/>
      <c r="BI1121" s="304" t="str">
        <f t="shared" si="724"/>
        <v/>
      </c>
      <c r="BJ1121" s="304" t="str">
        <f t="shared" si="724"/>
        <v/>
      </c>
      <c r="BK1121" s="28"/>
      <c r="BL1121" s="304" t="str">
        <f t="shared" si="725"/>
        <v/>
      </c>
      <c r="BM1121" s="304" t="str">
        <f t="shared" si="725"/>
        <v/>
      </c>
      <c r="BN1121" s="28"/>
      <c r="BO1121" s="304" t="str">
        <f t="shared" si="726"/>
        <v/>
      </c>
      <c r="BP1121" s="304" t="str">
        <f t="shared" si="726"/>
        <v/>
      </c>
      <c r="BQ1121" s="28"/>
      <c r="BR1121" s="304" t="str">
        <f t="shared" si="727"/>
        <v/>
      </c>
      <c r="BS1121" s="304" t="str">
        <f t="shared" si="727"/>
        <v/>
      </c>
      <c r="BT1121" s="28"/>
      <c r="BU1121" s="304" t="str">
        <f t="shared" si="728"/>
        <v/>
      </c>
      <c r="BV1121" s="304" t="str">
        <f t="shared" si="728"/>
        <v/>
      </c>
      <c r="BW1121" s="28"/>
      <c r="BX1121" s="91"/>
    </row>
    <row r="1122" spans="1:76" s="55" customFormat="1" x14ac:dyDescent="0.25">
      <c r="A1122" s="359">
        <v>59</v>
      </c>
      <c r="B1122" s="216" t="str">
        <f t="shared" si="704"/>
        <v>Latin America: FAO. 2017. Global Livestock Environmental Assessment Model (GLEAM)</v>
      </c>
      <c r="C1122" s="219" t="s">
        <v>227</v>
      </c>
      <c r="D1122" s="219" t="s">
        <v>420</v>
      </c>
      <c r="E1122" s="219" t="s">
        <v>100</v>
      </c>
      <c r="F1122" s="373" t="s">
        <v>378</v>
      </c>
      <c r="G1122" s="220" t="s">
        <v>26</v>
      </c>
      <c r="H1122" s="221">
        <v>2010</v>
      </c>
      <c r="I1122" s="372"/>
      <c r="J1122" s="227">
        <v>4377233203.5230646</v>
      </c>
      <c r="K1122" s="226" t="s">
        <v>688</v>
      </c>
      <c r="L1122" s="334">
        <f>J1122/[1]GHGsources!$G$17*0.001</f>
        <v>2.757786736406902E-2</v>
      </c>
      <c r="M1122" s="225" t="str">
        <f>CONCATENATE("t CO2-eq/ ",IF('[1]Advanced Controls'!$F$169="Implementation",AdoptionUnitOfMeasure,FunctionalUnitOfMeasure))</f>
        <v>t CO2-eq/ kg of protein</v>
      </c>
      <c r="N1122" s="227"/>
      <c r="O1122" s="227" t="s">
        <v>417</v>
      </c>
      <c r="P1122" s="122"/>
      <c r="Q1122" s="228"/>
      <c r="R1122" s="231">
        <f t="shared" si="719"/>
        <v>2.757786736406902E-2</v>
      </c>
      <c r="S1122" s="230">
        <f t="shared" si="705"/>
        <v>2.757786736406902E-2</v>
      </c>
      <c r="T1122" s="231">
        <f t="shared" si="729"/>
        <v>0</v>
      </c>
      <c r="U1122" s="232" t="str">
        <f t="shared" si="707"/>
        <v>t CO2-eq/ kg of protein</v>
      </c>
      <c r="V1122" s="28"/>
      <c r="W1122" s="28"/>
      <c r="Y1122" s="91"/>
      <c r="AO1122" s="91"/>
      <c r="AP1122" s="28"/>
      <c r="AQ1122" s="28"/>
      <c r="AR1122" s="233" t="str">
        <f t="shared" si="717"/>
        <v>t CO2-eq/ kg of protein</v>
      </c>
      <c r="AS1122" s="28"/>
      <c r="AT1122" s="304" t="str">
        <f t="shared" si="718"/>
        <v/>
      </c>
      <c r="AU1122" s="304" t="str">
        <f t="shared" si="718"/>
        <v/>
      </c>
      <c r="AV1122" s="28"/>
      <c r="AW1122" s="304" t="str">
        <f t="shared" si="720"/>
        <v/>
      </c>
      <c r="AX1122" s="304" t="str">
        <f t="shared" si="720"/>
        <v/>
      </c>
      <c r="AY1122" s="28"/>
      <c r="AZ1122" s="304" t="str">
        <f t="shared" si="721"/>
        <v/>
      </c>
      <c r="BA1122" s="304" t="str">
        <f t="shared" si="721"/>
        <v/>
      </c>
      <c r="BB1122" s="28"/>
      <c r="BC1122" s="304" t="str">
        <f t="shared" si="722"/>
        <v/>
      </c>
      <c r="BD1122" s="304" t="str">
        <f t="shared" si="722"/>
        <v/>
      </c>
      <c r="BE1122" s="28"/>
      <c r="BF1122" s="304" t="str">
        <f t="shared" si="723"/>
        <v/>
      </c>
      <c r="BG1122" s="304" t="str">
        <f t="shared" si="723"/>
        <v/>
      </c>
      <c r="BH1122" s="28"/>
      <c r="BI1122" s="304">
        <f t="shared" si="724"/>
        <v>2.757786736406902E-2</v>
      </c>
      <c r="BJ1122" s="304">
        <f t="shared" si="724"/>
        <v>2.757786736406902E-2</v>
      </c>
      <c r="BK1122" s="28"/>
      <c r="BL1122" s="304" t="str">
        <f t="shared" si="725"/>
        <v/>
      </c>
      <c r="BM1122" s="304" t="str">
        <f t="shared" si="725"/>
        <v/>
      </c>
      <c r="BN1122" s="28"/>
      <c r="BO1122" s="304" t="str">
        <f t="shared" si="726"/>
        <v/>
      </c>
      <c r="BP1122" s="304" t="str">
        <f t="shared" si="726"/>
        <v/>
      </c>
      <c r="BQ1122" s="28"/>
      <c r="BR1122" s="304" t="str">
        <f t="shared" si="727"/>
        <v/>
      </c>
      <c r="BS1122" s="304" t="str">
        <f t="shared" si="727"/>
        <v/>
      </c>
      <c r="BT1122" s="28"/>
      <c r="BU1122" s="304" t="str">
        <f t="shared" si="728"/>
        <v/>
      </c>
      <c r="BV1122" s="304" t="str">
        <f t="shared" si="728"/>
        <v/>
      </c>
      <c r="BW1122" s="28"/>
      <c r="BX1122" s="91"/>
    </row>
    <row r="1123" spans="1:76" s="55" customFormat="1" x14ac:dyDescent="0.25">
      <c r="A1123" s="359">
        <v>60</v>
      </c>
      <c r="B1123" s="216" t="str">
        <f t="shared" si="704"/>
        <v>Middle East and Africa: FAO. 2017. Global Livestock Environmental Assessment Model (GLEAM)</v>
      </c>
      <c r="C1123" s="219" t="s">
        <v>227</v>
      </c>
      <c r="D1123" s="219" t="s">
        <v>421</v>
      </c>
      <c r="E1123" s="219" t="s">
        <v>99</v>
      </c>
      <c r="F1123" s="373" t="s">
        <v>380</v>
      </c>
      <c r="G1123" s="220" t="s">
        <v>26</v>
      </c>
      <c r="H1123" s="221">
        <v>2010</v>
      </c>
      <c r="I1123" s="372"/>
      <c r="J1123" s="227">
        <v>0</v>
      </c>
      <c r="K1123" s="226" t="s">
        <v>688</v>
      </c>
      <c r="L1123" s="241" t="e">
        <f>J1123/[1]GHGsources!$G$18*0.001</f>
        <v>#DIV/0!</v>
      </c>
      <c r="M1123" s="225" t="str">
        <f>CONCATENATE("t CO2-eq/ ",IF('[1]Advanced Controls'!$F$169="Implementation",AdoptionUnitOfMeasure,FunctionalUnitOfMeasure))</f>
        <v>t CO2-eq/ kg of protein</v>
      </c>
      <c r="N1123" s="227"/>
      <c r="O1123" s="227" t="s">
        <v>417</v>
      </c>
      <c r="P1123" s="122"/>
      <c r="Q1123" s="228" t="s">
        <v>327</v>
      </c>
      <c r="R1123" s="231" t="str">
        <f t="shared" si="719"/>
        <v/>
      </c>
      <c r="S1123" s="230" t="str">
        <f t="shared" si="705"/>
        <v/>
      </c>
      <c r="T1123" s="231" t="str">
        <f t="shared" si="729"/>
        <v/>
      </c>
      <c r="U1123" s="232" t="str">
        <f t="shared" si="707"/>
        <v>t CO2-eq/ kg of protein</v>
      </c>
      <c r="V1123" s="28"/>
      <c r="W1123" s="28"/>
      <c r="Y1123" s="91"/>
      <c r="AO1123" s="91"/>
      <c r="AP1123" s="28"/>
      <c r="AQ1123" s="28"/>
      <c r="AR1123" s="233" t="str">
        <f t="shared" si="717"/>
        <v>t CO2-eq/ kg of protein</v>
      </c>
      <c r="AS1123" s="28"/>
      <c r="AT1123" s="304" t="str">
        <f t="shared" si="718"/>
        <v/>
      </c>
      <c r="AU1123" s="304" t="str">
        <f t="shared" si="718"/>
        <v/>
      </c>
      <c r="AV1123" s="28"/>
      <c r="AW1123" s="304" t="str">
        <f t="shared" si="720"/>
        <v/>
      </c>
      <c r="AX1123" s="304" t="str">
        <f t="shared" si="720"/>
        <v/>
      </c>
      <c r="AY1123" s="28"/>
      <c r="AZ1123" s="304" t="str">
        <f t="shared" si="721"/>
        <v/>
      </c>
      <c r="BA1123" s="304" t="str">
        <f t="shared" si="721"/>
        <v/>
      </c>
      <c r="BB1123" s="28"/>
      <c r="BC1123" s="304" t="str">
        <f t="shared" si="722"/>
        <v/>
      </c>
      <c r="BD1123" s="304" t="str">
        <f t="shared" si="722"/>
        <v/>
      </c>
      <c r="BE1123" s="28"/>
      <c r="BF1123" s="304" t="str">
        <f t="shared" si="723"/>
        <v/>
      </c>
      <c r="BG1123" s="304" t="str">
        <f t="shared" si="723"/>
        <v/>
      </c>
      <c r="BH1123" s="28"/>
      <c r="BI1123" s="304" t="str">
        <f t="shared" si="724"/>
        <v/>
      </c>
      <c r="BJ1123" s="304" t="str">
        <f t="shared" si="724"/>
        <v/>
      </c>
      <c r="BK1123" s="28"/>
      <c r="BL1123" s="304" t="str">
        <f t="shared" si="725"/>
        <v/>
      </c>
      <c r="BM1123" s="304" t="str">
        <f t="shared" si="725"/>
        <v/>
      </c>
      <c r="BN1123" s="28"/>
      <c r="BO1123" s="304" t="str">
        <f t="shared" si="726"/>
        <v/>
      </c>
      <c r="BP1123" s="304" t="str">
        <f t="shared" si="726"/>
        <v/>
      </c>
      <c r="BQ1123" s="28"/>
      <c r="BR1123" s="304" t="str">
        <f t="shared" si="727"/>
        <v/>
      </c>
      <c r="BS1123" s="304" t="str">
        <f t="shared" si="727"/>
        <v/>
      </c>
      <c r="BT1123" s="28"/>
      <c r="BU1123" s="304" t="str">
        <f t="shared" si="728"/>
        <v/>
      </c>
      <c r="BV1123" s="304" t="str">
        <f t="shared" si="728"/>
        <v/>
      </c>
      <c r="BW1123" s="28"/>
      <c r="BX1123" s="91"/>
    </row>
    <row r="1124" spans="1:76" s="55" customFormat="1" x14ac:dyDescent="0.25">
      <c r="A1124" s="359">
        <v>61</v>
      </c>
      <c r="B1124" s="216" t="str">
        <f t="shared" si="704"/>
        <v>OECD90: FAO. 2017. Global Livestock Environmental Assessment Model (GLEAM)</v>
      </c>
      <c r="C1124" s="219" t="s">
        <v>227</v>
      </c>
      <c r="D1124" s="219" t="s">
        <v>422</v>
      </c>
      <c r="E1124" s="219" t="s">
        <v>96</v>
      </c>
      <c r="F1124" s="373" t="s">
        <v>179</v>
      </c>
      <c r="G1124" s="220" t="s">
        <v>26</v>
      </c>
      <c r="H1124" s="221">
        <v>2010</v>
      </c>
      <c r="I1124" s="372"/>
      <c r="J1124" s="227">
        <v>14871144697.651146</v>
      </c>
      <c r="K1124" s="226" t="s">
        <v>688</v>
      </c>
      <c r="L1124" s="334">
        <f>J1124/[1]GHGsources!$G$19*0.001</f>
        <v>1.4103737995328108E-2</v>
      </c>
      <c r="M1124" s="225" t="str">
        <f>CONCATENATE("t CO2-eq/ ",IF('[1]Advanced Controls'!$F$169="Implementation",AdoptionUnitOfMeasure,FunctionalUnitOfMeasure))</f>
        <v>t CO2-eq/ kg of protein</v>
      </c>
      <c r="N1124" s="227"/>
      <c r="O1124" s="227" t="s">
        <v>417</v>
      </c>
      <c r="P1124" s="122"/>
      <c r="Q1124" s="228"/>
      <c r="R1124" s="231">
        <f t="shared" si="719"/>
        <v>1.4103737995328108E-2</v>
      </c>
      <c r="S1124" s="230">
        <f t="shared" si="705"/>
        <v>1.4103737995328108E-2</v>
      </c>
      <c r="T1124" s="231">
        <f t="shared" si="729"/>
        <v>0</v>
      </c>
      <c r="U1124" s="232" t="str">
        <f t="shared" si="707"/>
        <v>t CO2-eq/ kg of protein</v>
      </c>
      <c r="V1124" s="28"/>
      <c r="W1124" s="28"/>
      <c r="Y1124" s="91"/>
      <c r="AO1124" s="91"/>
      <c r="AP1124" s="28"/>
      <c r="AQ1124" s="28"/>
      <c r="AR1124" s="233" t="str">
        <f t="shared" si="717"/>
        <v>t CO2-eq/ kg of protein</v>
      </c>
      <c r="AS1124" s="28"/>
      <c r="AT1124" s="304" t="str">
        <f t="shared" si="718"/>
        <v/>
      </c>
      <c r="AU1124" s="304" t="str">
        <f t="shared" si="718"/>
        <v/>
      </c>
      <c r="AV1124" s="28"/>
      <c r="AW1124" s="304">
        <f t="shared" si="720"/>
        <v>1.4103737995328108E-2</v>
      </c>
      <c r="AX1124" s="304">
        <f t="shared" si="720"/>
        <v>1.4103737995328108E-2</v>
      </c>
      <c r="AY1124" s="28"/>
      <c r="AZ1124" s="304" t="str">
        <f t="shared" si="721"/>
        <v/>
      </c>
      <c r="BA1124" s="304" t="str">
        <f t="shared" si="721"/>
        <v/>
      </c>
      <c r="BB1124" s="28"/>
      <c r="BC1124" s="304" t="str">
        <f t="shared" si="722"/>
        <v/>
      </c>
      <c r="BD1124" s="304" t="str">
        <f t="shared" si="722"/>
        <v/>
      </c>
      <c r="BE1124" s="28"/>
      <c r="BF1124" s="304" t="str">
        <f t="shared" si="723"/>
        <v/>
      </c>
      <c r="BG1124" s="304" t="str">
        <f t="shared" si="723"/>
        <v/>
      </c>
      <c r="BH1124" s="28"/>
      <c r="BI1124" s="304" t="str">
        <f t="shared" si="724"/>
        <v/>
      </c>
      <c r="BJ1124" s="304" t="str">
        <f t="shared" si="724"/>
        <v/>
      </c>
      <c r="BK1124" s="28"/>
      <c r="BL1124" s="304" t="str">
        <f t="shared" si="725"/>
        <v/>
      </c>
      <c r="BM1124" s="304" t="str">
        <f t="shared" si="725"/>
        <v/>
      </c>
      <c r="BN1124" s="28"/>
      <c r="BO1124" s="304" t="str">
        <f t="shared" si="726"/>
        <v/>
      </c>
      <c r="BP1124" s="304" t="str">
        <f t="shared" si="726"/>
        <v/>
      </c>
      <c r="BQ1124" s="28"/>
      <c r="BR1124" s="304" t="str">
        <f t="shared" si="727"/>
        <v/>
      </c>
      <c r="BS1124" s="304" t="str">
        <f t="shared" si="727"/>
        <v/>
      </c>
      <c r="BT1124" s="28"/>
      <c r="BU1124" s="304" t="str">
        <f t="shared" si="728"/>
        <v/>
      </c>
      <c r="BV1124" s="304" t="str">
        <f t="shared" si="728"/>
        <v/>
      </c>
      <c r="BW1124" s="28"/>
      <c r="BX1124" s="91"/>
    </row>
    <row r="1125" spans="1:76" s="55" customFormat="1" x14ac:dyDescent="0.25">
      <c r="A1125" s="359">
        <v>62</v>
      </c>
      <c r="B1125" s="216" t="str">
        <f t="shared" si="704"/>
        <v>OECD90: FAO. 2017. Global Livestock Environmental Assessment Model (GLEAM)</v>
      </c>
      <c r="C1125" s="219" t="s">
        <v>227</v>
      </c>
      <c r="D1125" s="219" t="s">
        <v>423</v>
      </c>
      <c r="E1125" s="219" t="s">
        <v>96</v>
      </c>
      <c r="F1125" s="373" t="s">
        <v>185</v>
      </c>
      <c r="G1125" s="220" t="s">
        <v>26</v>
      </c>
      <c r="H1125" s="221">
        <v>2010</v>
      </c>
      <c r="I1125" s="374"/>
      <c r="J1125" s="227">
        <v>833854254.57054567</v>
      </c>
      <c r="K1125" s="226" t="s">
        <v>688</v>
      </c>
      <c r="L1125" s="337">
        <f>J1125/[1]GHGsources!$G$20*0.001</f>
        <v>2.1262554466288993E-2</v>
      </c>
      <c r="M1125" s="225" t="str">
        <f>CONCATENATE("t CO2-eq/ ",IF('[1]Advanced Controls'!$F$169="Implementation",AdoptionUnitOfMeasure,FunctionalUnitOfMeasure))</f>
        <v>t CO2-eq/ kg of protein</v>
      </c>
      <c r="N1125" s="227"/>
      <c r="O1125" s="227" t="s">
        <v>417</v>
      </c>
      <c r="P1125" s="122"/>
      <c r="Q1125" s="228"/>
      <c r="R1125" s="231">
        <f t="shared" si="719"/>
        <v>2.1262554466288993E-2</v>
      </c>
      <c r="S1125" s="230">
        <f t="shared" si="705"/>
        <v>2.1262554466288993E-2</v>
      </c>
      <c r="T1125" s="231">
        <f t="shared" si="729"/>
        <v>0</v>
      </c>
      <c r="U1125" s="232" t="str">
        <f t="shared" si="707"/>
        <v>t CO2-eq/ kg of protein</v>
      </c>
      <c r="V1125" s="28"/>
      <c r="W1125" s="28"/>
      <c r="Y1125" s="91"/>
      <c r="AO1125" s="91"/>
      <c r="AP1125" s="28"/>
      <c r="AQ1125" s="28"/>
      <c r="AR1125" s="233" t="str">
        <f t="shared" si="717"/>
        <v>t CO2-eq/ kg of protein</v>
      </c>
      <c r="AS1125" s="28"/>
      <c r="AT1125" s="304" t="str">
        <f t="shared" si="718"/>
        <v/>
      </c>
      <c r="AU1125" s="304" t="str">
        <f t="shared" si="718"/>
        <v/>
      </c>
      <c r="AV1125" s="28"/>
      <c r="AW1125" s="304">
        <f t="shared" si="720"/>
        <v>2.1262554466288993E-2</v>
      </c>
      <c r="AX1125" s="304">
        <f t="shared" si="720"/>
        <v>2.1262554466288993E-2</v>
      </c>
      <c r="AY1125" s="28"/>
      <c r="AZ1125" s="304" t="str">
        <f t="shared" si="721"/>
        <v/>
      </c>
      <c r="BA1125" s="304" t="str">
        <f t="shared" si="721"/>
        <v/>
      </c>
      <c r="BB1125" s="28"/>
      <c r="BC1125" s="304" t="str">
        <f t="shared" si="722"/>
        <v/>
      </c>
      <c r="BD1125" s="304" t="str">
        <f t="shared" si="722"/>
        <v/>
      </c>
      <c r="BE1125" s="28"/>
      <c r="BF1125" s="304" t="str">
        <f t="shared" si="723"/>
        <v/>
      </c>
      <c r="BG1125" s="304" t="str">
        <f t="shared" si="723"/>
        <v/>
      </c>
      <c r="BH1125" s="28"/>
      <c r="BI1125" s="304" t="str">
        <f t="shared" si="724"/>
        <v/>
      </c>
      <c r="BJ1125" s="304" t="str">
        <f t="shared" si="724"/>
        <v/>
      </c>
      <c r="BK1125" s="28"/>
      <c r="BL1125" s="304" t="str">
        <f t="shared" si="725"/>
        <v/>
      </c>
      <c r="BM1125" s="304" t="str">
        <f t="shared" si="725"/>
        <v/>
      </c>
      <c r="BN1125" s="28"/>
      <c r="BO1125" s="304" t="str">
        <f t="shared" si="726"/>
        <v/>
      </c>
      <c r="BP1125" s="304" t="str">
        <f t="shared" si="726"/>
        <v/>
      </c>
      <c r="BQ1125" s="28"/>
      <c r="BR1125" s="304" t="str">
        <f t="shared" si="727"/>
        <v/>
      </c>
      <c r="BS1125" s="304" t="str">
        <f t="shared" si="727"/>
        <v/>
      </c>
      <c r="BT1125" s="28"/>
      <c r="BU1125" s="304" t="str">
        <f t="shared" si="728"/>
        <v/>
      </c>
      <c r="BV1125" s="304" t="str">
        <f t="shared" si="728"/>
        <v/>
      </c>
      <c r="BW1125" s="28"/>
      <c r="BX1125" s="91"/>
    </row>
    <row r="1126" spans="1:76" s="55" customFormat="1" x14ac:dyDescent="0.25">
      <c r="A1126" s="359">
        <v>63</v>
      </c>
      <c r="B1126" s="216" t="str">
        <f t="shared" si="704"/>
        <v>Eastern Europe: FAO. 2017. Global Livestock Environmental Assessment Model (GLEAM)</v>
      </c>
      <c r="C1126" s="219" t="s">
        <v>227</v>
      </c>
      <c r="D1126" s="219" t="s">
        <v>424</v>
      </c>
      <c r="E1126" s="219" t="s">
        <v>97</v>
      </c>
      <c r="F1126" s="373" t="s">
        <v>384</v>
      </c>
      <c r="G1126" s="220" t="s">
        <v>26</v>
      </c>
      <c r="H1126" s="221">
        <v>2010</v>
      </c>
      <c r="I1126" s="374"/>
      <c r="J1126" s="227"/>
      <c r="K1126" s="226" t="s">
        <v>688</v>
      </c>
      <c r="L1126" s="241" t="e">
        <f>J1126/[1]GHGsources!$G$21*0.001</f>
        <v>#DIV/0!</v>
      </c>
      <c r="M1126" s="225" t="str">
        <f>CONCATENATE("t CO2-eq/ ",IF('[1]Advanced Controls'!$F$169="Implementation",AdoptionUnitOfMeasure,FunctionalUnitOfMeasure))</f>
        <v>t CO2-eq/ kg of protein</v>
      </c>
      <c r="N1126" s="227"/>
      <c r="O1126" s="227" t="s">
        <v>417</v>
      </c>
      <c r="P1126" s="122"/>
      <c r="Q1126" s="228" t="s">
        <v>327</v>
      </c>
      <c r="R1126" s="231" t="str">
        <f t="shared" si="719"/>
        <v/>
      </c>
      <c r="S1126" s="230" t="str">
        <f t="shared" si="705"/>
        <v/>
      </c>
      <c r="T1126" s="231" t="str">
        <f t="shared" si="729"/>
        <v/>
      </c>
      <c r="U1126" s="232" t="str">
        <f t="shared" si="707"/>
        <v>t CO2-eq/ kg of protein</v>
      </c>
      <c r="V1126" s="28"/>
      <c r="W1126" s="28"/>
      <c r="Y1126" s="91"/>
      <c r="AO1126" s="91"/>
      <c r="AP1126" s="28"/>
      <c r="AQ1126" s="28"/>
      <c r="AR1126" s="233" t="str">
        <f t="shared" si="717"/>
        <v>t CO2-eq/ kg of protein</v>
      </c>
      <c r="AS1126" s="28"/>
      <c r="AT1126" s="304" t="str">
        <f t="shared" si="718"/>
        <v/>
      </c>
      <c r="AU1126" s="304" t="str">
        <f t="shared" si="718"/>
        <v/>
      </c>
      <c r="AV1126" s="28"/>
      <c r="AW1126" s="304" t="str">
        <f t="shared" si="720"/>
        <v/>
      </c>
      <c r="AX1126" s="304" t="str">
        <f t="shared" si="720"/>
        <v/>
      </c>
      <c r="AY1126" s="28"/>
      <c r="AZ1126" s="304" t="str">
        <f t="shared" si="721"/>
        <v/>
      </c>
      <c r="BA1126" s="304" t="str">
        <f t="shared" si="721"/>
        <v/>
      </c>
      <c r="BB1126" s="28"/>
      <c r="BC1126" s="304" t="str">
        <f t="shared" si="722"/>
        <v/>
      </c>
      <c r="BD1126" s="304" t="str">
        <f t="shared" si="722"/>
        <v/>
      </c>
      <c r="BE1126" s="28"/>
      <c r="BF1126" s="304" t="str">
        <f t="shared" si="723"/>
        <v/>
      </c>
      <c r="BG1126" s="304" t="str">
        <f t="shared" si="723"/>
        <v/>
      </c>
      <c r="BH1126" s="28"/>
      <c r="BI1126" s="304" t="str">
        <f t="shared" si="724"/>
        <v/>
      </c>
      <c r="BJ1126" s="304" t="str">
        <f t="shared" si="724"/>
        <v/>
      </c>
      <c r="BK1126" s="28"/>
      <c r="BL1126" s="304" t="str">
        <f t="shared" si="725"/>
        <v/>
      </c>
      <c r="BM1126" s="304" t="str">
        <f t="shared" si="725"/>
        <v/>
      </c>
      <c r="BN1126" s="28"/>
      <c r="BO1126" s="304" t="str">
        <f t="shared" si="726"/>
        <v/>
      </c>
      <c r="BP1126" s="304" t="str">
        <f t="shared" si="726"/>
        <v/>
      </c>
      <c r="BQ1126" s="28"/>
      <c r="BR1126" s="304" t="str">
        <f t="shared" si="727"/>
        <v/>
      </c>
      <c r="BS1126" s="304" t="str">
        <f t="shared" si="727"/>
        <v/>
      </c>
      <c r="BT1126" s="28"/>
      <c r="BU1126" s="304" t="str">
        <f t="shared" si="728"/>
        <v/>
      </c>
      <c r="BV1126" s="304" t="str">
        <f t="shared" si="728"/>
        <v/>
      </c>
      <c r="BW1126" s="28"/>
      <c r="BX1126" s="91"/>
    </row>
    <row r="1127" spans="1:76" s="55" customFormat="1" x14ac:dyDescent="0.25">
      <c r="A1127" s="359">
        <v>64</v>
      </c>
      <c r="B1127" s="216" t="str">
        <f t="shared" si="704"/>
        <v>Asia (Sans Japan): FAO. 2017. Global Livestock Environmental Assessment Model (GLEAM)</v>
      </c>
      <c r="C1127" s="219" t="s">
        <v>227</v>
      </c>
      <c r="D1127" s="219" t="s">
        <v>425</v>
      </c>
      <c r="E1127" s="219" t="s">
        <v>98</v>
      </c>
      <c r="F1127" s="373" t="s">
        <v>386</v>
      </c>
      <c r="G1127" s="220" t="s">
        <v>26</v>
      </c>
      <c r="H1127" s="221">
        <v>2010</v>
      </c>
      <c r="I1127" s="374"/>
      <c r="J1127" s="227"/>
      <c r="K1127" s="226" t="s">
        <v>688</v>
      </c>
      <c r="L1127" s="241" t="e">
        <f>J1127/[1]GHGsources!$G$22*0.001</f>
        <v>#DIV/0!</v>
      </c>
      <c r="M1127" s="225" t="str">
        <f>CONCATENATE("t CO2-eq/ ",IF('[1]Advanced Controls'!$F$169="Implementation",AdoptionUnitOfMeasure,FunctionalUnitOfMeasure))</f>
        <v>t CO2-eq/ kg of protein</v>
      </c>
      <c r="N1127" s="227"/>
      <c r="O1127" s="227" t="s">
        <v>417</v>
      </c>
      <c r="P1127" s="122"/>
      <c r="Q1127" s="228" t="s">
        <v>327</v>
      </c>
      <c r="R1127" s="231" t="str">
        <f t="shared" si="719"/>
        <v/>
      </c>
      <c r="S1127" s="230" t="str">
        <f t="shared" si="705"/>
        <v/>
      </c>
      <c r="T1127" s="231" t="str">
        <f t="shared" si="729"/>
        <v/>
      </c>
      <c r="U1127" s="232" t="str">
        <f t="shared" si="707"/>
        <v>t CO2-eq/ kg of protein</v>
      </c>
      <c r="V1127" s="28"/>
      <c r="W1127" s="28"/>
      <c r="Y1127" s="91"/>
      <c r="AO1127" s="91"/>
      <c r="AP1127" s="28"/>
      <c r="AQ1127" s="28"/>
      <c r="AR1127" s="233" t="str">
        <f t="shared" si="717"/>
        <v>t CO2-eq/ kg of protein</v>
      </c>
      <c r="AS1127" s="28"/>
      <c r="AT1127" s="304" t="str">
        <f t="shared" si="718"/>
        <v/>
      </c>
      <c r="AU1127" s="304" t="str">
        <f t="shared" si="718"/>
        <v/>
      </c>
      <c r="AV1127" s="28"/>
      <c r="AW1127" s="304" t="str">
        <f t="shared" si="720"/>
        <v/>
      </c>
      <c r="AX1127" s="304" t="str">
        <f t="shared" si="720"/>
        <v/>
      </c>
      <c r="AY1127" s="28"/>
      <c r="AZ1127" s="304" t="str">
        <f t="shared" si="721"/>
        <v/>
      </c>
      <c r="BA1127" s="304" t="str">
        <f t="shared" si="721"/>
        <v/>
      </c>
      <c r="BB1127" s="28"/>
      <c r="BC1127" s="304" t="str">
        <f t="shared" si="722"/>
        <v/>
      </c>
      <c r="BD1127" s="304" t="str">
        <f t="shared" si="722"/>
        <v/>
      </c>
      <c r="BE1127" s="28"/>
      <c r="BF1127" s="304" t="str">
        <f t="shared" si="723"/>
        <v/>
      </c>
      <c r="BG1127" s="304" t="str">
        <f t="shared" si="723"/>
        <v/>
      </c>
      <c r="BH1127" s="28"/>
      <c r="BI1127" s="304" t="str">
        <f t="shared" si="724"/>
        <v/>
      </c>
      <c r="BJ1127" s="304" t="str">
        <f t="shared" si="724"/>
        <v/>
      </c>
      <c r="BK1127" s="28"/>
      <c r="BL1127" s="304" t="str">
        <f t="shared" si="725"/>
        <v/>
      </c>
      <c r="BM1127" s="304" t="str">
        <f t="shared" si="725"/>
        <v/>
      </c>
      <c r="BN1127" s="28"/>
      <c r="BO1127" s="304" t="str">
        <f t="shared" si="726"/>
        <v/>
      </c>
      <c r="BP1127" s="304" t="str">
        <f t="shared" si="726"/>
        <v/>
      </c>
      <c r="BQ1127" s="28"/>
      <c r="BR1127" s="304" t="str">
        <f t="shared" si="727"/>
        <v/>
      </c>
      <c r="BS1127" s="304" t="str">
        <f t="shared" si="727"/>
        <v/>
      </c>
      <c r="BT1127" s="28"/>
      <c r="BU1127" s="304" t="str">
        <f t="shared" si="728"/>
        <v/>
      </c>
      <c r="BV1127" s="304" t="str">
        <f t="shared" si="728"/>
        <v/>
      </c>
      <c r="BW1127" s="28"/>
      <c r="BX1127" s="91"/>
    </row>
    <row r="1128" spans="1:76" s="55" customFormat="1" x14ac:dyDescent="0.25">
      <c r="A1128" s="359">
        <v>65</v>
      </c>
      <c r="B1128" s="216" t="str">
        <f t="shared" ref="B1128:B1191" si="730">CONCATENATE(E1128,": ",C1128)</f>
        <v>Middle East and Africa: FAO. 2017. Global Livestock Environmental Assessment Model (GLEAM)</v>
      </c>
      <c r="C1128" s="219" t="s">
        <v>227</v>
      </c>
      <c r="D1128" s="219" t="s">
        <v>426</v>
      </c>
      <c r="E1128" s="219" t="s">
        <v>99</v>
      </c>
      <c r="F1128" s="373" t="s">
        <v>388</v>
      </c>
      <c r="G1128" s="220" t="s">
        <v>26</v>
      </c>
      <c r="H1128" s="221">
        <v>2010</v>
      </c>
      <c r="I1128" s="374"/>
      <c r="J1128" s="227">
        <v>412188308.48000044</v>
      </c>
      <c r="K1128" s="226" t="s">
        <v>688</v>
      </c>
      <c r="L1128" s="334">
        <f>J1128/[1]GHGsources!$G$23*0.001</f>
        <v>2.6110237601882951E-2</v>
      </c>
      <c r="M1128" s="225" t="str">
        <f>CONCATENATE("t CO2-eq/ ",IF('[1]Advanced Controls'!$F$169="Implementation",AdoptionUnitOfMeasure,FunctionalUnitOfMeasure))</f>
        <v>t CO2-eq/ kg of protein</v>
      </c>
      <c r="N1128" s="227"/>
      <c r="O1128" s="227" t="s">
        <v>417</v>
      </c>
      <c r="P1128" s="122"/>
      <c r="Q1128" s="228"/>
      <c r="R1128" s="231">
        <f t="shared" si="719"/>
        <v>2.6110237601882951E-2</v>
      </c>
      <c r="S1128" s="230">
        <f t="shared" ref="S1128:S1191" si="731">IF(R1128="","",IF($R$1218="Y",T1128,IF(R1128&gt;=$R$1210-$AA$35*$R$1214,IF(R1128&lt;=$R$1210+$AA$35*$R$1214,R1128,""),"")))</f>
        <v>2.6110237601882951E-2</v>
      </c>
      <c r="T1128" s="231">
        <f t="shared" si="729"/>
        <v>0</v>
      </c>
      <c r="U1128" s="232" t="str">
        <f t="shared" ref="U1128:U1191" si="732">IF(AND(M1128="",K1128=""),"",IF(M1128="",K1128,M1128))</f>
        <v>t CO2-eq/ kg of protein</v>
      </c>
      <c r="V1128" s="28"/>
      <c r="W1128" s="28"/>
      <c r="Y1128" s="91"/>
      <c r="AO1128" s="91"/>
      <c r="AP1128" s="28"/>
      <c r="AQ1128" s="28"/>
      <c r="AR1128" s="233" t="str">
        <f t="shared" si="717"/>
        <v>t CO2-eq/ kg of protein</v>
      </c>
      <c r="AS1128" s="28"/>
      <c r="AT1128" s="304" t="str">
        <f t="shared" si="718"/>
        <v/>
      </c>
      <c r="AU1128" s="304" t="str">
        <f t="shared" si="718"/>
        <v/>
      </c>
      <c r="AV1128" s="28"/>
      <c r="AW1128" s="304" t="str">
        <f t="shared" si="720"/>
        <v/>
      </c>
      <c r="AX1128" s="304" t="str">
        <f t="shared" si="720"/>
        <v/>
      </c>
      <c r="AY1128" s="28"/>
      <c r="AZ1128" s="304" t="str">
        <f t="shared" si="721"/>
        <v/>
      </c>
      <c r="BA1128" s="304" t="str">
        <f t="shared" si="721"/>
        <v/>
      </c>
      <c r="BB1128" s="28"/>
      <c r="BC1128" s="304" t="str">
        <f t="shared" si="722"/>
        <v/>
      </c>
      <c r="BD1128" s="304" t="str">
        <f t="shared" si="722"/>
        <v/>
      </c>
      <c r="BE1128" s="28"/>
      <c r="BF1128" s="304">
        <f t="shared" si="723"/>
        <v>2.6110237601882951E-2</v>
      </c>
      <c r="BG1128" s="304">
        <f t="shared" si="723"/>
        <v>2.6110237601882951E-2</v>
      </c>
      <c r="BH1128" s="28"/>
      <c r="BI1128" s="304" t="str">
        <f t="shared" si="724"/>
        <v/>
      </c>
      <c r="BJ1128" s="304" t="str">
        <f t="shared" si="724"/>
        <v/>
      </c>
      <c r="BK1128" s="28"/>
      <c r="BL1128" s="304" t="str">
        <f t="shared" si="725"/>
        <v/>
      </c>
      <c r="BM1128" s="304" t="str">
        <f t="shared" si="725"/>
        <v/>
      </c>
      <c r="BN1128" s="28"/>
      <c r="BO1128" s="304" t="str">
        <f t="shared" si="726"/>
        <v/>
      </c>
      <c r="BP1128" s="304" t="str">
        <f t="shared" si="726"/>
        <v/>
      </c>
      <c r="BQ1128" s="28"/>
      <c r="BR1128" s="304" t="str">
        <f t="shared" si="727"/>
        <v/>
      </c>
      <c r="BS1128" s="304" t="str">
        <f t="shared" si="727"/>
        <v/>
      </c>
      <c r="BT1128" s="28"/>
      <c r="BU1128" s="304" t="str">
        <f t="shared" si="728"/>
        <v/>
      </c>
      <c r="BV1128" s="304" t="str">
        <f t="shared" si="728"/>
        <v/>
      </c>
      <c r="BW1128" s="28"/>
      <c r="BX1128" s="91"/>
    </row>
    <row r="1129" spans="1:76" s="55" customFormat="1" x14ac:dyDescent="0.25">
      <c r="A1129" s="359">
        <v>66</v>
      </c>
      <c r="B1129" s="216" t="str">
        <f t="shared" si="730"/>
        <v>OECD90: FAO. 2017. Global Livestock Environmental Assessment Model (GLEAM)</v>
      </c>
      <c r="C1129" s="219" t="s">
        <v>227</v>
      </c>
      <c r="D1129" s="219" t="s">
        <v>427</v>
      </c>
      <c r="E1129" s="219" t="s">
        <v>96</v>
      </c>
      <c r="F1129" s="373" t="s">
        <v>176</v>
      </c>
      <c r="G1129" s="220" t="s">
        <v>26</v>
      </c>
      <c r="H1129" s="221">
        <v>2010</v>
      </c>
      <c r="I1129" s="374"/>
      <c r="J1129" s="227">
        <v>151169744.56266868</v>
      </c>
      <c r="K1129" s="226" t="s">
        <v>688</v>
      </c>
      <c r="L1129" s="334">
        <f>J1129/[1]GHGsources!$G$24*0.001</f>
        <v>2.6178928065926622E-2</v>
      </c>
      <c r="M1129" s="225" t="str">
        <f>CONCATENATE("t CO2-eq/ ",IF('[1]Advanced Controls'!$F$169="Implementation",AdoptionUnitOfMeasure,FunctionalUnitOfMeasure))</f>
        <v>t CO2-eq/ kg of protein</v>
      </c>
      <c r="N1129" s="227"/>
      <c r="O1129" s="227" t="s">
        <v>417</v>
      </c>
      <c r="P1129" s="122"/>
      <c r="Q1129" s="228"/>
      <c r="R1129" s="231">
        <f t="shared" si="719"/>
        <v>2.6178928065926622E-2</v>
      </c>
      <c r="S1129" s="230">
        <f t="shared" si="731"/>
        <v>2.6178928065926622E-2</v>
      </c>
      <c r="T1129" s="231" t="str">
        <f t="shared" si="729"/>
        <v/>
      </c>
      <c r="U1129" s="232" t="str">
        <f t="shared" si="732"/>
        <v>t CO2-eq/ kg of protein</v>
      </c>
      <c r="V1129" s="28"/>
      <c r="W1129" s="28"/>
      <c r="Y1129" s="91"/>
      <c r="AO1129" s="91"/>
      <c r="AP1129" s="28"/>
      <c r="AQ1129" s="28"/>
      <c r="AR1129" s="233" t="str">
        <f t="shared" ref="AR1129:AR1209" si="733">$U1129</f>
        <v>t CO2-eq/ kg of protein</v>
      </c>
      <c r="AS1129" s="28"/>
      <c r="AT1129" s="304" t="str">
        <f t="shared" ref="AT1129:AU1144" si="734">IF($E1129=$AT$47,R1129,"")</f>
        <v/>
      </c>
      <c r="AU1129" s="304" t="str">
        <f t="shared" si="734"/>
        <v/>
      </c>
      <c r="AV1129" s="28"/>
      <c r="AW1129" s="304">
        <f t="shared" si="720"/>
        <v>2.6178928065926622E-2</v>
      </c>
      <c r="AX1129" s="304">
        <f t="shared" si="720"/>
        <v>2.6178928065926622E-2</v>
      </c>
      <c r="AY1129" s="28"/>
      <c r="AZ1129" s="304" t="str">
        <f t="shared" si="721"/>
        <v/>
      </c>
      <c r="BA1129" s="304" t="str">
        <f t="shared" si="721"/>
        <v/>
      </c>
      <c r="BB1129" s="28"/>
      <c r="BC1129" s="304" t="str">
        <f t="shared" si="722"/>
        <v/>
      </c>
      <c r="BD1129" s="304" t="str">
        <f t="shared" si="722"/>
        <v/>
      </c>
      <c r="BE1129" s="28"/>
      <c r="BF1129" s="304" t="str">
        <f t="shared" si="723"/>
        <v/>
      </c>
      <c r="BG1129" s="304" t="str">
        <f t="shared" si="723"/>
        <v/>
      </c>
      <c r="BH1129" s="28"/>
      <c r="BI1129" s="304" t="str">
        <f t="shared" si="724"/>
        <v/>
      </c>
      <c r="BJ1129" s="304" t="str">
        <f t="shared" si="724"/>
        <v/>
      </c>
      <c r="BK1129" s="28"/>
      <c r="BL1129" s="304" t="str">
        <f t="shared" si="725"/>
        <v/>
      </c>
      <c r="BM1129" s="304" t="str">
        <f t="shared" si="725"/>
        <v/>
      </c>
      <c r="BN1129" s="28"/>
      <c r="BO1129" s="304" t="str">
        <f t="shared" si="726"/>
        <v/>
      </c>
      <c r="BP1129" s="304" t="str">
        <f t="shared" si="726"/>
        <v/>
      </c>
      <c r="BQ1129" s="28"/>
      <c r="BR1129" s="304" t="str">
        <f t="shared" si="727"/>
        <v/>
      </c>
      <c r="BS1129" s="304" t="str">
        <f t="shared" si="727"/>
        <v/>
      </c>
      <c r="BT1129" s="28"/>
      <c r="BU1129" s="304" t="str">
        <f t="shared" si="728"/>
        <v/>
      </c>
      <c r="BV1129" s="304" t="str">
        <f t="shared" si="728"/>
        <v/>
      </c>
      <c r="BW1129" s="28"/>
      <c r="BX1129" s="91"/>
    </row>
    <row r="1130" spans="1:76" s="55" customFormat="1" x14ac:dyDescent="0.25">
      <c r="A1130" s="359">
        <v>67</v>
      </c>
      <c r="B1130" s="216" t="str">
        <f t="shared" si="730"/>
        <v>World: FAO. 2017. Global Livestock Environmental Assessment Model (GLEAM)</v>
      </c>
      <c r="C1130" s="219" t="s">
        <v>227</v>
      </c>
      <c r="D1130" s="219" t="s">
        <v>428</v>
      </c>
      <c r="E1130" s="219" t="s">
        <v>95</v>
      </c>
      <c r="F1130" s="371" t="s">
        <v>371</v>
      </c>
      <c r="G1130" s="220" t="s">
        <v>26</v>
      </c>
      <c r="H1130" s="221">
        <v>2010</v>
      </c>
      <c r="I1130" s="374"/>
      <c r="J1130" s="227">
        <v>469944829714.4436</v>
      </c>
      <c r="K1130" s="226" t="s">
        <v>688</v>
      </c>
      <c r="L1130" s="334">
        <f>J1130/[1]GHGsources!$H$14*0.001</f>
        <v>0.13831994955667337</v>
      </c>
      <c r="M1130" s="225" t="str">
        <f>CONCATENATE("t CO2-eq/ ",IF('[1]Advanced Controls'!$F$169="Implementation",AdoptionUnitOfMeasure,FunctionalUnitOfMeasure))</f>
        <v>t CO2-eq/ kg of protein</v>
      </c>
      <c r="N1130" s="227"/>
      <c r="O1130" s="227" t="s">
        <v>429</v>
      </c>
      <c r="P1130" s="122"/>
      <c r="Q1130" s="228"/>
      <c r="R1130" s="231">
        <f t="shared" ref="R1130:R1193" si="735">IF(Q1130="Y","",IF(AND(L1130="",J1130=""),"",IF(L1130="",J1130,L1130)))</f>
        <v>0.13831994955667337</v>
      </c>
      <c r="S1130" s="230">
        <f t="shared" si="731"/>
        <v>0.13831994955667337</v>
      </c>
      <c r="T1130" s="231">
        <f t="shared" si="729"/>
        <v>0</v>
      </c>
      <c r="U1130" s="232" t="str">
        <f t="shared" si="732"/>
        <v>t CO2-eq/ kg of protein</v>
      </c>
      <c r="V1130" s="28"/>
      <c r="W1130" s="28"/>
      <c r="Y1130" s="91"/>
      <c r="AO1130" s="91"/>
      <c r="AP1130" s="28"/>
      <c r="AQ1130" s="28"/>
      <c r="AR1130" s="233" t="str">
        <f t="shared" si="733"/>
        <v>t CO2-eq/ kg of protein</v>
      </c>
      <c r="AS1130" s="28"/>
      <c r="AT1130" s="304">
        <f t="shared" si="734"/>
        <v>0.13831994955667337</v>
      </c>
      <c r="AU1130" s="304">
        <f t="shared" si="734"/>
        <v>0.13831994955667337</v>
      </c>
      <c r="AV1130" s="28"/>
      <c r="AW1130" s="304" t="str">
        <f t="shared" si="720"/>
        <v/>
      </c>
      <c r="AX1130" s="304" t="str">
        <f t="shared" si="720"/>
        <v/>
      </c>
      <c r="AY1130" s="28"/>
      <c r="AZ1130" s="304" t="str">
        <f t="shared" si="721"/>
        <v/>
      </c>
      <c r="BA1130" s="304" t="str">
        <f t="shared" si="721"/>
        <v/>
      </c>
      <c r="BB1130" s="28"/>
      <c r="BC1130" s="304" t="str">
        <f t="shared" si="722"/>
        <v/>
      </c>
      <c r="BD1130" s="304" t="str">
        <f t="shared" si="722"/>
        <v/>
      </c>
      <c r="BE1130" s="28"/>
      <c r="BF1130" s="304" t="str">
        <f t="shared" si="723"/>
        <v/>
      </c>
      <c r="BG1130" s="304" t="str">
        <f t="shared" si="723"/>
        <v/>
      </c>
      <c r="BH1130" s="28"/>
      <c r="BI1130" s="304" t="str">
        <f t="shared" si="724"/>
        <v/>
      </c>
      <c r="BJ1130" s="304" t="str">
        <f t="shared" si="724"/>
        <v/>
      </c>
      <c r="BK1130" s="28"/>
      <c r="BL1130" s="304" t="str">
        <f t="shared" si="725"/>
        <v/>
      </c>
      <c r="BM1130" s="304" t="str">
        <f t="shared" si="725"/>
        <v/>
      </c>
      <c r="BN1130" s="28"/>
      <c r="BO1130" s="304" t="str">
        <f t="shared" si="726"/>
        <v/>
      </c>
      <c r="BP1130" s="304" t="str">
        <f t="shared" si="726"/>
        <v/>
      </c>
      <c r="BQ1130" s="28"/>
      <c r="BR1130" s="304" t="str">
        <f t="shared" si="727"/>
        <v/>
      </c>
      <c r="BS1130" s="304" t="str">
        <f t="shared" si="727"/>
        <v/>
      </c>
      <c r="BT1130" s="28"/>
      <c r="BU1130" s="304" t="str">
        <f t="shared" si="728"/>
        <v/>
      </c>
      <c r="BV1130" s="304" t="str">
        <f t="shared" si="728"/>
        <v/>
      </c>
      <c r="BW1130" s="28"/>
      <c r="BX1130" s="91"/>
    </row>
    <row r="1131" spans="1:76" s="55" customFormat="1" x14ac:dyDescent="0.25">
      <c r="A1131" s="359">
        <v>68</v>
      </c>
      <c r="B1131" s="216" t="str">
        <f t="shared" si="730"/>
        <v>Asia (Sans Japan): FAO. 2017. Global Livestock Environmental Assessment Model (GLEAM)</v>
      </c>
      <c r="C1131" s="219" t="s">
        <v>227</v>
      </c>
      <c r="D1131" s="219" t="s">
        <v>430</v>
      </c>
      <c r="E1131" s="219" t="s">
        <v>98</v>
      </c>
      <c r="F1131" s="373" t="s">
        <v>375</v>
      </c>
      <c r="G1131" s="220" t="s">
        <v>26</v>
      </c>
      <c r="H1131" s="221">
        <v>2010</v>
      </c>
      <c r="I1131" s="374"/>
      <c r="J1131" s="227">
        <v>15686300421.482628</v>
      </c>
      <c r="K1131" s="226" t="s">
        <v>688</v>
      </c>
      <c r="L1131" s="334">
        <f>J1131/[1]GHGsources!$H$15*0.001</f>
        <v>5.4619666208726811E-2</v>
      </c>
      <c r="M1131" s="225" t="str">
        <f>CONCATENATE("t CO2-eq/ ",IF('[1]Advanced Controls'!$F$169="Implementation",AdoptionUnitOfMeasure,FunctionalUnitOfMeasure))</f>
        <v>t CO2-eq/ kg of protein</v>
      </c>
      <c r="N1131" s="227"/>
      <c r="O1131" s="227" t="s">
        <v>429</v>
      </c>
      <c r="P1131" s="122"/>
      <c r="Q1131" s="228"/>
      <c r="R1131" s="231">
        <f t="shared" si="735"/>
        <v>5.4619666208726811E-2</v>
      </c>
      <c r="S1131" s="230">
        <f t="shared" si="731"/>
        <v>5.4619666208726811E-2</v>
      </c>
      <c r="T1131" s="231" t="str">
        <f t="shared" si="729"/>
        <v/>
      </c>
      <c r="U1131" s="232" t="str">
        <f t="shared" si="732"/>
        <v>t CO2-eq/ kg of protein</v>
      </c>
      <c r="V1131" s="28"/>
      <c r="W1131" s="28"/>
      <c r="Y1131" s="91"/>
      <c r="AO1131" s="91"/>
      <c r="AP1131" s="28"/>
      <c r="AQ1131" s="28"/>
      <c r="AR1131" s="233" t="str">
        <f t="shared" si="733"/>
        <v>t CO2-eq/ kg of protein</v>
      </c>
      <c r="AS1131" s="28"/>
      <c r="AT1131" s="304" t="str">
        <f t="shared" si="734"/>
        <v/>
      </c>
      <c r="AU1131" s="304" t="str">
        <f t="shared" si="734"/>
        <v/>
      </c>
      <c r="AV1131" s="28"/>
      <c r="AW1131" s="304" t="str">
        <f t="shared" si="720"/>
        <v/>
      </c>
      <c r="AX1131" s="304" t="str">
        <f t="shared" si="720"/>
        <v/>
      </c>
      <c r="AY1131" s="28"/>
      <c r="AZ1131" s="304" t="str">
        <f t="shared" si="721"/>
        <v/>
      </c>
      <c r="BA1131" s="304" t="str">
        <f t="shared" si="721"/>
        <v/>
      </c>
      <c r="BB1131" s="28"/>
      <c r="BC1131" s="304">
        <f t="shared" si="722"/>
        <v>5.4619666208726811E-2</v>
      </c>
      <c r="BD1131" s="304">
        <f t="shared" si="722"/>
        <v>5.4619666208726811E-2</v>
      </c>
      <c r="BE1131" s="28"/>
      <c r="BF1131" s="304" t="str">
        <f t="shared" si="723"/>
        <v/>
      </c>
      <c r="BG1131" s="304" t="str">
        <f t="shared" si="723"/>
        <v/>
      </c>
      <c r="BH1131" s="28"/>
      <c r="BI1131" s="304" t="str">
        <f t="shared" si="724"/>
        <v/>
      </c>
      <c r="BJ1131" s="304" t="str">
        <f t="shared" si="724"/>
        <v/>
      </c>
      <c r="BK1131" s="28"/>
      <c r="BL1131" s="304" t="str">
        <f t="shared" si="725"/>
        <v/>
      </c>
      <c r="BM1131" s="304" t="str">
        <f t="shared" si="725"/>
        <v/>
      </c>
      <c r="BN1131" s="28"/>
      <c r="BO1131" s="304" t="str">
        <f t="shared" si="726"/>
        <v/>
      </c>
      <c r="BP1131" s="304" t="str">
        <f t="shared" si="726"/>
        <v/>
      </c>
      <c r="BQ1131" s="28"/>
      <c r="BR1131" s="304" t="str">
        <f t="shared" si="727"/>
        <v/>
      </c>
      <c r="BS1131" s="304" t="str">
        <f t="shared" si="727"/>
        <v/>
      </c>
      <c r="BT1131" s="28"/>
      <c r="BU1131" s="304" t="str">
        <f t="shared" si="728"/>
        <v/>
      </c>
      <c r="BV1131" s="304" t="str">
        <f t="shared" si="728"/>
        <v/>
      </c>
      <c r="BW1131" s="28"/>
      <c r="BX1131" s="91"/>
    </row>
    <row r="1132" spans="1:76" s="55" customFormat="1" x14ac:dyDescent="0.25">
      <c r="A1132" s="359">
        <v>69</v>
      </c>
      <c r="B1132" s="216" t="str">
        <f t="shared" si="730"/>
        <v>Eastern Europe: FAO. 2017. Global Livestock Environmental Assessment Model (GLEAM)</v>
      </c>
      <c r="C1132" s="219" t="s">
        <v>227</v>
      </c>
      <c r="D1132" s="219" t="s">
        <v>431</v>
      </c>
      <c r="E1132" s="219" t="s">
        <v>97</v>
      </c>
      <c r="F1132" s="373" t="s">
        <v>97</v>
      </c>
      <c r="G1132" s="220" t="s">
        <v>26</v>
      </c>
      <c r="H1132" s="221">
        <v>2010</v>
      </c>
      <c r="I1132" s="374"/>
      <c r="J1132" s="227">
        <v>1779754870.3712659</v>
      </c>
      <c r="K1132" s="226" t="s">
        <v>688</v>
      </c>
      <c r="L1132" s="338">
        <f>J1132/[1]GHGsources!$H$16*0.001</f>
        <v>3.0522017572176898E-2</v>
      </c>
      <c r="M1132" s="225" t="str">
        <f>CONCATENATE("t CO2-eq/ ",IF('[1]Advanced Controls'!$F$169="Implementation",AdoptionUnitOfMeasure,FunctionalUnitOfMeasure))</f>
        <v>t CO2-eq/ kg of protein</v>
      </c>
      <c r="N1132" s="227"/>
      <c r="O1132" s="227" t="s">
        <v>429</v>
      </c>
      <c r="P1132" s="122"/>
      <c r="Q1132" s="228"/>
      <c r="R1132" s="231">
        <f t="shared" si="735"/>
        <v>3.0522017572176898E-2</v>
      </c>
      <c r="S1132" s="230">
        <f t="shared" si="731"/>
        <v>3.0522017572176898E-2</v>
      </c>
      <c r="T1132" s="231">
        <f t="shared" si="729"/>
        <v>0</v>
      </c>
      <c r="U1132" s="232" t="str">
        <f t="shared" si="732"/>
        <v>t CO2-eq/ kg of protein</v>
      </c>
      <c r="V1132" s="28"/>
      <c r="W1132" s="28"/>
      <c r="Y1132" s="91"/>
      <c r="AO1132" s="91"/>
      <c r="AP1132" s="28"/>
      <c r="AQ1132" s="28"/>
      <c r="AR1132" s="233" t="str">
        <f t="shared" si="733"/>
        <v>t CO2-eq/ kg of protein</v>
      </c>
      <c r="AS1132" s="28"/>
      <c r="AT1132" s="304" t="str">
        <f t="shared" si="734"/>
        <v/>
      </c>
      <c r="AU1132" s="304" t="str">
        <f t="shared" si="734"/>
        <v/>
      </c>
      <c r="AV1132" s="28"/>
      <c r="AW1132" s="304" t="str">
        <f t="shared" si="720"/>
        <v/>
      </c>
      <c r="AX1132" s="304" t="str">
        <f t="shared" si="720"/>
        <v/>
      </c>
      <c r="AY1132" s="28"/>
      <c r="AZ1132" s="304">
        <f t="shared" si="721"/>
        <v>3.0522017572176898E-2</v>
      </c>
      <c r="BA1132" s="304">
        <f t="shared" si="721"/>
        <v>3.0522017572176898E-2</v>
      </c>
      <c r="BB1132" s="28"/>
      <c r="BC1132" s="304" t="str">
        <f t="shared" si="722"/>
        <v/>
      </c>
      <c r="BD1132" s="304" t="str">
        <f t="shared" si="722"/>
        <v/>
      </c>
      <c r="BE1132" s="28"/>
      <c r="BF1132" s="304" t="str">
        <f t="shared" si="723"/>
        <v/>
      </c>
      <c r="BG1132" s="304" t="str">
        <f t="shared" si="723"/>
        <v/>
      </c>
      <c r="BH1132" s="28"/>
      <c r="BI1132" s="304" t="str">
        <f t="shared" si="724"/>
        <v/>
      </c>
      <c r="BJ1132" s="304" t="str">
        <f t="shared" si="724"/>
        <v/>
      </c>
      <c r="BK1132" s="28"/>
      <c r="BL1132" s="304" t="str">
        <f t="shared" si="725"/>
        <v/>
      </c>
      <c r="BM1132" s="304" t="str">
        <f t="shared" si="725"/>
        <v/>
      </c>
      <c r="BN1132" s="28"/>
      <c r="BO1132" s="304" t="str">
        <f t="shared" si="726"/>
        <v/>
      </c>
      <c r="BP1132" s="304" t="str">
        <f t="shared" si="726"/>
        <v/>
      </c>
      <c r="BQ1132" s="28"/>
      <c r="BR1132" s="304" t="str">
        <f t="shared" si="727"/>
        <v/>
      </c>
      <c r="BS1132" s="304" t="str">
        <f t="shared" si="727"/>
        <v/>
      </c>
      <c r="BT1132" s="28"/>
      <c r="BU1132" s="304" t="str">
        <f t="shared" si="728"/>
        <v/>
      </c>
      <c r="BV1132" s="304" t="str">
        <f t="shared" si="728"/>
        <v/>
      </c>
      <c r="BW1132" s="28"/>
      <c r="BX1132" s="91"/>
    </row>
    <row r="1133" spans="1:76" s="55" customFormat="1" x14ac:dyDescent="0.25">
      <c r="A1133" s="359">
        <v>70</v>
      </c>
      <c r="B1133" s="216" t="str">
        <f t="shared" si="730"/>
        <v>Latin America: FAO. 2017. Global Livestock Environmental Assessment Model (GLEAM)</v>
      </c>
      <c r="C1133" s="219" t="s">
        <v>227</v>
      </c>
      <c r="D1133" s="219" t="s">
        <v>432</v>
      </c>
      <c r="E1133" s="219" t="s">
        <v>100</v>
      </c>
      <c r="F1133" s="373" t="s">
        <v>378</v>
      </c>
      <c r="G1133" s="220" t="s">
        <v>26</v>
      </c>
      <c r="H1133" s="221">
        <v>2010</v>
      </c>
      <c r="I1133" s="374"/>
      <c r="J1133" s="227">
        <v>413727669604.71448</v>
      </c>
      <c r="K1133" s="226" t="s">
        <v>688</v>
      </c>
      <c r="L1133" s="334">
        <f>J1133/[1]GHGsources!$H$17*0.001</f>
        <v>0.32851972369022753</v>
      </c>
      <c r="M1133" s="225" t="str">
        <f>CONCATENATE("t CO2-eq/ ",IF('[1]Advanced Controls'!$F$169="Implementation",AdoptionUnitOfMeasure,FunctionalUnitOfMeasure))</f>
        <v>t CO2-eq/ kg of protein</v>
      </c>
      <c r="N1133" s="227"/>
      <c r="O1133" s="227" t="s">
        <v>429</v>
      </c>
      <c r="P1133" s="122"/>
      <c r="Q1133" s="228"/>
      <c r="R1133" s="231">
        <f t="shared" si="735"/>
        <v>0.32851972369022753</v>
      </c>
      <c r="S1133" s="230" t="str">
        <f t="shared" si="731"/>
        <v/>
      </c>
      <c r="T1133" s="231" t="str">
        <f t="shared" si="729"/>
        <v/>
      </c>
      <c r="U1133" s="232" t="str">
        <f t="shared" si="732"/>
        <v>t CO2-eq/ kg of protein</v>
      </c>
      <c r="V1133" s="28"/>
      <c r="W1133" s="28"/>
      <c r="Y1133" s="91"/>
      <c r="AO1133" s="91"/>
      <c r="AP1133" s="28"/>
      <c r="AQ1133" s="28"/>
      <c r="AR1133" s="233" t="str">
        <f t="shared" si="733"/>
        <v>t CO2-eq/ kg of protein</v>
      </c>
      <c r="AS1133" s="28"/>
      <c r="AT1133" s="304" t="str">
        <f t="shared" si="734"/>
        <v/>
      </c>
      <c r="AU1133" s="304" t="str">
        <f t="shared" si="734"/>
        <v/>
      </c>
      <c r="AV1133" s="28"/>
      <c r="AW1133" s="304" t="str">
        <f t="shared" si="720"/>
        <v/>
      </c>
      <c r="AX1133" s="304" t="str">
        <f t="shared" si="720"/>
        <v/>
      </c>
      <c r="AY1133" s="28"/>
      <c r="AZ1133" s="304" t="str">
        <f t="shared" si="721"/>
        <v/>
      </c>
      <c r="BA1133" s="304" t="str">
        <f t="shared" si="721"/>
        <v/>
      </c>
      <c r="BB1133" s="28"/>
      <c r="BC1133" s="304" t="str">
        <f t="shared" si="722"/>
        <v/>
      </c>
      <c r="BD1133" s="304" t="str">
        <f t="shared" si="722"/>
        <v/>
      </c>
      <c r="BE1133" s="28"/>
      <c r="BF1133" s="304" t="str">
        <f t="shared" si="723"/>
        <v/>
      </c>
      <c r="BG1133" s="304" t="str">
        <f t="shared" si="723"/>
        <v/>
      </c>
      <c r="BH1133" s="28"/>
      <c r="BI1133" s="304">
        <f t="shared" si="724"/>
        <v>0.32851972369022753</v>
      </c>
      <c r="BJ1133" s="304" t="str">
        <f t="shared" si="724"/>
        <v/>
      </c>
      <c r="BK1133" s="28"/>
      <c r="BL1133" s="304" t="str">
        <f t="shared" si="725"/>
        <v/>
      </c>
      <c r="BM1133" s="304" t="str">
        <f t="shared" si="725"/>
        <v/>
      </c>
      <c r="BN1133" s="28"/>
      <c r="BO1133" s="304" t="str">
        <f t="shared" si="726"/>
        <v/>
      </c>
      <c r="BP1133" s="304" t="str">
        <f t="shared" si="726"/>
        <v/>
      </c>
      <c r="BQ1133" s="28"/>
      <c r="BR1133" s="304" t="str">
        <f t="shared" si="727"/>
        <v/>
      </c>
      <c r="BS1133" s="304" t="str">
        <f t="shared" si="727"/>
        <v/>
      </c>
      <c r="BT1133" s="28"/>
      <c r="BU1133" s="304" t="str">
        <f t="shared" si="728"/>
        <v/>
      </c>
      <c r="BV1133" s="304" t="str">
        <f t="shared" si="728"/>
        <v/>
      </c>
      <c r="BW1133" s="28"/>
      <c r="BX1133" s="91"/>
    </row>
    <row r="1134" spans="1:76" s="55" customFormat="1" x14ac:dyDescent="0.25">
      <c r="A1134" s="359">
        <v>71</v>
      </c>
      <c r="B1134" s="216" t="str">
        <f t="shared" si="730"/>
        <v>Middle East and Africa: FAO. 2017. Global Livestock Environmental Assessment Model (GLEAM)</v>
      </c>
      <c r="C1134" s="219" t="s">
        <v>227</v>
      </c>
      <c r="D1134" s="219" t="s">
        <v>433</v>
      </c>
      <c r="E1134" s="219" t="s">
        <v>99</v>
      </c>
      <c r="F1134" s="373" t="s">
        <v>380</v>
      </c>
      <c r="G1134" s="220" t="s">
        <v>26</v>
      </c>
      <c r="H1134" s="221">
        <v>2010</v>
      </c>
      <c r="I1134" s="374"/>
      <c r="J1134" s="227">
        <v>4314635593.9378471</v>
      </c>
      <c r="K1134" s="226" t="s">
        <v>688</v>
      </c>
      <c r="L1134" s="338">
        <f>J1134/[1]GHGsources!$H$18*0.001</f>
        <v>2.0717949444827098E-2</v>
      </c>
      <c r="M1134" s="225" t="str">
        <f>CONCATENATE("t CO2-eq/ ",IF('[1]Advanced Controls'!$F$169="Implementation",AdoptionUnitOfMeasure,FunctionalUnitOfMeasure))</f>
        <v>t CO2-eq/ kg of protein</v>
      </c>
      <c r="N1134" s="227"/>
      <c r="O1134" s="227" t="s">
        <v>429</v>
      </c>
      <c r="P1134" s="122"/>
      <c r="Q1134" s="228"/>
      <c r="R1134" s="231">
        <f t="shared" si="735"/>
        <v>2.0717949444827098E-2</v>
      </c>
      <c r="S1134" s="230">
        <f t="shared" si="731"/>
        <v>2.0717949444827098E-2</v>
      </c>
      <c r="T1134" s="231" t="str">
        <f t="shared" si="729"/>
        <v/>
      </c>
      <c r="U1134" s="232" t="str">
        <f t="shared" si="732"/>
        <v>t CO2-eq/ kg of protein</v>
      </c>
      <c r="V1134" s="28"/>
      <c r="W1134" s="28"/>
      <c r="Y1134" s="91"/>
      <c r="AO1134" s="91"/>
      <c r="AP1134" s="28"/>
      <c r="AQ1134" s="28"/>
      <c r="AR1134" s="233" t="str">
        <f t="shared" si="733"/>
        <v>t CO2-eq/ kg of protein</v>
      </c>
      <c r="AS1134" s="28"/>
      <c r="AT1134" s="304" t="str">
        <f t="shared" si="734"/>
        <v/>
      </c>
      <c r="AU1134" s="304" t="str">
        <f t="shared" si="734"/>
        <v/>
      </c>
      <c r="AV1134" s="28"/>
      <c r="AW1134" s="304" t="str">
        <f t="shared" si="720"/>
        <v/>
      </c>
      <c r="AX1134" s="304" t="str">
        <f t="shared" si="720"/>
        <v/>
      </c>
      <c r="AY1134" s="28"/>
      <c r="AZ1134" s="304" t="str">
        <f t="shared" si="721"/>
        <v/>
      </c>
      <c r="BA1134" s="304" t="str">
        <f t="shared" si="721"/>
        <v/>
      </c>
      <c r="BB1134" s="28"/>
      <c r="BC1134" s="304" t="str">
        <f t="shared" si="722"/>
        <v/>
      </c>
      <c r="BD1134" s="304" t="str">
        <f t="shared" si="722"/>
        <v/>
      </c>
      <c r="BE1134" s="28"/>
      <c r="BF1134" s="304">
        <f t="shared" si="723"/>
        <v>2.0717949444827098E-2</v>
      </c>
      <c r="BG1134" s="304">
        <f t="shared" si="723"/>
        <v>2.0717949444827098E-2</v>
      </c>
      <c r="BH1134" s="28"/>
      <c r="BI1134" s="304" t="str">
        <f t="shared" si="724"/>
        <v/>
      </c>
      <c r="BJ1134" s="304" t="str">
        <f t="shared" si="724"/>
        <v/>
      </c>
      <c r="BK1134" s="28"/>
      <c r="BL1134" s="304" t="str">
        <f t="shared" si="725"/>
        <v/>
      </c>
      <c r="BM1134" s="304" t="str">
        <f t="shared" si="725"/>
        <v/>
      </c>
      <c r="BN1134" s="28"/>
      <c r="BO1134" s="304" t="str">
        <f t="shared" si="726"/>
        <v/>
      </c>
      <c r="BP1134" s="304" t="str">
        <f t="shared" si="726"/>
        <v/>
      </c>
      <c r="BQ1134" s="28"/>
      <c r="BR1134" s="304" t="str">
        <f t="shared" si="727"/>
        <v/>
      </c>
      <c r="BS1134" s="304" t="str">
        <f t="shared" si="727"/>
        <v/>
      </c>
      <c r="BT1134" s="28"/>
      <c r="BU1134" s="304" t="str">
        <f t="shared" si="728"/>
        <v/>
      </c>
      <c r="BV1134" s="304" t="str">
        <f t="shared" si="728"/>
        <v/>
      </c>
      <c r="BW1134" s="28"/>
      <c r="BX1134" s="91"/>
    </row>
    <row r="1135" spans="1:76" s="55" customFormat="1" x14ac:dyDescent="0.25">
      <c r="A1135" s="359">
        <v>72</v>
      </c>
      <c r="B1135" s="216" t="str">
        <f t="shared" si="730"/>
        <v>OECD90: FAO. 2017. Global Livestock Environmental Assessment Model (GLEAM)</v>
      </c>
      <c r="C1135" s="219" t="s">
        <v>227</v>
      </c>
      <c r="D1135" s="219" t="s">
        <v>434</v>
      </c>
      <c r="E1135" s="219" t="s">
        <v>96</v>
      </c>
      <c r="F1135" s="373" t="s">
        <v>179</v>
      </c>
      <c r="G1135" s="220" t="s">
        <v>26</v>
      </c>
      <c r="H1135" s="221">
        <v>2010</v>
      </c>
      <c r="I1135" s="374"/>
      <c r="J1135" s="227">
        <v>7290327635.0239172</v>
      </c>
      <c r="K1135" s="226" t="s">
        <v>688</v>
      </c>
      <c r="L1135" s="334">
        <f>J1135/[1]GHGsources!$H$19*0.001</f>
        <v>1.5116220745969852E-2</v>
      </c>
      <c r="M1135" s="225" t="str">
        <f>CONCATENATE("t CO2-eq/ ",IF('[1]Advanced Controls'!$F$169="Implementation",AdoptionUnitOfMeasure,FunctionalUnitOfMeasure))</f>
        <v>t CO2-eq/ kg of protein</v>
      </c>
      <c r="N1135" s="227"/>
      <c r="O1135" s="227" t="s">
        <v>429</v>
      </c>
      <c r="P1135" s="122"/>
      <c r="Q1135" s="228"/>
      <c r="R1135" s="231">
        <f t="shared" si="735"/>
        <v>1.5116220745969852E-2</v>
      </c>
      <c r="S1135" s="230">
        <f t="shared" si="731"/>
        <v>1.5116220745969852E-2</v>
      </c>
      <c r="T1135" s="231" t="str">
        <f t="shared" si="729"/>
        <v/>
      </c>
      <c r="U1135" s="232" t="str">
        <f t="shared" si="732"/>
        <v>t CO2-eq/ kg of protein</v>
      </c>
      <c r="V1135" s="28"/>
      <c r="W1135" s="28"/>
      <c r="Y1135" s="91"/>
      <c r="AO1135" s="91"/>
      <c r="AP1135" s="28"/>
      <c r="AQ1135" s="28"/>
      <c r="AR1135" s="233" t="str">
        <f t="shared" si="733"/>
        <v>t CO2-eq/ kg of protein</v>
      </c>
      <c r="AS1135" s="28"/>
      <c r="AT1135" s="304" t="str">
        <f t="shared" si="734"/>
        <v/>
      </c>
      <c r="AU1135" s="304" t="str">
        <f t="shared" si="734"/>
        <v/>
      </c>
      <c r="AV1135" s="28"/>
      <c r="AW1135" s="304">
        <f t="shared" si="720"/>
        <v>1.5116220745969852E-2</v>
      </c>
      <c r="AX1135" s="304">
        <f t="shared" si="720"/>
        <v>1.5116220745969852E-2</v>
      </c>
      <c r="AY1135" s="28"/>
      <c r="AZ1135" s="304" t="str">
        <f t="shared" si="721"/>
        <v/>
      </c>
      <c r="BA1135" s="304" t="str">
        <f t="shared" si="721"/>
        <v/>
      </c>
      <c r="BB1135" s="28"/>
      <c r="BC1135" s="304" t="str">
        <f t="shared" si="722"/>
        <v/>
      </c>
      <c r="BD1135" s="304" t="str">
        <f t="shared" si="722"/>
        <v/>
      </c>
      <c r="BE1135" s="28"/>
      <c r="BF1135" s="304" t="str">
        <f t="shared" si="723"/>
        <v/>
      </c>
      <c r="BG1135" s="304" t="str">
        <f t="shared" si="723"/>
        <v/>
      </c>
      <c r="BH1135" s="28"/>
      <c r="BI1135" s="304" t="str">
        <f t="shared" si="724"/>
        <v/>
      </c>
      <c r="BJ1135" s="304" t="str">
        <f t="shared" si="724"/>
        <v/>
      </c>
      <c r="BK1135" s="28"/>
      <c r="BL1135" s="304" t="str">
        <f t="shared" si="725"/>
        <v/>
      </c>
      <c r="BM1135" s="304" t="str">
        <f t="shared" si="725"/>
        <v/>
      </c>
      <c r="BN1135" s="28"/>
      <c r="BO1135" s="304" t="str">
        <f t="shared" si="726"/>
        <v/>
      </c>
      <c r="BP1135" s="304" t="str">
        <f t="shared" si="726"/>
        <v/>
      </c>
      <c r="BQ1135" s="28"/>
      <c r="BR1135" s="304" t="str">
        <f t="shared" si="727"/>
        <v/>
      </c>
      <c r="BS1135" s="304" t="str">
        <f t="shared" si="727"/>
        <v/>
      </c>
      <c r="BT1135" s="28"/>
      <c r="BU1135" s="304" t="str">
        <f t="shared" si="728"/>
        <v/>
      </c>
      <c r="BV1135" s="304" t="str">
        <f t="shared" si="728"/>
        <v/>
      </c>
      <c r="BW1135" s="28"/>
      <c r="BX1135" s="91"/>
    </row>
    <row r="1136" spans="1:76" s="55" customFormat="1" x14ac:dyDescent="0.25">
      <c r="A1136" s="359">
        <v>73</v>
      </c>
      <c r="B1136" s="216" t="str">
        <f t="shared" si="730"/>
        <v>OECD90: FAO. 2017. Global Livestock Environmental Assessment Model (GLEAM)</v>
      </c>
      <c r="C1136" s="219" t="s">
        <v>227</v>
      </c>
      <c r="D1136" s="219" t="s">
        <v>435</v>
      </c>
      <c r="E1136" s="219" t="s">
        <v>96</v>
      </c>
      <c r="F1136" s="373" t="s">
        <v>185</v>
      </c>
      <c r="G1136" s="220" t="s">
        <v>26</v>
      </c>
      <c r="H1136" s="221">
        <v>2010</v>
      </c>
      <c r="I1136" s="374"/>
      <c r="J1136" s="227">
        <v>3834972884.8963089</v>
      </c>
      <c r="K1136" s="226" t="s">
        <v>688</v>
      </c>
      <c r="L1136" s="337">
        <f>J1136/[1]GHGsources!$H$20*0.001</f>
        <v>1.8902990585870843E-2</v>
      </c>
      <c r="M1136" s="225" t="str">
        <f>CONCATENATE("t CO2-eq/ ",IF('[1]Advanced Controls'!$F$169="Implementation",AdoptionUnitOfMeasure,FunctionalUnitOfMeasure))</f>
        <v>t CO2-eq/ kg of protein</v>
      </c>
      <c r="N1136" s="227"/>
      <c r="O1136" s="227" t="s">
        <v>429</v>
      </c>
      <c r="P1136" s="122"/>
      <c r="Q1136" s="228"/>
      <c r="R1136" s="231">
        <f t="shared" si="735"/>
        <v>1.8902990585870843E-2</v>
      </c>
      <c r="S1136" s="230">
        <f t="shared" si="731"/>
        <v>1.8902990585870843E-2</v>
      </c>
      <c r="T1136" s="231" t="str">
        <f t="shared" si="729"/>
        <v/>
      </c>
      <c r="U1136" s="232" t="str">
        <f t="shared" si="732"/>
        <v>t CO2-eq/ kg of protein</v>
      </c>
      <c r="V1136" s="28"/>
      <c r="W1136" s="28"/>
      <c r="Y1136" s="91"/>
      <c r="AO1136" s="91"/>
      <c r="AP1136" s="28"/>
      <c r="AQ1136" s="28"/>
      <c r="AR1136" s="233" t="str">
        <f t="shared" si="733"/>
        <v>t CO2-eq/ kg of protein</v>
      </c>
      <c r="AS1136" s="28"/>
      <c r="AT1136" s="304" t="str">
        <f t="shared" si="734"/>
        <v/>
      </c>
      <c r="AU1136" s="304" t="str">
        <f t="shared" si="734"/>
        <v/>
      </c>
      <c r="AV1136" s="28"/>
      <c r="AW1136" s="304">
        <f t="shared" si="720"/>
        <v>1.8902990585870843E-2</v>
      </c>
      <c r="AX1136" s="304">
        <f t="shared" si="720"/>
        <v>1.8902990585870843E-2</v>
      </c>
      <c r="AY1136" s="28"/>
      <c r="AZ1136" s="304" t="str">
        <f t="shared" si="721"/>
        <v/>
      </c>
      <c r="BA1136" s="304" t="str">
        <f t="shared" si="721"/>
        <v/>
      </c>
      <c r="BB1136" s="28"/>
      <c r="BC1136" s="304" t="str">
        <f t="shared" si="722"/>
        <v/>
      </c>
      <c r="BD1136" s="304" t="str">
        <f t="shared" si="722"/>
        <v/>
      </c>
      <c r="BE1136" s="28"/>
      <c r="BF1136" s="304" t="str">
        <f t="shared" si="723"/>
        <v/>
      </c>
      <c r="BG1136" s="304" t="str">
        <f t="shared" si="723"/>
        <v/>
      </c>
      <c r="BH1136" s="28"/>
      <c r="BI1136" s="304" t="str">
        <f t="shared" si="724"/>
        <v/>
      </c>
      <c r="BJ1136" s="304" t="str">
        <f t="shared" si="724"/>
        <v/>
      </c>
      <c r="BK1136" s="28"/>
      <c r="BL1136" s="304" t="str">
        <f t="shared" si="725"/>
        <v/>
      </c>
      <c r="BM1136" s="304" t="str">
        <f t="shared" si="725"/>
        <v/>
      </c>
      <c r="BN1136" s="28"/>
      <c r="BO1136" s="304" t="str">
        <f t="shared" si="726"/>
        <v/>
      </c>
      <c r="BP1136" s="304" t="str">
        <f t="shared" si="726"/>
        <v/>
      </c>
      <c r="BQ1136" s="28"/>
      <c r="BR1136" s="304" t="str">
        <f t="shared" si="727"/>
        <v/>
      </c>
      <c r="BS1136" s="304" t="str">
        <f t="shared" si="727"/>
        <v/>
      </c>
      <c r="BT1136" s="28"/>
      <c r="BU1136" s="304" t="str">
        <f t="shared" si="728"/>
        <v/>
      </c>
      <c r="BV1136" s="304" t="str">
        <f t="shared" si="728"/>
        <v/>
      </c>
      <c r="BW1136" s="28"/>
      <c r="BX1136" s="91"/>
    </row>
    <row r="1137" spans="1:76" s="55" customFormat="1" x14ac:dyDescent="0.25">
      <c r="A1137" s="359">
        <v>74</v>
      </c>
      <c r="B1137" s="216" t="str">
        <f t="shared" si="730"/>
        <v>Eastern Europe: FAO. 2017. Global Livestock Environmental Assessment Model (GLEAM)</v>
      </c>
      <c r="C1137" s="219" t="s">
        <v>227</v>
      </c>
      <c r="D1137" s="219" t="s">
        <v>436</v>
      </c>
      <c r="E1137" s="219" t="s">
        <v>97</v>
      </c>
      <c r="F1137" s="373" t="s">
        <v>384</v>
      </c>
      <c r="G1137" s="220" t="s">
        <v>26</v>
      </c>
      <c r="H1137" s="221">
        <v>2010</v>
      </c>
      <c r="I1137" s="374"/>
      <c r="J1137" s="227">
        <v>2928489247.9238148</v>
      </c>
      <c r="K1137" s="226" t="s">
        <v>688</v>
      </c>
      <c r="L1137" s="338">
        <f>J1137/[1]GHGsources!$H$21*0.001</f>
        <v>2.6527718390445616E-2</v>
      </c>
      <c r="M1137" s="225" t="str">
        <f>CONCATENATE("t CO2-eq/ ",IF('[1]Advanced Controls'!$F$169="Implementation",AdoptionUnitOfMeasure,FunctionalUnitOfMeasure))</f>
        <v>t CO2-eq/ kg of protein</v>
      </c>
      <c r="N1137" s="227"/>
      <c r="O1137" s="227" t="s">
        <v>429</v>
      </c>
      <c r="P1137" s="122"/>
      <c r="Q1137" s="228"/>
      <c r="R1137" s="231">
        <f t="shared" si="735"/>
        <v>2.6527718390445616E-2</v>
      </c>
      <c r="S1137" s="230">
        <f t="shared" si="731"/>
        <v>2.6527718390445616E-2</v>
      </c>
      <c r="T1137" s="231">
        <f t="shared" si="729"/>
        <v>0</v>
      </c>
      <c r="U1137" s="232" t="str">
        <f t="shared" si="732"/>
        <v>t CO2-eq/ kg of protein</v>
      </c>
      <c r="V1137" s="28"/>
      <c r="W1137" s="28"/>
      <c r="Y1137" s="91"/>
      <c r="AO1137" s="91"/>
      <c r="AP1137" s="28"/>
      <c r="AQ1137" s="28"/>
      <c r="AR1137" s="233" t="str">
        <f t="shared" si="733"/>
        <v>t CO2-eq/ kg of protein</v>
      </c>
      <c r="AS1137" s="28"/>
      <c r="AT1137" s="304" t="str">
        <f t="shared" si="734"/>
        <v/>
      </c>
      <c r="AU1137" s="304" t="str">
        <f t="shared" si="734"/>
        <v/>
      </c>
      <c r="AV1137" s="28"/>
      <c r="AW1137" s="304" t="str">
        <f t="shared" si="720"/>
        <v/>
      </c>
      <c r="AX1137" s="304" t="str">
        <f t="shared" si="720"/>
        <v/>
      </c>
      <c r="AY1137" s="28"/>
      <c r="AZ1137" s="304">
        <f t="shared" si="721"/>
        <v>2.6527718390445616E-2</v>
      </c>
      <c r="BA1137" s="304">
        <f t="shared" si="721"/>
        <v>2.6527718390445616E-2</v>
      </c>
      <c r="BB1137" s="28"/>
      <c r="BC1137" s="304" t="str">
        <f t="shared" si="722"/>
        <v/>
      </c>
      <c r="BD1137" s="304" t="str">
        <f t="shared" si="722"/>
        <v/>
      </c>
      <c r="BE1137" s="28"/>
      <c r="BF1137" s="304" t="str">
        <f t="shared" si="723"/>
        <v/>
      </c>
      <c r="BG1137" s="304" t="str">
        <f t="shared" si="723"/>
        <v/>
      </c>
      <c r="BH1137" s="28"/>
      <c r="BI1137" s="304" t="str">
        <f t="shared" si="724"/>
        <v/>
      </c>
      <c r="BJ1137" s="304" t="str">
        <f t="shared" si="724"/>
        <v/>
      </c>
      <c r="BK1137" s="28"/>
      <c r="BL1137" s="304" t="str">
        <f t="shared" si="725"/>
        <v/>
      </c>
      <c r="BM1137" s="304" t="str">
        <f t="shared" si="725"/>
        <v/>
      </c>
      <c r="BN1137" s="28"/>
      <c r="BO1137" s="304" t="str">
        <f t="shared" si="726"/>
        <v/>
      </c>
      <c r="BP1137" s="304" t="str">
        <f t="shared" si="726"/>
        <v/>
      </c>
      <c r="BQ1137" s="28"/>
      <c r="BR1137" s="304" t="str">
        <f t="shared" si="727"/>
        <v/>
      </c>
      <c r="BS1137" s="304" t="str">
        <f t="shared" si="727"/>
        <v/>
      </c>
      <c r="BT1137" s="28"/>
      <c r="BU1137" s="304" t="str">
        <f t="shared" si="728"/>
        <v/>
      </c>
      <c r="BV1137" s="304" t="str">
        <f t="shared" si="728"/>
        <v/>
      </c>
      <c r="BW1137" s="28"/>
      <c r="BX1137" s="91"/>
    </row>
    <row r="1138" spans="1:76" s="55" customFormat="1" x14ac:dyDescent="0.25">
      <c r="A1138" s="359">
        <v>75</v>
      </c>
      <c r="B1138" s="216" t="str">
        <f t="shared" si="730"/>
        <v>Asia (Sans Japan): FAO. 2017. Global Livestock Environmental Assessment Model (GLEAM)</v>
      </c>
      <c r="C1138" s="219" t="s">
        <v>227</v>
      </c>
      <c r="D1138" s="219" t="s">
        <v>437</v>
      </c>
      <c r="E1138" s="219" t="s">
        <v>98</v>
      </c>
      <c r="F1138" s="373" t="s">
        <v>386</v>
      </c>
      <c r="G1138" s="220" t="s">
        <v>26</v>
      </c>
      <c r="H1138" s="221">
        <v>2010</v>
      </c>
      <c r="I1138" s="374"/>
      <c r="J1138" s="227">
        <v>9484614255.8250542</v>
      </c>
      <c r="K1138" s="226" t="s">
        <v>688</v>
      </c>
      <c r="L1138" s="338">
        <f>J1138/[1]GHGsources!$H$22*0.001</f>
        <v>6.7311995909657404E-2</v>
      </c>
      <c r="M1138" s="225" t="str">
        <f>CONCATENATE("t CO2-eq/ ",IF('[1]Advanced Controls'!$F$169="Implementation",AdoptionUnitOfMeasure,FunctionalUnitOfMeasure))</f>
        <v>t CO2-eq/ kg of protein</v>
      </c>
      <c r="N1138" s="227"/>
      <c r="O1138" s="227" t="s">
        <v>429</v>
      </c>
      <c r="P1138" s="122"/>
      <c r="Q1138" s="228"/>
      <c r="R1138" s="231">
        <f t="shared" si="735"/>
        <v>6.7311995909657404E-2</v>
      </c>
      <c r="S1138" s="230">
        <f t="shared" si="731"/>
        <v>6.7311995909657404E-2</v>
      </c>
      <c r="T1138" s="231" t="str">
        <f t="shared" si="729"/>
        <v/>
      </c>
      <c r="U1138" s="232" t="str">
        <f t="shared" si="732"/>
        <v>t CO2-eq/ kg of protein</v>
      </c>
      <c r="V1138" s="28"/>
      <c r="W1138" s="28"/>
      <c r="Y1138" s="91"/>
      <c r="AO1138" s="91"/>
      <c r="AP1138" s="28"/>
      <c r="AQ1138" s="28"/>
      <c r="AR1138" s="233" t="str">
        <f t="shared" si="733"/>
        <v>t CO2-eq/ kg of protein</v>
      </c>
      <c r="AS1138" s="28"/>
      <c r="AT1138" s="304" t="str">
        <f t="shared" si="734"/>
        <v/>
      </c>
      <c r="AU1138" s="304" t="str">
        <f t="shared" si="734"/>
        <v/>
      </c>
      <c r="AV1138" s="28"/>
      <c r="AW1138" s="304" t="str">
        <f t="shared" si="720"/>
        <v/>
      </c>
      <c r="AX1138" s="304" t="str">
        <f t="shared" si="720"/>
        <v/>
      </c>
      <c r="AY1138" s="28"/>
      <c r="AZ1138" s="304" t="str">
        <f t="shared" si="721"/>
        <v/>
      </c>
      <c r="BA1138" s="304" t="str">
        <f t="shared" si="721"/>
        <v/>
      </c>
      <c r="BB1138" s="28"/>
      <c r="BC1138" s="304">
        <f t="shared" si="722"/>
        <v>6.7311995909657404E-2</v>
      </c>
      <c r="BD1138" s="304">
        <f t="shared" si="722"/>
        <v>6.7311995909657404E-2</v>
      </c>
      <c r="BE1138" s="28"/>
      <c r="BF1138" s="304" t="str">
        <f t="shared" si="723"/>
        <v/>
      </c>
      <c r="BG1138" s="304" t="str">
        <f t="shared" si="723"/>
        <v/>
      </c>
      <c r="BH1138" s="28"/>
      <c r="BI1138" s="304" t="str">
        <f t="shared" si="724"/>
        <v/>
      </c>
      <c r="BJ1138" s="304" t="str">
        <f t="shared" si="724"/>
        <v/>
      </c>
      <c r="BK1138" s="28"/>
      <c r="BL1138" s="304" t="str">
        <f t="shared" si="725"/>
        <v/>
      </c>
      <c r="BM1138" s="304" t="str">
        <f t="shared" si="725"/>
        <v/>
      </c>
      <c r="BN1138" s="28"/>
      <c r="BO1138" s="304" t="str">
        <f t="shared" si="726"/>
        <v/>
      </c>
      <c r="BP1138" s="304" t="str">
        <f t="shared" si="726"/>
        <v/>
      </c>
      <c r="BQ1138" s="28"/>
      <c r="BR1138" s="304" t="str">
        <f t="shared" si="727"/>
        <v/>
      </c>
      <c r="BS1138" s="304" t="str">
        <f t="shared" si="727"/>
        <v/>
      </c>
      <c r="BT1138" s="28"/>
      <c r="BU1138" s="304" t="str">
        <f t="shared" si="728"/>
        <v/>
      </c>
      <c r="BV1138" s="304" t="str">
        <f t="shared" si="728"/>
        <v/>
      </c>
      <c r="BW1138" s="28"/>
      <c r="BX1138" s="91"/>
    </row>
    <row r="1139" spans="1:76" s="55" customFormat="1" x14ac:dyDescent="0.25">
      <c r="A1139" s="359">
        <v>76</v>
      </c>
      <c r="B1139" s="216" t="str">
        <f t="shared" si="730"/>
        <v>Middle East and Africa: FAO. 2017. Global Livestock Environmental Assessment Model (GLEAM)</v>
      </c>
      <c r="C1139" s="219" t="s">
        <v>227</v>
      </c>
      <c r="D1139" s="219" t="s">
        <v>438</v>
      </c>
      <c r="E1139" s="219" t="s">
        <v>99</v>
      </c>
      <c r="F1139" s="373" t="s">
        <v>388</v>
      </c>
      <c r="G1139" s="220" t="s">
        <v>26</v>
      </c>
      <c r="H1139" s="221">
        <v>2010</v>
      </c>
      <c r="I1139" s="374"/>
      <c r="J1139" s="227">
        <v>1099611788.0583699</v>
      </c>
      <c r="K1139" s="226" t="s">
        <v>688</v>
      </c>
      <c r="L1139" s="334">
        <f>J1139/[1]GHGsources!$H$23*0.001</f>
        <v>4.406017410969975E-3</v>
      </c>
      <c r="M1139" s="225" t="str">
        <f>CONCATENATE("t CO2-eq/ ",IF('[1]Advanced Controls'!$F$169="Implementation",AdoptionUnitOfMeasure,FunctionalUnitOfMeasure))</f>
        <v>t CO2-eq/ kg of protein</v>
      </c>
      <c r="N1139" s="227"/>
      <c r="O1139" s="227" t="s">
        <v>429</v>
      </c>
      <c r="P1139" s="122"/>
      <c r="Q1139" s="228"/>
      <c r="R1139" s="231">
        <f t="shared" si="735"/>
        <v>4.406017410969975E-3</v>
      </c>
      <c r="S1139" s="230">
        <f t="shared" si="731"/>
        <v>4.406017410969975E-3</v>
      </c>
      <c r="T1139" s="231">
        <f t="shared" si="729"/>
        <v>0</v>
      </c>
      <c r="U1139" s="232" t="str">
        <f t="shared" si="732"/>
        <v>t CO2-eq/ kg of protein</v>
      </c>
      <c r="V1139" s="28"/>
      <c r="W1139" s="28"/>
      <c r="Y1139" s="91"/>
      <c r="AO1139" s="91"/>
      <c r="AP1139" s="28"/>
      <c r="AQ1139" s="28"/>
      <c r="AR1139" s="233" t="str">
        <f t="shared" si="733"/>
        <v>t CO2-eq/ kg of protein</v>
      </c>
      <c r="AS1139" s="28"/>
      <c r="AT1139" s="304" t="str">
        <f t="shared" si="734"/>
        <v/>
      </c>
      <c r="AU1139" s="304" t="str">
        <f t="shared" si="734"/>
        <v/>
      </c>
      <c r="AV1139" s="28"/>
      <c r="AW1139" s="304" t="str">
        <f t="shared" si="720"/>
        <v/>
      </c>
      <c r="AX1139" s="304" t="str">
        <f t="shared" si="720"/>
        <v/>
      </c>
      <c r="AY1139" s="28"/>
      <c r="AZ1139" s="304" t="str">
        <f t="shared" si="721"/>
        <v/>
      </c>
      <c r="BA1139" s="304" t="str">
        <f t="shared" si="721"/>
        <v/>
      </c>
      <c r="BB1139" s="28"/>
      <c r="BC1139" s="304" t="str">
        <f t="shared" si="722"/>
        <v/>
      </c>
      <c r="BD1139" s="304" t="str">
        <f t="shared" si="722"/>
        <v/>
      </c>
      <c r="BE1139" s="28"/>
      <c r="BF1139" s="304">
        <f t="shared" si="723"/>
        <v>4.406017410969975E-3</v>
      </c>
      <c r="BG1139" s="304">
        <f t="shared" si="723"/>
        <v>4.406017410969975E-3</v>
      </c>
      <c r="BH1139" s="28"/>
      <c r="BI1139" s="304" t="str">
        <f t="shared" si="724"/>
        <v/>
      </c>
      <c r="BJ1139" s="304" t="str">
        <f t="shared" si="724"/>
        <v/>
      </c>
      <c r="BK1139" s="28"/>
      <c r="BL1139" s="304" t="str">
        <f t="shared" si="725"/>
        <v/>
      </c>
      <c r="BM1139" s="304" t="str">
        <f t="shared" si="725"/>
        <v/>
      </c>
      <c r="BN1139" s="28"/>
      <c r="BO1139" s="304" t="str">
        <f t="shared" si="726"/>
        <v/>
      </c>
      <c r="BP1139" s="304" t="str">
        <f t="shared" si="726"/>
        <v/>
      </c>
      <c r="BQ1139" s="28"/>
      <c r="BR1139" s="304" t="str">
        <f t="shared" si="727"/>
        <v/>
      </c>
      <c r="BS1139" s="304" t="str">
        <f t="shared" si="727"/>
        <v/>
      </c>
      <c r="BT1139" s="28"/>
      <c r="BU1139" s="304" t="str">
        <f t="shared" si="728"/>
        <v/>
      </c>
      <c r="BV1139" s="304" t="str">
        <f t="shared" si="728"/>
        <v/>
      </c>
      <c r="BW1139" s="28"/>
      <c r="BX1139" s="91"/>
    </row>
    <row r="1140" spans="1:76" s="55" customFormat="1" ht="15.75" x14ac:dyDescent="0.25">
      <c r="A1140" s="359">
        <v>77</v>
      </c>
      <c r="B1140" s="216" t="str">
        <f t="shared" si="730"/>
        <v>OECD90: FAO. 2017. Global Livestock Environmental Assessment Model (GLEAM)</v>
      </c>
      <c r="C1140" s="219" t="s">
        <v>227</v>
      </c>
      <c r="D1140" s="375" t="s">
        <v>439</v>
      </c>
      <c r="E1140" s="219" t="s">
        <v>96</v>
      </c>
      <c r="F1140" s="373" t="s">
        <v>176</v>
      </c>
      <c r="G1140" s="220" t="s">
        <v>26</v>
      </c>
      <c r="H1140" s="221">
        <v>2010</v>
      </c>
      <c r="I1140" s="374"/>
      <c r="J1140" s="227">
        <v>9798453412.2099895</v>
      </c>
      <c r="K1140" s="226" t="s">
        <v>688</v>
      </c>
      <c r="L1140" s="334">
        <f>J1140/[1]GHGsources!$H$24*0.001</f>
        <v>2.4596848024264394E-2</v>
      </c>
      <c r="M1140" s="225" t="str">
        <f>CONCATENATE("t CO2-eq/ ",IF('[1]Advanced Controls'!$F$169="Implementation",AdoptionUnitOfMeasure,FunctionalUnitOfMeasure))</f>
        <v>t CO2-eq/ kg of protein</v>
      </c>
      <c r="N1140" s="227"/>
      <c r="O1140" s="227" t="s">
        <v>429</v>
      </c>
      <c r="P1140" s="122"/>
      <c r="Q1140" s="228"/>
      <c r="R1140" s="231">
        <f t="shared" si="735"/>
        <v>2.4596848024264394E-2</v>
      </c>
      <c r="S1140" s="230">
        <f t="shared" si="731"/>
        <v>2.4596848024264394E-2</v>
      </c>
      <c r="T1140" s="231" t="str">
        <f t="shared" si="729"/>
        <v/>
      </c>
      <c r="U1140" s="232" t="str">
        <f t="shared" si="732"/>
        <v>t CO2-eq/ kg of protein</v>
      </c>
      <c r="V1140" s="28"/>
      <c r="W1140" s="28"/>
      <c r="Y1140" s="91"/>
      <c r="AO1140" s="91"/>
      <c r="AP1140" s="28"/>
      <c r="AQ1140" s="28"/>
      <c r="AR1140" s="233" t="str">
        <f t="shared" si="733"/>
        <v>t CO2-eq/ kg of protein</v>
      </c>
      <c r="AS1140" s="28"/>
      <c r="AT1140" s="304" t="str">
        <f t="shared" si="734"/>
        <v/>
      </c>
      <c r="AU1140" s="304" t="str">
        <f t="shared" si="734"/>
        <v/>
      </c>
      <c r="AV1140" s="28"/>
      <c r="AW1140" s="304">
        <f t="shared" si="720"/>
        <v>2.4596848024264394E-2</v>
      </c>
      <c r="AX1140" s="304">
        <f t="shared" si="720"/>
        <v>2.4596848024264394E-2</v>
      </c>
      <c r="AY1140" s="28"/>
      <c r="AZ1140" s="304" t="str">
        <f t="shared" si="721"/>
        <v/>
      </c>
      <c r="BA1140" s="304" t="str">
        <f t="shared" si="721"/>
        <v/>
      </c>
      <c r="BB1140" s="28"/>
      <c r="BC1140" s="304" t="str">
        <f t="shared" si="722"/>
        <v/>
      </c>
      <c r="BD1140" s="304" t="str">
        <f t="shared" si="722"/>
        <v/>
      </c>
      <c r="BE1140" s="28"/>
      <c r="BF1140" s="304" t="str">
        <f t="shared" si="723"/>
        <v/>
      </c>
      <c r="BG1140" s="304" t="str">
        <f t="shared" si="723"/>
        <v/>
      </c>
      <c r="BH1140" s="28"/>
      <c r="BI1140" s="304" t="str">
        <f t="shared" si="724"/>
        <v/>
      </c>
      <c r="BJ1140" s="304" t="str">
        <f t="shared" si="724"/>
        <v/>
      </c>
      <c r="BK1140" s="28"/>
      <c r="BL1140" s="304" t="str">
        <f t="shared" si="725"/>
        <v/>
      </c>
      <c r="BM1140" s="304" t="str">
        <f t="shared" si="725"/>
        <v/>
      </c>
      <c r="BN1140" s="28"/>
      <c r="BO1140" s="304" t="str">
        <f t="shared" si="726"/>
        <v/>
      </c>
      <c r="BP1140" s="304" t="str">
        <f t="shared" si="726"/>
        <v/>
      </c>
      <c r="BQ1140" s="28"/>
      <c r="BR1140" s="304" t="str">
        <f t="shared" si="727"/>
        <v/>
      </c>
      <c r="BS1140" s="304" t="str">
        <f t="shared" si="727"/>
        <v/>
      </c>
      <c r="BT1140" s="28"/>
      <c r="BU1140" s="304" t="str">
        <f t="shared" si="728"/>
        <v/>
      </c>
      <c r="BV1140" s="304" t="str">
        <f t="shared" si="728"/>
        <v/>
      </c>
      <c r="BW1140" s="28"/>
      <c r="BX1140" s="91"/>
    </row>
    <row r="1141" spans="1:76" s="55" customFormat="1" x14ac:dyDescent="0.25">
      <c r="A1141" s="359">
        <v>78</v>
      </c>
      <c r="B1141" s="216" t="str">
        <f t="shared" si="730"/>
        <v>World: FAO. 2017. Global Livestock Environmental Assessment Model (GLEAM)</v>
      </c>
      <c r="C1141" s="219" t="s">
        <v>227</v>
      </c>
      <c r="D1141" s="219" t="s">
        <v>440</v>
      </c>
      <c r="E1141" s="219" t="s">
        <v>95</v>
      </c>
      <c r="F1141" s="371" t="s">
        <v>371</v>
      </c>
      <c r="G1141" s="220" t="s">
        <v>26</v>
      </c>
      <c r="H1141" s="221">
        <v>2010</v>
      </c>
      <c r="I1141" s="240"/>
      <c r="J1141" s="227">
        <v>170140474027.69946</v>
      </c>
      <c r="K1141" s="226" t="s">
        <v>688</v>
      </c>
      <c r="L1141" s="334">
        <f>J1141/[1]GHGsources!$I$14*0.001</f>
        <v>3.1707519292240444E-2</v>
      </c>
      <c r="M1141" s="225" t="str">
        <f>CONCATENATE("t CO2-eq/ ",IF('[1]Advanced Controls'!$F$169="Implementation",AdoptionUnitOfMeasure,FunctionalUnitOfMeasure))</f>
        <v>t CO2-eq/ kg of protein</v>
      </c>
      <c r="N1141" s="227"/>
      <c r="O1141" s="227" t="s">
        <v>441</v>
      </c>
      <c r="P1141" s="122"/>
      <c r="Q1141" s="228"/>
      <c r="R1141" s="231">
        <f t="shared" si="735"/>
        <v>3.1707519292240444E-2</v>
      </c>
      <c r="S1141" s="230">
        <f t="shared" si="731"/>
        <v>3.1707519292240444E-2</v>
      </c>
      <c r="T1141" s="231">
        <f t="shared" si="729"/>
        <v>0</v>
      </c>
      <c r="U1141" s="232" t="str">
        <f t="shared" si="732"/>
        <v>t CO2-eq/ kg of protein</v>
      </c>
      <c r="V1141" s="28"/>
      <c r="W1141" s="28"/>
      <c r="Y1141" s="91"/>
      <c r="AO1141" s="91"/>
      <c r="AP1141" s="28"/>
      <c r="AQ1141" s="28"/>
      <c r="AR1141" s="233" t="str">
        <f t="shared" si="733"/>
        <v>t CO2-eq/ kg of protein</v>
      </c>
      <c r="AS1141" s="28"/>
      <c r="AT1141" s="304">
        <f t="shared" si="734"/>
        <v>3.1707519292240444E-2</v>
      </c>
      <c r="AU1141" s="304">
        <f t="shared" si="734"/>
        <v>3.1707519292240444E-2</v>
      </c>
      <c r="AV1141" s="28"/>
      <c r="AW1141" s="304" t="str">
        <f t="shared" si="720"/>
        <v/>
      </c>
      <c r="AX1141" s="304" t="str">
        <f t="shared" si="720"/>
        <v/>
      </c>
      <c r="AY1141" s="28"/>
      <c r="AZ1141" s="304" t="str">
        <f t="shared" si="721"/>
        <v/>
      </c>
      <c r="BA1141" s="304" t="str">
        <f t="shared" si="721"/>
        <v/>
      </c>
      <c r="BB1141" s="28"/>
      <c r="BC1141" s="304" t="str">
        <f t="shared" si="722"/>
        <v/>
      </c>
      <c r="BD1141" s="304" t="str">
        <f t="shared" si="722"/>
        <v/>
      </c>
      <c r="BE1141" s="28"/>
      <c r="BF1141" s="304" t="str">
        <f t="shared" si="723"/>
        <v/>
      </c>
      <c r="BG1141" s="304" t="str">
        <f t="shared" si="723"/>
        <v/>
      </c>
      <c r="BH1141" s="28"/>
      <c r="BI1141" s="304" t="str">
        <f t="shared" si="724"/>
        <v/>
      </c>
      <c r="BJ1141" s="304" t="str">
        <f t="shared" si="724"/>
        <v/>
      </c>
      <c r="BK1141" s="28"/>
      <c r="BL1141" s="304" t="str">
        <f t="shared" si="725"/>
        <v/>
      </c>
      <c r="BM1141" s="304" t="str">
        <f t="shared" si="725"/>
        <v/>
      </c>
      <c r="BN1141" s="28"/>
      <c r="BO1141" s="304" t="str">
        <f t="shared" si="726"/>
        <v/>
      </c>
      <c r="BP1141" s="304" t="str">
        <f t="shared" si="726"/>
        <v/>
      </c>
      <c r="BQ1141" s="28"/>
      <c r="BR1141" s="304" t="str">
        <f t="shared" si="727"/>
        <v/>
      </c>
      <c r="BS1141" s="304" t="str">
        <f t="shared" si="727"/>
        <v/>
      </c>
      <c r="BT1141" s="28"/>
      <c r="BU1141" s="304" t="str">
        <f t="shared" si="728"/>
        <v/>
      </c>
      <c r="BV1141" s="304" t="str">
        <f t="shared" si="728"/>
        <v/>
      </c>
      <c r="BW1141" s="28"/>
      <c r="BX1141" s="91"/>
    </row>
    <row r="1142" spans="1:76" s="55" customFormat="1" x14ac:dyDescent="0.25">
      <c r="A1142" s="359">
        <v>79</v>
      </c>
      <c r="B1142" s="216" t="str">
        <f t="shared" si="730"/>
        <v>Asia (Sans Japan): FAO. 2017. Global Livestock Environmental Assessment Model (GLEAM)</v>
      </c>
      <c r="C1142" s="219" t="s">
        <v>227</v>
      </c>
      <c r="D1142" s="219" t="s">
        <v>442</v>
      </c>
      <c r="E1142" s="219" t="s">
        <v>98</v>
      </c>
      <c r="F1142" s="373" t="s">
        <v>375</v>
      </c>
      <c r="G1142" s="220" t="s">
        <v>26</v>
      </c>
      <c r="H1142" s="221">
        <v>2010</v>
      </c>
      <c r="I1142" s="240"/>
      <c r="J1142" s="227">
        <v>36260247701.122711</v>
      </c>
      <c r="K1142" s="226" t="s">
        <v>688</v>
      </c>
      <c r="L1142" s="334">
        <f>J1142/[1]GHGsources!$I$15*0.001</f>
        <v>5.0358718290988688E-2</v>
      </c>
      <c r="M1142" s="225" t="str">
        <f>CONCATENATE("t CO2-eq/ ",IF('[1]Advanced Controls'!$F$169="Implementation",AdoptionUnitOfMeasure,FunctionalUnitOfMeasure))</f>
        <v>t CO2-eq/ kg of protein</v>
      </c>
      <c r="N1142" s="227"/>
      <c r="O1142" s="227" t="s">
        <v>441</v>
      </c>
      <c r="P1142" s="122"/>
      <c r="Q1142" s="228"/>
      <c r="R1142" s="231">
        <f t="shared" si="735"/>
        <v>5.0358718290988688E-2</v>
      </c>
      <c r="S1142" s="230">
        <f t="shared" si="731"/>
        <v>5.0358718290988688E-2</v>
      </c>
      <c r="T1142" s="231">
        <f t="shared" si="729"/>
        <v>0</v>
      </c>
      <c r="U1142" s="232" t="str">
        <f t="shared" si="732"/>
        <v>t CO2-eq/ kg of protein</v>
      </c>
      <c r="V1142" s="28"/>
      <c r="W1142" s="28"/>
      <c r="Y1142" s="91"/>
      <c r="AO1142" s="91"/>
      <c r="AP1142" s="28"/>
      <c r="AQ1142" s="28"/>
      <c r="AR1142" s="233" t="str">
        <f t="shared" si="733"/>
        <v>t CO2-eq/ kg of protein</v>
      </c>
      <c r="AS1142" s="28"/>
      <c r="AT1142" s="304" t="str">
        <f t="shared" si="734"/>
        <v/>
      </c>
      <c r="AU1142" s="304" t="str">
        <f t="shared" si="734"/>
        <v/>
      </c>
      <c r="AV1142" s="28"/>
      <c r="AW1142" s="304" t="str">
        <f t="shared" si="720"/>
        <v/>
      </c>
      <c r="AX1142" s="304" t="str">
        <f t="shared" si="720"/>
        <v/>
      </c>
      <c r="AY1142" s="28"/>
      <c r="AZ1142" s="304" t="str">
        <f t="shared" si="721"/>
        <v/>
      </c>
      <c r="BA1142" s="304" t="str">
        <f t="shared" si="721"/>
        <v/>
      </c>
      <c r="BB1142" s="28"/>
      <c r="BC1142" s="304">
        <f t="shared" si="722"/>
        <v>5.0358718290988688E-2</v>
      </c>
      <c r="BD1142" s="304">
        <f t="shared" si="722"/>
        <v>5.0358718290988688E-2</v>
      </c>
      <c r="BE1142" s="28"/>
      <c r="BF1142" s="304" t="str">
        <f t="shared" si="723"/>
        <v/>
      </c>
      <c r="BG1142" s="304" t="str">
        <f t="shared" si="723"/>
        <v/>
      </c>
      <c r="BH1142" s="28"/>
      <c r="BI1142" s="304" t="str">
        <f t="shared" si="724"/>
        <v/>
      </c>
      <c r="BJ1142" s="304" t="str">
        <f t="shared" si="724"/>
        <v/>
      </c>
      <c r="BK1142" s="28"/>
      <c r="BL1142" s="304" t="str">
        <f t="shared" si="725"/>
        <v/>
      </c>
      <c r="BM1142" s="304" t="str">
        <f t="shared" si="725"/>
        <v/>
      </c>
      <c r="BN1142" s="28"/>
      <c r="BO1142" s="304" t="str">
        <f t="shared" si="726"/>
        <v/>
      </c>
      <c r="BP1142" s="304" t="str">
        <f t="shared" si="726"/>
        <v/>
      </c>
      <c r="BQ1142" s="28"/>
      <c r="BR1142" s="304" t="str">
        <f t="shared" si="727"/>
        <v/>
      </c>
      <c r="BS1142" s="304" t="str">
        <f t="shared" si="727"/>
        <v/>
      </c>
      <c r="BT1142" s="28"/>
      <c r="BU1142" s="304" t="str">
        <f t="shared" si="728"/>
        <v/>
      </c>
      <c r="BV1142" s="304" t="str">
        <f t="shared" si="728"/>
        <v/>
      </c>
      <c r="BW1142" s="28"/>
      <c r="BX1142" s="91"/>
    </row>
    <row r="1143" spans="1:76" s="55" customFormat="1" x14ac:dyDescent="0.25">
      <c r="A1143" s="359">
        <v>80</v>
      </c>
      <c r="B1143" s="216" t="str">
        <f t="shared" si="730"/>
        <v>Eastern Europe: FAO. 2017. Global Livestock Environmental Assessment Model (GLEAM)</v>
      </c>
      <c r="C1143" s="219" t="s">
        <v>227</v>
      </c>
      <c r="D1143" s="219" t="s">
        <v>443</v>
      </c>
      <c r="E1143" s="219" t="s">
        <v>97</v>
      </c>
      <c r="F1143" s="373" t="s">
        <v>97</v>
      </c>
      <c r="G1143" s="220" t="s">
        <v>26</v>
      </c>
      <c r="H1143" s="221">
        <v>2010</v>
      </c>
      <c r="I1143" s="240"/>
      <c r="J1143" s="227">
        <v>6071125480.7091255</v>
      </c>
      <c r="K1143" s="226" t="s">
        <v>688</v>
      </c>
      <c r="L1143" s="338">
        <f>J1143/[1]GHGsources!$I$16*0.001</f>
        <v>2.9664723430973539E-2</v>
      </c>
      <c r="M1143" s="225" t="str">
        <f>CONCATENATE("t CO2-eq/ ",IF('[1]Advanced Controls'!$F$169="Implementation",AdoptionUnitOfMeasure,FunctionalUnitOfMeasure))</f>
        <v>t CO2-eq/ kg of protein</v>
      </c>
      <c r="N1143" s="227"/>
      <c r="O1143" s="227" t="s">
        <v>441</v>
      </c>
      <c r="P1143" s="122"/>
      <c r="Q1143" s="228"/>
      <c r="R1143" s="231">
        <f t="shared" si="735"/>
        <v>2.9664723430973539E-2</v>
      </c>
      <c r="S1143" s="230">
        <f t="shared" si="731"/>
        <v>2.9664723430973539E-2</v>
      </c>
      <c r="T1143" s="231">
        <f t="shared" si="729"/>
        <v>0</v>
      </c>
      <c r="U1143" s="232" t="str">
        <f t="shared" si="732"/>
        <v>t CO2-eq/ kg of protein</v>
      </c>
      <c r="V1143" s="28"/>
      <c r="W1143" s="28"/>
      <c r="Y1143" s="91"/>
      <c r="AO1143" s="91"/>
      <c r="AP1143" s="28"/>
      <c r="AQ1143" s="28"/>
      <c r="AR1143" s="233" t="str">
        <f t="shared" si="733"/>
        <v>t CO2-eq/ kg of protein</v>
      </c>
      <c r="AS1143" s="28"/>
      <c r="AT1143" s="304" t="str">
        <f t="shared" si="734"/>
        <v/>
      </c>
      <c r="AU1143" s="304" t="str">
        <f t="shared" si="734"/>
        <v/>
      </c>
      <c r="AV1143" s="28"/>
      <c r="AW1143" s="304" t="str">
        <f t="shared" si="720"/>
        <v/>
      </c>
      <c r="AX1143" s="304" t="str">
        <f t="shared" si="720"/>
        <v/>
      </c>
      <c r="AY1143" s="28"/>
      <c r="AZ1143" s="304">
        <f t="shared" si="721"/>
        <v>2.9664723430973539E-2</v>
      </c>
      <c r="BA1143" s="304">
        <f t="shared" si="721"/>
        <v>2.9664723430973539E-2</v>
      </c>
      <c r="BB1143" s="28"/>
      <c r="BC1143" s="304" t="str">
        <f t="shared" si="722"/>
        <v/>
      </c>
      <c r="BD1143" s="304" t="str">
        <f t="shared" si="722"/>
        <v/>
      </c>
      <c r="BE1143" s="28"/>
      <c r="BF1143" s="304" t="str">
        <f t="shared" si="723"/>
        <v/>
      </c>
      <c r="BG1143" s="304" t="str">
        <f t="shared" si="723"/>
        <v/>
      </c>
      <c r="BH1143" s="28"/>
      <c r="BI1143" s="304" t="str">
        <f t="shared" si="724"/>
        <v/>
      </c>
      <c r="BJ1143" s="304" t="str">
        <f t="shared" si="724"/>
        <v/>
      </c>
      <c r="BK1143" s="28"/>
      <c r="BL1143" s="304" t="str">
        <f t="shared" si="725"/>
        <v/>
      </c>
      <c r="BM1143" s="304" t="str">
        <f t="shared" si="725"/>
        <v/>
      </c>
      <c r="BN1143" s="28"/>
      <c r="BO1143" s="304" t="str">
        <f t="shared" si="726"/>
        <v/>
      </c>
      <c r="BP1143" s="304" t="str">
        <f t="shared" si="726"/>
        <v/>
      </c>
      <c r="BQ1143" s="28"/>
      <c r="BR1143" s="304" t="str">
        <f t="shared" si="727"/>
        <v/>
      </c>
      <c r="BS1143" s="304" t="str">
        <f t="shared" si="727"/>
        <v/>
      </c>
      <c r="BT1143" s="28"/>
      <c r="BU1143" s="304" t="str">
        <f t="shared" si="728"/>
        <v/>
      </c>
      <c r="BV1143" s="304" t="str">
        <f t="shared" si="728"/>
        <v/>
      </c>
      <c r="BW1143" s="28"/>
      <c r="BX1143" s="91"/>
    </row>
    <row r="1144" spans="1:76" s="55" customFormat="1" x14ac:dyDescent="0.25">
      <c r="A1144" s="359">
        <v>81</v>
      </c>
      <c r="B1144" s="216" t="str">
        <f t="shared" si="730"/>
        <v>Latin America: FAO. 2017. Global Livestock Environmental Assessment Model (GLEAM)</v>
      </c>
      <c r="C1144" s="219" t="s">
        <v>227</v>
      </c>
      <c r="D1144" s="219" t="s">
        <v>444</v>
      </c>
      <c r="E1144" s="219" t="s">
        <v>100</v>
      </c>
      <c r="F1144" s="373" t="s">
        <v>378</v>
      </c>
      <c r="G1144" s="220" t="s">
        <v>26</v>
      </c>
      <c r="H1144" s="221">
        <v>2010</v>
      </c>
      <c r="I1144" s="240"/>
      <c r="J1144" s="227">
        <v>50917751119.233353</v>
      </c>
      <c r="K1144" s="226" t="s">
        <v>688</v>
      </c>
      <c r="L1144" s="334">
        <f>J1144/[1]GHGsources!$I$17*0.001</f>
        <v>2.7205754469560483E-2</v>
      </c>
      <c r="M1144" s="225" t="str">
        <f>CONCATENATE("t CO2-eq/ ",IF('[1]Advanced Controls'!$F$169="Implementation",AdoptionUnitOfMeasure,FunctionalUnitOfMeasure))</f>
        <v>t CO2-eq/ kg of protein</v>
      </c>
      <c r="N1144" s="227"/>
      <c r="O1144" s="227" t="s">
        <v>441</v>
      </c>
      <c r="P1144" s="122"/>
      <c r="Q1144" s="228"/>
      <c r="R1144" s="231">
        <f t="shared" si="735"/>
        <v>2.7205754469560483E-2</v>
      </c>
      <c r="S1144" s="230">
        <f t="shared" si="731"/>
        <v>2.7205754469560483E-2</v>
      </c>
      <c r="T1144" s="231">
        <f t="shared" si="729"/>
        <v>0</v>
      </c>
      <c r="U1144" s="232" t="str">
        <f t="shared" si="732"/>
        <v>t CO2-eq/ kg of protein</v>
      </c>
      <c r="V1144" s="28"/>
      <c r="W1144" s="28"/>
      <c r="Y1144" s="91"/>
      <c r="AO1144" s="91"/>
      <c r="AP1144" s="28"/>
      <c r="AQ1144" s="28"/>
      <c r="AR1144" s="233" t="str">
        <f t="shared" si="733"/>
        <v>t CO2-eq/ kg of protein</v>
      </c>
      <c r="AS1144" s="28"/>
      <c r="AT1144" s="304" t="str">
        <f t="shared" si="734"/>
        <v/>
      </c>
      <c r="AU1144" s="304" t="str">
        <f t="shared" si="734"/>
        <v/>
      </c>
      <c r="AV1144" s="28"/>
      <c r="AW1144" s="304" t="str">
        <f t="shared" ref="AW1144:AX1207" si="736">IF($E1144=$AW$83,R1144,"")</f>
        <v/>
      </c>
      <c r="AX1144" s="304" t="str">
        <f t="shared" si="736"/>
        <v/>
      </c>
      <c r="AY1144" s="28"/>
      <c r="AZ1144" s="304" t="str">
        <f t="shared" ref="AZ1144:BA1207" si="737">IF($E1144=$AZ$83,R1144,"")</f>
        <v/>
      </c>
      <c r="BA1144" s="304" t="str">
        <f t="shared" si="737"/>
        <v/>
      </c>
      <c r="BB1144" s="28"/>
      <c r="BC1144" s="304" t="str">
        <f t="shared" ref="BC1144:BD1207" si="738">IF($E1144=$BC$83,R1144,"")</f>
        <v/>
      </c>
      <c r="BD1144" s="304" t="str">
        <f t="shared" si="738"/>
        <v/>
      </c>
      <c r="BE1144" s="28"/>
      <c r="BF1144" s="304" t="str">
        <f t="shared" ref="BF1144:BG1207" si="739">IF($E1144=$BF$83,R1144,"")</f>
        <v/>
      </c>
      <c r="BG1144" s="304" t="str">
        <f t="shared" si="739"/>
        <v/>
      </c>
      <c r="BH1144" s="28"/>
      <c r="BI1144" s="304">
        <f t="shared" ref="BI1144:BJ1207" si="740">IF($E1144=$BI$83,R1144,"")</f>
        <v>2.7205754469560483E-2</v>
      </c>
      <c r="BJ1144" s="304">
        <f t="shared" si="740"/>
        <v>2.7205754469560483E-2</v>
      </c>
      <c r="BK1144" s="28"/>
      <c r="BL1144" s="304" t="str">
        <f t="shared" ref="BL1144:BM1207" si="741">IF($E1144=$BL$83,R1144,"")</f>
        <v/>
      </c>
      <c r="BM1144" s="304" t="str">
        <f t="shared" si="741"/>
        <v/>
      </c>
      <c r="BN1144" s="28"/>
      <c r="BO1144" s="304" t="str">
        <f t="shared" ref="BO1144:BP1207" si="742">IF($E1144=$BO$83,R1144,"")</f>
        <v/>
      </c>
      <c r="BP1144" s="304" t="str">
        <f t="shared" si="742"/>
        <v/>
      </c>
      <c r="BQ1144" s="28"/>
      <c r="BR1144" s="304" t="str">
        <f t="shared" ref="BR1144:BS1207" si="743">IF($E1144=$BR$83,R1144,"")</f>
        <v/>
      </c>
      <c r="BS1144" s="304" t="str">
        <f t="shared" si="743"/>
        <v/>
      </c>
      <c r="BT1144" s="28"/>
      <c r="BU1144" s="304" t="str">
        <f t="shared" ref="BU1144:BV1207" si="744">IF($E1144=$BU$83,R1144,"")</f>
        <v/>
      </c>
      <c r="BV1144" s="304" t="str">
        <f t="shared" si="744"/>
        <v/>
      </c>
      <c r="BW1144" s="28"/>
      <c r="BX1144" s="91"/>
    </row>
    <row r="1145" spans="1:76" s="55" customFormat="1" x14ac:dyDescent="0.25">
      <c r="A1145" s="359">
        <v>82</v>
      </c>
      <c r="B1145" s="216" t="str">
        <f t="shared" si="730"/>
        <v>Middle East and Africa: FAO. 2017. Global Livestock Environmental Assessment Model (GLEAM)</v>
      </c>
      <c r="C1145" s="219" t="s">
        <v>227</v>
      </c>
      <c r="D1145" s="219" t="s">
        <v>445</v>
      </c>
      <c r="E1145" s="219" t="s">
        <v>99</v>
      </c>
      <c r="F1145" s="373" t="s">
        <v>380</v>
      </c>
      <c r="G1145" s="220" t="s">
        <v>26</v>
      </c>
      <c r="H1145" s="221">
        <v>2010</v>
      </c>
      <c r="I1145" s="240"/>
      <c r="J1145" s="227">
        <v>2742518800.9650722</v>
      </c>
      <c r="K1145" s="226" t="s">
        <v>688</v>
      </c>
      <c r="L1145" s="338">
        <f>J1145/[1]GHGsources!$I$18*0.001</f>
        <v>1.0299917470017907E-2</v>
      </c>
      <c r="M1145" s="225" t="str">
        <f>CONCATENATE("t CO2-eq/ ",IF('[1]Advanced Controls'!$F$169="Implementation",AdoptionUnitOfMeasure,FunctionalUnitOfMeasure))</f>
        <v>t CO2-eq/ kg of protein</v>
      </c>
      <c r="N1145" s="227"/>
      <c r="O1145" s="227" t="s">
        <v>441</v>
      </c>
      <c r="P1145" s="122"/>
      <c r="Q1145" s="228"/>
      <c r="R1145" s="231">
        <f t="shared" si="735"/>
        <v>1.0299917470017907E-2</v>
      </c>
      <c r="S1145" s="230">
        <f t="shared" si="731"/>
        <v>1.0299917470017907E-2</v>
      </c>
      <c r="T1145" s="231">
        <f t="shared" si="729"/>
        <v>0</v>
      </c>
      <c r="U1145" s="232" t="str">
        <f t="shared" si="732"/>
        <v>t CO2-eq/ kg of protein</v>
      </c>
      <c r="V1145" s="28"/>
      <c r="W1145" s="28"/>
      <c r="Y1145" s="91"/>
      <c r="AO1145" s="91"/>
      <c r="AP1145" s="28"/>
      <c r="AQ1145" s="28"/>
      <c r="AR1145" s="233" t="str">
        <f t="shared" si="733"/>
        <v>t CO2-eq/ kg of protein</v>
      </c>
      <c r="AS1145" s="28"/>
      <c r="AT1145" s="304" t="str">
        <f t="shared" ref="AT1145:AU1208" si="745">IF($E1145=$AT$47,R1145,"")</f>
        <v/>
      </c>
      <c r="AU1145" s="304" t="str">
        <f t="shared" si="745"/>
        <v/>
      </c>
      <c r="AV1145" s="28"/>
      <c r="AW1145" s="304" t="str">
        <f t="shared" si="736"/>
        <v/>
      </c>
      <c r="AX1145" s="304" t="str">
        <f t="shared" si="736"/>
        <v/>
      </c>
      <c r="AY1145" s="28"/>
      <c r="AZ1145" s="304" t="str">
        <f t="shared" si="737"/>
        <v/>
      </c>
      <c r="BA1145" s="304" t="str">
        <f t="shared" si="737"/>
        <v/>
      </c>
      <c r="BB1145" s="28"/>
      <c r="BC1145" s="304" t="str">
        <f t="shared" si="738"/>
        <v/>
      </c>
      <c r="BD1145" s="304" t="str">
        <f t="shared" si="738"/>
        <v/>
      </c>
      <c r="BE1145" s="28"/>
      <c r="BF1145" s="304">
        <f t="shared" si="739"/>
        <v>1.0299917470017907E-2</v>
      </c>
      <c r="BG1145" s="304">
        <f t="shared" si="739"/>
        <v>1.0299917470017907E-2</v>
      </c>
      <c r="BH1145" s="28"/>
      <c r="BI1145" s="304" t="str">
        <f t="shared" si="740"/>
        <v/>
      </c>
      <c r="BJ1145" s="304" t="str">
        <f t="shared" si="740"/>
        <v/>
      </c>
      <c r="BK1145" s="28"/>
      <c r="BL1145" s="304" t="str">
        <f t="shared" si="741"/>
        <v/>
      </c>
      <c r="BM1145" s="304" t="str">
        <f t="shared" si="741"/>
        <v/>
      </c>
      <c r="BN1145" s="28"/>
      <c r="BO1145" s="304" t="str">
        <f t="shared" si="742"/>
        <v/>
      </c>
      <c r="BP1145" s="304" t="str">
        <f t="shared" si="742"/>
        <v/>
      </c>
      <c r="BQ1145" s="28"/>
      <c r="BR1145" s="304" t="str">
        <f t="shared" si="743"/>
        <v/>
      </c>
      <c r="BS1145" s="304" t="str">
        <f t="shared" si="743"/>
        <v/>
      </c>
      <c r="BT1145" s="28"/>
      <c r="BU1145" s="304" t="str">
        <f t="shared" si="744"/>
        <v/>
      </c>
      <c r="BV1145" s="304" t="str">
        <f t="shared" si="744"/>
        <v/>
      </c>
      <c r="BW1145" s="28"/>
      <c r="BX1145" s="91"/>
    </row>
    <row r="1146" spans="1:76" s="55" customFormat="1" x14ac:dyDescent="0.25">
      <c r="A1146" s="359">
        <v>83</v>
      </c>
      <c r="B1146" s="216" t="str">
        <f t="shared" si="730"/>
        <v>OECD90: FAO. 2017. Global Livestock Environmental Assessment Model (GLEAM)</v>
      </c>
      <c r="C1146" s="219" t="s">
        <v>227</v>
      </c>
      <c r="D1146" s="219" t="s">
        <v>446</v>
      </c>
      <c r="E1146" s="219" t="s">
        <v>96</v>
      </c>
      <c r="F1146" s="373" t="s">
        <v>179</v>
      </c>
      <c r="G1146" s="220" t="s">
        <v>26</v>
      </c>
      <c r="H1146" s="221">
        <v>2010</v>
      </c>
      <c r="I1146" s="240"/>
      <c r="J1146" s="227">
        <v>6752135344.9319563</v>
      </c>
      <c r="K1146" s="226" t="s">
        <v>688</v>
      </c>
      <c r="L1146" s="334">
        <f>J1146/[1]GHGsources!$I$19*0.001</f>
        <v>1.3084500326654062E-2</v>
      </c>
      <c r="M1146" s="225" t="str">
        <f>CONCATENATE("t CO2-eq/ ",IF('[1]Advanced Controls'!$F$169="Implementation",AdoptionUnitOfMeasure,FunctionalUnitOfMeasure))</f>
        <v>t CO2-eq/ kg of protein</v>
      </c>
      <c r="N1146" s="227"/>
      <c r="O1146" s="227" t="s">
        <v>441</v>
      </c>
      <c r="P1146" s="122"/>
      <c r="Q1146" s="228"/>
      <c r="R1146" s="231">
        <f t="shared" si="735"/>
        <v>1.3084500326654062E-2</v>
      </c>
      <c r="S1146" s="230">
        <f t="shared" si="731"/>
        <v>1.3084500326654062E-2</v>
      </c>
      <c r="T1146" s="231">
        <f t="shared" si="729"/>
        <v>0</v>
      </c>
      <c r="U1146" s="232" t="str">
        <f t="shared" si="732"/>
        <v>t CO2-eq/ kg of protein</v>
      </c>
      <c r="V1146" s="28"/>
      <c r="W1146" s="28"/>
      <c r="Y1146" s="91"/>
      <c r="AO1146" s="91"/>
      <c r="AP1146" s="28"/>
      <c r="AQ1146" s="28"/>
      <c r="AR1146" s="233" t="str">
        <f t="shared" si="733"/>
        <v>t CO2-eq/ kg of protein</v>
      </c>
      <c r="AS1146" s="28"/>
      <c r="AT1146" s="304" t="str">
        <f t="shared" si="745"/>
        <v/>
      </c>
      <c r="AU1146" s="304" t="str">
        <f t="shared" si="745"/>
        <v/>
      </c>
      <c r="AV1146" s="28"/>
      <c r="AW1146" s="304">
        <f t="shared" si="736"/>
        <v>1.3084500326654062E-2</v>
      </c>
      <c r="AX1146" s="304">
        <f t="shared" si="736"/>
        <v>1.3084500326654062E-2</v>
      </c>
      <c r="AY1146" s="28"/>
      <c r="AZ1146" s="304" t="str">
        <f t="shared" si="737"/>
        <v/>
      </c>
      <c r="BA1146" s="304" t="str">
        <f t="shared" si="737"/>
        <v/>
      </c>
      <c r="BB1146" s="28"/>
      <c r="BC1146" s="304" t="str">
        <f t="shared" si="738"/>
        <v/>
      </c>
      <c r="BD1146" s="304" t="str">
        <f t="shared" si="738"/>
        <v/>
      </c>
      <c r="BE1146" s="28"/>
      <c r="BF1146" s="304" t="str">
        <f t="shared" si="739"/>
        <v/>
      </c>
      <c r="BG1146" s="304" t="str">
        <f t="shared" si="739"/>
        <v/>
      </c>
      <c r="BH1146" s="28"/>
      <c r="BI1146" s="304" t="str">
        <f t="shared" si="740"/>
        <v/>
      </c>
      <c r="BJ1146" s="304" t="str">
        <f t="shared" si="740"/>
        <v/>
      </c>
      <c r="BK1146" s="28"/>
      <c r="BL1146" s="304" t="str">
        <f t="shared" si="741"/>
        <v/>
      </c>
      <c r="BM1146" s="304" t="str">
        <f t="shared" si="741"/>
        <v/>
      </c>
      <c r="BN1146" s="28"/>
      <c r="BO1146" s="304" t="str">
        <f t="shared" si="742"/>
        <v/>
      </c>
      <c r="BP1146" s="304" t="str">
        <f t="shared" si="742"/>
        <v/>
      </c>
      <c r="BQ1146" s="28"/>
      <c r="BR1146" s="304" t="str">
        <f t="shared" si="743"/>
        <v/>
      </c>
      <c r="BS1146" s="304" t="str">
        <f t="shared" si="743"/>
        <v/>
      </c>
      <c r="BT1146" s="28"/>
      <c r="BU1146" s="304" t="str">
        <f t="shared" si="744"/>
        <v/>
      </c>
      <c r="BV1146" s="304" t="str">
        <f t="shared" si="744"/>
        <v/>
      </c>
      <c r="BW1146" s="28"/>
      <c r="BX1146" s="91"/>
    </row>
    <row r="1147" spans="1:76" s="55" customFormat="1" x14ac:dyDescent="0.25">
      <c r="A1147" s="359">
        <v>84</v>
      </c>
      <c r="B1147" s="216" t="str">
        <f t="shared" si="730"/>
        <v>OECD90: FAO. 2017. Global Livestock Environmental Assessment Model (GLEAM)</v>
      </c>
      <c r="C1147" s="219" t="s">
        <v>227</v>
      </c>
      <c r="D1147" s="219" t="s">
        <v>447</v>
      </c>
      <c r="E1147" s="219" t="s">
        <v>96</v>
      </c>
      <c r="F1147" s="373" t="s">
        <v>185</v>
      </c>
      <c r="G1147" s="220" t="s">
        <v>26</v>
      </c>
      <c r="H1147" s="221">
        <v>2010</v>
      </c>
      <c r="I1147" s="240"/>
      <c r="J1147" s="227">
        <v>3673899202.6249743</v>
      </c>
      <c r="K1147" s="226" t="s">
        <v>688</v>
      </c>
      <c r="L1147" s="337">
        <f>J1147/[1]GHGsources!$I$20*0.001</f>
        <v>2.5835832334217379E-2</v>
      </c>
      <c r="M1147" s="225" t="str">
        <f>CONCATENATE("t CO2-eq/ ",IF('[1]Advanced Controls'!$F$169="Implementation",AdoptionUnitOfMeasure,FunctionalUnitOfMeasure))</f>
        <v>t CO2-eq/ kg of protein</v>
      </c>
      <c r="N1147" s="227"/>
      <c r="O1147" s="227" t="s">
        <v>441</v>
      </c>
      <c r="P1147" s="122"/>
      <c r="Q1147" s="228"/>
      <c r="R1147" s="231">
        <f t="shared" si="735"/>
        <v>2.5835832334217379E-2</v>
      </c>
      <c r="S1147" s="230">
        <f t="shared" si="731"/>
        <v>2.5835832334217379E-2</v>
      </c>
      <c r="T1147" s="231">
        <f t="shared" si="729"/>
        <v>0</v>
      </c>
      <c r="U1147" s="232" t="str">
        <f t="shared" si="732"/>
        <v>t CO2-eq/ kg of protein</v>
      </c>
      <c r="V1147" s="28"/>
      <c r="W1147" s="28"/>
      <c r="Y1147" s="91"/>
      <c r="AO1147" s="91"/>
      <c r="AP1147" s="28"/>
      <c r="AQ1147" s="28"/>
      <c r="AR1147" s="233" t="str">
        <f t="shared" si="733"/>
        <v>t CO2-eq/ kg of protein</v>
      </c>
      <c r="AS1147" s="28"/>
      <c r="AT1147" s="304" t="str">
        <f t="shared" si="745"/>
        <v/>
      </c>
      <c r="AU1147" s="304" t="str">
        <f t="shared" si="745"/>
        <v/>
      </c>
      <c r="AV1147" s="28"/>
      <c r="AW1147" s="304">
        <f t="shared" si="736"/>
        <v>2.5835832334217379E-2</v>
      </c>
      <c r="AX1147" s="304">
        <f t="shared" si="736"/>
        <v>2.5835832334217379E-2</v>
      </c>
      <c r="AY1147" s="28"/>
      <c r="AZ1147" s="304" t="str">
        <f t="shared" si="737"/>
        <v/>
      </c>
      <c r="BA1147" s="304" t="str">
        <f t="shared" si="737"/>
        <v/>
      </c>
      <c r="BB1147" s="28"/>
      <c r="BC1147" s="304" t="str">
        <f t="shared" si="738"/>
        <v/>
      </c>
      <c r="BD1147" s="304" t="str">
        <f t="shared" si="738"/>
        <v/>
      </c>
      <c r="BE1147" s="28"/>
      <c r="BF1147" s="304" t="str">
        <f t="shared" si="739"/>
        <v/>
      </c>
      <c r="BG1147" s="304" t="str">
        <f t="shared" si="739"/>
        <v/>
      </c>
      <c r="BH1147" s="28"/>
      <c r="BI1147" s="304" t="str">
        <f t="shared" si="740"/>
        <v/>
      </c>
      <c r="BJ1147" s="304" t="str">
        <f t="shared" si="740"/>
        <v/>
      </c>
      <c r="BK1147" s="28"/>
      <c r="BL1147" s="304" t="str">
        <f t="shared" si="741"/>
        <v/>
      </c>
      <c r="BM1147" s="304" t="str">
        <f t="shared" si="741"/>
        <v/>
      </c>
      <c r="BN1147" s="28"/>
      <c r="BO1147" s="304" t="str">
        <f t="shared" si="742"/>
        <v/>
      </c>
      <c r="BP1147" s="304" t="str">
        <f t="shared" si="742"/>
        <v/>
      </c>
      <c r="BQ1147" s="28"/>
      <c r="BR1147" s="304" t="str">
        <f t="shared" si="743"/>
        <v/>
      </c>
      <c r="BS1147" s="304" t="str">
        <f t="shared" si="743"/>
        <v/>
      </c>
      <c r="BT1147" s="28"/>
      <c r="BU1147" s="304" t="str">
        <f t="shared" si="744"/>
        <v/>
      </c>
      <c r="BV1147" s="304" t="str">
        <f t="shared" si="744"/>
        <v/>
      </c>
      <c r="BW1147" s="28"/>
      <c r="BX1147" s="91"/>
    </row>
    <row r="1148" spans="1:76" s="55" customFormat="1" x14ac:dyDescent="0.25">
      <c r="A1148" s="359">
        <v>85</v>
      </c>
      <c r="B1148" s="216" t="str">
        <f t="shared" si="730"/>
        <v>Eastern Europe: FAO. 2017. Global Livestock Environmental Assessment Model (GLEAM)</v>
      </c>
      <c r="C1148" s="219" t="s">
        <v>227</v>
      </c>
      <c r="D1148" s="219" t="s">
        <v>448</v>
      </c>
      <c r="E1148" s="219" t="s">
        <v>97</v>
      </c>
      <c r="F1148" s="373" t="s">
        <v>384</v>
      </c>
      <c r="G1148" s="220" t="s">
        <v>26</v>
      </c>
      <c r="H1148" s="221">
        <v>2010</v>
      </c>
      <c r="I1148" s="240"/>
      <c r="J1148" s="227">
        <v>3832053018.1452975</v>
      </c>
      <c r="K1148" s="226" t="s">
        <v>688</v>
      </c>
      <c r="L1148" s="338">
        <f>J1148/[1]GHGsources!$I$21*0.001</f>
        <v>2.7289197919324423E-2</v>
      </c>
      <c r="M1148" s="225" t="str">
        <f>CONCATENATE("t CO2-eq/ ",IF('[1]Advanced Controls'!$F$169="Implementation",AdoptionUnitOfMeasure,FunctionalUnitOfMeasure))</f>
        <v>t CO2-eq/ kg of protein</v>
      </c>
      <c r="N1148" s="227"/>
      <c r="O1148" s="227" t="s">
        <v>441</v>
      </c>
      <c r="P1148" s="122"/>
      <c r="Q1148" s="228"/>
      <c r="R1148" s="231">
        <f t="shared" si="735"/>
        <v>2.7289197919324423E-2</v>
      </c>
      <c r="S1148" s="230">
        <f t="shared" si="731"/>
        <v>2.7289197919324423E-2</v>
      </c>
      <c r="T1148" s="231">
        <f t="shared" si="729"/>
        <v>0</v>
      </c>
      <c r="U1148" s="232" t="str">
        <f t="shared" si="732"/>
        <v>t CO2-eq/ kg of protein</v>
      </c>
      <c r="V1148" s="28"/>
      <c r="W1148" s="28"/>
      <c r="Y1148" s="91"/>
      <c r="AO1148" s="91"/>
      <c r="AP1148" s="28"/>
      <c r="AQ1148" s="28"/>
      <c r="AR1148" s="233" t="str">
        <f t="shared" si="733"/>
        <v>t CO2-eq/ kg of protein</v>
      </c>
      <c r="AS1148" s="28"/>
      <c r="AT1148" s="304" t="str">
        <f t="shared" si="745"/>
        <v/>
      </c>
      <c r="AU1148" s="304" t="str">
        <f t="shared" si="745"/>
        <v/>
      </c>
      <c r="AV1148" s="28"/>
      <c r="AW1148" s="304" t="str">
        <f t="shared" si="736"/>
        <v/>
      </c>
      <c r="AX1148" s="304" t="str">
        <f t="shared" si="736"/>
        <v/>
      </c>
      <c r="AY1148" s="28"/>
      <c r="AZ1148" s="304">
        <f t="shared" si="737"/>
        <v>2.7289197919324423E-2</v>
      </c>
      <c r="BA1148" s="304">
        <f t="shared" si="737"/>
        <v>2.7289197919324423E-2</v>
      </c>
      <c r="BB1148" s="28"/>
      <c r="BC1148" s="304" t="str">
        <f t="shared" si="738"/>
        <v/>
      </c>
      <c r="BD1148" s="304" t="str">
        <f t="shared" si="738"/>
        <v/>
      </c>
      <c r="BE1148" s="28"/>
      <c r="BF1148" s="304" t="str">
        <f t="shared" si="739"/>
        <v/>
      </c>
      <c r="BG1148" s="304" t="str">
        <f t="shared" si="739"/>
        <v/>
      </c>
      <c r="BH1148" s="28"/>
      <c r="BI1148" s="304" t="str">
        <f t="shared" si="740"/>
        <v/>
      </c>
      <c r="BJ1148" s="304" t="str">
        <f t="shared" si="740"/>
        <v/>
      </c>
      <c r="BK1148" s="28"/>
      <c r="BL1148" s="304" t="str">
        <f t="shared" si="741"/>
        <v/>
      </c>
      <c r="BM1148" s="304" t="str">
        <f t="shared" si="741"/>
        <v/>
      </c>
      <c r="BN1148" s="28"/>
      <c r="BO1148" s="304" t="str">
        <f t="shared" si="742"/>
        <v/>
      </c>
      <c r="BP1148" s="304" t="str">
        <f t="shared" si="742"/>
        <v/>
      </c>
      <c r="BQ1148" s="28"/>
      <c r="BR1148" s="304" t="str">
        <f t="shared" si="743"/>
        <v/>
      </c>
      <c r="BS1148" s="304" t="str">
        <f t="shared" si="743"/>
        <v/>
      </c>
      <c r="BT1148" s="28"/>
      <c r="BU1148" s="304" t="str">
        <f t="shared" si="744"/>
        <v/>
      </c>
      <c r="BV1148" s="304" t="str">
        <f t="shared" si="744"/>
        <v/>
      </c>
      <c r="BW1148" s="28"/>
      <c r="BX1148" s="91"/>
    </row>
    <row r="1149" spans="1:76" s="55" customFormat="1" x14ac:dyDescent="0.25">
      <c r="A1149" s="359">
        <v>86</v>
      </c>
      <c r="B1149" s="216" t="str">
        <f t="shared" si="730"/>
        <v>Asia (Sans Japan): FAO. 2017. Global Livestock Environmental Assessment Model (GLEAM)</v>
      </c>
      <c r="C1149" s="219" t="s">
        <v>227</v>
      </c>
      <c r="D1149" s="219" t="s">
        <v>449</v>
      </c>
      <c r="E1149" s="219" t="s">
        <v>98</v>
      </c>
      <c r="F1149" s="373" t="s">
        <v>386</v>
      </c>
      <c r="G1149" s="220" t="s">
        <v>26</v>
      </c>
      <c r="H1149" s="221">
        <v>2010</v>
      </c>
      <c r="I1149" s="240"/>
      <c r="J1149" s="227">
        <v>37705811541.248802</v>
      </c>
      <c r="K1149" s="226" t="s">
        <v>688</v>
      </c>
      <c r="L1149" s="338">
        <f>J1149/[1]GHGsources!$I$22*0.001</f>
        <v>6.9055541159173284E-2</v>
      </c>
      <c r="M1149" s="225" t="str">
        <f>CONCATENATE("t CO2-eq/ ",IF('[1]Advanced Controls'!$F$169="Implementation",AdoptionUnitOfMeasure,FunctionalUnitOfMeasure))</f>
        <v>t CO2-eq/ kg of protein</v>
      </c>
      <c r="N1149" s="227"/>
      <c r="O1149" s="227" t="s">
        <v>441</v>
      </c>
      <c r="P1149" s="122"/>
      <c r="Q1149" s="228"/>
      <c r="R1149" s="231">
        <f t="shared" si="735"/>
        <v>6.9055541159173284E-2</v>
      </c>
      <c r="S1149" s="230">
        <f t="shared" si="731"/>
        <v>6.9055541159173284E-2</v>
      </c>
      <c r="T1149" s="231">
        <f t="shared" si="729"/>
        <v>0</v>
      </c>
      <c r="U1149" s="232" t="str">
        <f t="shared" si="732"/>
        <v>t CO2-eq/ kg of protein</v>
      </c>
      <c r="V1149" s="28"/>
      <c r="W1149" s="28"/>
      <c r="Y1149" s="91"/>
      <c r="AO1149" s="91"/>
      <c r="AP1149" s="28"/>
      <c r="AQ1149" s="28"/>
      <c r="AR1149" s="233" t="str">
        <f t="shared" si="733"/>
        <v>t CO2-eq/ kg of protein</v>
      </c>
      <c r="AS1149" s="28"/>
      <c r="AT1149" s="304" t="str">
        <f t="shared" si="745"/>
        <v/>
      </c>
      <c r="AU1149" s="304" t="str">
        <f t="shared" si="745"/>
        <v/>
      </c>
      <c r="AV1149" s="28"/>
      <c r="AW1149" s="304" t="str">
        <f t="shared" si="736"/>
        <v/>
      </c>
      <c r="AX1149" s="304" t="str">
        <f t="shared" si="736"/>
        <v/>
      </c>
      <c r="AY1149" s="28"/>
      <c r="AZ1149" s="304" t="str">
        <f t="shared" si="737"/>
        <v/>
      </c>
      <c r="BA1149" s="304" t="str">
        <f t="shared" si="737"/>
        <v/>
      </c>
      <c r="BB1149" s="28"/>
      <c r="BC1149" s="304">
        <f t="shared" si="738"/>
        <v>6.9055541159173284E-2</v>
      </c>
      <c r="BD1149" s="304">
        <f t="shared" si="738"/>
        <v>6.9055541159173284E-2</v>
      </c>
      <c r="BE1149" s="28"/>
      <c r="BF1149" s="304" t="str">
        <f t="shared" si="739"/>
        <v/>
      </c>
      <c r="BG1149" s="304" t="str">
        <f t="shared" si="739"/>
        <v/>
      </c>
      <c r="BH1149" s="28"/>
      <c r="BI1149" s="304" t="str">
        <f t="shared" si="740"/>
        <v/>
      </c>
      <c r="BJ1149" s="304" t="str">
        <f t="shared" si="740"/>
        <v/>
      </c>
      <c r="BK1149" s="28"/>
      <c r="BL1149" s="304" t="str">
        <f t="shared" si="741"/>
        <v/>
      </c>
      <c r="BM1149" s="304" t="str">
        <f t="shared" si="741"/>
        <v/>
      </c>
      <c r="BN1149" s="28"/>
      <c r="BO1149" s="304" t="str">
        <f t="shared" si="742"/>
        <v/>
      </c>
      <c r="BP1149" s="304" t="str">
        <f t="shared" si="742"/>
        <v/>
      </c>
      <c r="BQ1149" s="28"/>
      <c r="BR1149" s="304" t="str">
        <f t="shared" si="743"/>
        <v/>
      </c>
      <c r="BS1149" s="304" t="str">
        <f t="shared" si="743"/>
        <v/>
      </c>
      <c r="BT1149" s="28"/>
      <c r="BU1149" s="304" t="str">
        <f t="shared" si="744"/>
        <v/>
      </c>
      <c r="BV1149" s="304" t="str">
        <f t="shared" si="744"/>
        <v/>
      </c>
      <c r="BW1149" s="28"/>
      <c r="BX1149" s="91"/>
    </row>
    <row r="1150" spans="1:76" s="55" customFormat="1" x14ac:dyDescent="0.25">
      <c r="A1150" s="359">
        <v>87</v>
      </c>
      <c r="B1150" s="216" t="str">
        <f t="shared" si="730"/>
        <v>Middle East and Africa: FAO. 2017. Global Livestock Environmental Assessment Model (GLEAM)</v>
      </c>
      <c r="C1150" s="219" t="s">
        <v>227</v>
      </c>
      <c r="D1150" s="219" t="s">
        <v>450</v>
      </c>
      <c r="E1150" s="219" t="s">
        <v>99</v>
      </c>
      <c r="F1150" s="373" t="s">
        <v>388</v>
      </c>
      <c r="G1150" s="220" t="s">
        <v>26</v>
      </c>
      <c r="H1150" s="221">
        <v>2010</v>
      </c>
      <c r="I1150" s="240"/>
      <c r="J1150" s="227">
        <v>1200878878.726794</v>
      </c>
      <c r="K1150" s="226" t="s">
        <v>688</v>
      </c>
      <c r="L1150" s="334">
        <f>J1150/[1]GHGsources!$I$23*0.001</f>
        <v>6.2746158795135105E-3</v>
      </c>
      <c r="M1150" s="225" t="str">
        <f>CONCATENATE("t CO2-eq/ ",IF('[1]Advanced Controls'!$F$169="Implementation",AdoptionUnitOfMeasure,FunctionalUnitOfMeasure))</f>
        <v>t CO2-eq/ kg of protein</v>
      </c>
      <c r="N1150" s="227"/>
      <c r="O1150" s="227" t="s">
        <v>441</v>
      </c>
      <c r="P1150" s="122"/>
      <c r="Q1150" s="228"/>
      <c r="R1150" s="231">
        <f t="shared" si="735"/>
        <v>6.2746158795135105E-3</v>
      </c>
      <c r="S1150" s="230">
        <f t="shared" si="731"/>
        <v>6.2746158795135105E-3</v>
      </c>
      <c r="T1150" s="231">
        <f t="shared" si="729"/>
        <v>0</v>
      </c>
      <c r="U1150" s="232" t="str">
        <f t="shared" si="732"/>
        <v>t CO2-eq/ kg of protein</v>
      </c>
      <c r="V1150" s="28"/>
      <c r="W1150" s="28"/>
      <c r="Y1150" s="91"/>
      <c r="AO1150" s="91"/>
      <c r="AP1150" s="28"/>
      <c r="AQ1150" s="28"/>
      <c r="AR1150" s="233" t="str">
        <f t="shared" si="733"/>
        <v>t CO2-eq/ kg of protein</v>
      </c>
      <c r="AS1150" s="28"/>
      <c r="AT1150" s="304" t="str">
        <f t="shared" si="745"/>
        <v/>
      </c>
      <c r="AU1150" s="304" t="str">
        <f t="shared" si="745"/>
        <v/>
      </c>
      <c r="AV1150" s="28"/>
      <c r="AW1150" s="304" t="str">
        <f t="shared" si="736"/>
        <v/>
      </c>
      <c r="AX1150" s="304" t="str">
        <f t="shared" si="736"/>
        <v/>
      </c>
      <c r="AY1150" s="28"/>
      <c r="AZ1150" s="304" t="str">
        <f t="shared" si="737"/>
        <v/>
      </c>
      <c r="BA1150" s="304" t="str">
        <f t="shared" si="737"/>
        <v/>
      </c>
      <c r="BB1150" s="28"/>
      <c r="BC1150" s="304" t="str">
        <f t="shared" si="738"/>
        <v/>
      </c>
      <c r="BD1150" s="304" t="str">
        <f t="shared" si="738"/>
        <v/>
      </c>
      <c r="BE1150" s="28"/>
      <c r="BF1150" s="304">
        <f t="shared" si="739"/>
        <v>6.2746158795135105E-3</v>
      </c>
      <c r="BG1150" s="304">
        <f t="shared" si="739"/>
        <v>6.2746158795135105E-3</v>
      </c>
      <c r="BH1150" s="28"/>
      <c r="BI1150" s="304" t="str">
        <f t="shared" si="740"/>
        <v/>
      </c>
      <c r="BJ1150" s="304" t="str">
        <f t="shared" si="740"/>
        <v/>
      </c>
      <c r="BK1150" s="28"/>
      <c r="BL1150" s="304" t="str">
        <f t="shared" si="741"/>
        <v/>
      </c>
      <c r="BM1150" s="304" t="str">
        <f t="shared" si="741"/>
        <v/>
      </c>
      <c r="BN1150" s="28"/>
      <c r="BO1150" s="304" t="str">
        <f t="shared" si="742"/>
        <v/>
      </c>
      <c r="BP1150" s="304" t="str">
        <f t="shared" si="742"/>
        <v/>
      </c>
      <c r="BQ1150" s="28"/>
      <c r="BR1150" s="304" t="str">
        <f t="shared" si="743"/>
        <v/>
      </c>
      <c r="BS1150" s="304" t="str">
        <f t="shared" si="743"/>
        <v/>
      </c>
      <c r="BT1150" s="28"/>
      <c r="BU1150" s="304" t="str">
        <f t="shared" si="744"/>
        <v/>
      </c>
      <c r="BV1150" s="304" t="str">
        <f t="shared" si="744"/>
        <v/>
      </c>
      <c r="BW1150" s="28"/>
      <c r="BX1150" s="91"/>
    </row>
    <row r="1151" spans="1:76" s="55" customFormat="1" x14ac:dyDescent="0.25">
      <c r="A1151" s="359">
        <v>88</v>
      </c>
      <c r="B1151" s="216" t="str">
        <f t="shared" si="730"/>
        <v>OECD90: FAO. 2017. Global Livestock Environmental Assessment Model (GLEAM)</v>
      </c>
      <c r="C1151" s="219" t="s">
        <v>227</v>
      </c>
      <c r="D1151" s="219" t="s">
        <v>451</v>
      </c>
      <c r="E1151" s="219" t="s">
        <v>96</v>
      </c>
      <c r="F1151" s="373" t="s">
        <v>176</v>
      </c>
      <c r="G1151" s="220" t="s">
        <v>26</v>
      </c>
      <c r="H1151" s="221">
        <v>2010</v>
      </c>
      <c r="I1151" s="240"/>
      <c r="J1151" s="227">
        <v>20984052939.991325</v>
      </c>
      <c r="K1151" s="226" t="s">
        <v>688</v>
      </c>
      <c r="L1151" s="334">
        <f>J1151/[1]GHGsources!$I$24*0.001</f>
        <v>2.7347325149192626E-2</v>
      </c>
      <c r="M1151" s="225" t="str">
        <f>CONCATENATE("t CO2-eq/ ",IF('[1]Advanced Controls'!$F$169="Implementation",AdoptionUnitOfMeasure,FunctionalUnitOfMeasure))</f>
        <v>t CO2-eq/ kg of protein</v>
      </c>
      <c r="N1151" s="227"/>
      <c r="O1151" s="227" t="s">
        <v>441</v>
      </c>
      <c r="P1151" s="122"/>
      <c r="Q1151" s="228"/>
      <c r="R1151" s="231">
        <f t="shared" si="735"/>
        <v>2.7347325149192626E-2</v>
      </c>
      <c r="S1151" s="230">
        <f t="shared" si="731"/>
        <v>2.7347325149192626E-2</v>
      </c>
      <c r="T1151" s="231">
        <f t="shared" si="729"/>
        <v>0</v>
      </c>
      <c r="U1151" s="232" t="str">
        <f t="shared" si="732"/>
        <v>t CO2-eq/ kg of protein</v>
      </c>
      <c r="V1151" s="28"/>
      <c r="W1151" s="28"/>
      <c r="Y1151" s="91"/>
      <c r="AO1151" s="91"/>
      <c r="AP1151" s="28"/>
      <c r="AQ1151" s="28"/>
      <c r="AR1151" s="233" t="str">
        <f t="shared" si="733"/>
        <v>t CO2-eq/ kg of protein</v>
      </c>
      <c r="AS1151" s="28"/>
      <c r="AT1151" s="304" t="str">
        <f t="shared" si="745"/>
        <v/>
      </c>
      <c r="AU1151" s="304" t="str">
        <f t="shared" si="745"/>
        <v/>
      </c>
      <c r="AV1151" s="28"/>
      <c r="AW1151" s="304">
        <f t="shared" si="736"/>
        <v>2.7347325149192626E-2</v>
      </c>
      <c r="AX1151" s="304">
        <f t="shared" si="736"/>
        <v>2.7347325149192626E-2</v>
      </c>
      <c r="AY1151" s="28"/>
      <c r="AZ1151" s="304" t="str">
        <f t="shared" si="737"/>
        <v/>
      </c>
      <c r="BA1151" s="304" t="str">
        <f t="shared" si="737"/>
        <v/>
      </c>
      <c r="BB1151" s="28"/>
      <c r="BC1151" s="304" t="str">
        <f t="shared" si="738"/>
        <v/>
      </c>
      <c r="BD1151" s="304" t="str">
        <f t="shared" si="738"/>
        <v/>
      </c>
      <c r="BE1151" s="28"/>
      <c r="BF1151" s="304" t="str">
        <f t="shared" si="739"/>
        <v/>
      </c>
      <c r="BG1151" s="304" t="str">
        <f t="shared" si="739"/>
        <v/>
      </c>
      <c r="BH1151" s="28"/>
      <c r="BI1151" s="304" t="str">
        <f t="shared" si="740"/>
        <v/>
      </c>
      <c r="BJ1151" s="304" t="str">
        <f t="shared" si="740"/>
        <v/>
      </c>
      <c r="BK1151" s="28"/>
      <c r="BL1151" s="304" t="str">
        <f t="shared" si="741"/>
        <v/>
      </c>
      <c r="BM1151" s="304" t="str">
        <f t="shared" si="741"/>
        <v/>
      </c>
      <c r="BN1151" s="28"/>
      <c r="BO1151" s="304" t="str">
        <f t="shared" si="742"/>
        <v/>
      </c>
      <c r="BP1151" s="304" t="str">
        <f t="shared" si="742"/>
        <v/>
      </c>
      <c r="BQ1151" s="28"/>
      <c r="BR1151" s="304" t="str">
        <f t="shared" si="743"/>
        <v/>
      </c>
      <c r="BS1151" s="304" t="str">
        <f t="shared" si="743"/>
        <v/>
      </c>
      <c r="BT1151" s="28"/>
      <c r="BU1151" s="304" t="str">
        <f t="shared" si="744"/>
        <v/>
      </c>
      <c r="BV1151" s="304" t="str">
        <f t="shared" si="744"/>
        <v/>
      </c>
      <c r="BW1151" s="28"/>
      <c r="BX1151" s="91"/>
    </row>
    <row r="1152" spans="1:76" s="55" customFormat="1" x14ac:dyDescent="0.25">
      <c r="A1152" s="359">
        <v>89</v>
      </c>
      <c r="B1152" s="216" t="str">
        <f t="shared" si="730"/>
        <v>World: FAO. 2017. Global Livestock Environmental Assessment Model (GLEAM)</v>
      </c>
      <c r="C1152" s="219" t="s">
        <v>227</v>
      </c>
      <c r="D1152" s="219" t="s">
        <v>452</v>
      </c>
      <c r="E1152" s="219" t="s">
        <v>95</v>
      </c>
      <c r="F1152" s="371" t="s">
        <v>371</v>
      </c>
      <c r="G1152" s="220" t="s">
        <v>26</v>
      </c>
      <c r="H1152" s="221">
        <v>2010</v>
      </c>
      <c r="I1152" s="240"/>
      <c r="J1152" s="227">
        <v>275691406265.27698</v>
      </c>
      <c r="K1152" s="226" t="s">
        <v>688</v>
      </c>
      <c r="L1152" s="334">
        <f>J1152/[1]GHGsources!$L$14*0.001</f>
        <v>1.4601614374876296E-2</v>
      </c>
      <c r="M1152" s="225" t="str">
        <f>CONCATENATE("t CO2-eq/ ",IF('[1]Advanced Controls'!$F$169="Implementation",AdoptionUnitOfMeasure,FunctionalUnitOfMeasure))</f>
        <v>t CO2-eq/ kg of protein</v>
      </c>
      <c r="N1152" s="227"/>
      <c r="O1152" s="227" t="s">
        <v>453</v>
      </c>
      <c r="P1152" s="122"/>
      <c r="Q1152" s="228"/>
      <c r="R1152" s="231">
        <f t="shared" si="735"/>
        <v>1.4601614374876296E-2</v>
      </c>
      <c r="S1152" s="230">
        <f t="shared" si="731"/>
        <v>1.4601614374876296E-2</v>
      </c>
      <c r="T1152" s="231" t="str">
        <f t="shared" ref="T1152:T1209" si="746">IF(OR(Q1152="Y",IFERROR(R1152&gt;R1367+R1371*$AA$35,0),IFERROR(R1152&lt;R1367-R1371*$AA$35,0)),"",IFERROR(R1152*N1152,""))</f>
        <v/>
      </c>
      <c r="U1152" s="232" t="str">
        <f t="shared" si="732"/>
        <v>t CO2-eq/ kg of protein</v>
      </c>
      <c r="V1152" s="28"/>
      <c r="W1152" s="28"/>
      <c r="Y1152" s="91"/>
      <c r="AO1152" s="91"/>
      <c r="AP1152" s="28"/>
      <c r="AQ1152" s="28"/>
      <c r="AR1152" s="233" t="str">
        <f t="shared" si="733"/>
        <v>t CO2-eq/ kg of protein</v>
      </c>
      <c r="AS1152" s="28"/>
      <c r="AT1152" s="304">
        <f t="shared" si="745"/>
        <v>1.4601614374876296E-2</v>
      </c>
      <c r="AU1152" s="304">
        <f t="shared" si="745"/>
        <v>1.4601614374876296E-2</v>
      </c>
      <c r="AV1152" s="28"/>
      <c r="AW1152" s="304" t="str">
        <f t="shared" si="736"/>
        <v/>
      </c>
      <c r="AX1152" s="304" t="str">
        <f t="shared" si="736"/>
        <v/>
      </c>
      <c r="AY1152" s="28"/>
      <c r="AZ1152" s="304" t="str">
        <f t="shared" si="737"/>
        <v/>
      </c>
      <c r="BA1152" s="304" t="str">
        <f t="shared" si="737"/>
        <v/>
      </c>
      <c r="BB1152" s="28"/>
      <c r="BC1152" s="304" t="str">
        <f t="shared" si="738"/>
        <v/>
      </c>
      <c r="BD1152" s="304" t="str">
        <f t="shared" si="738"/>
        <v/>
      </c>
      <c r="BE1152" s="28"/>
      <c r="BF1152" s="304" t="str">
        <f t="shared" si="739"/>
        <v/>
      </c>
      <c r="BG1152" s="304" t="str">
        <f t="shared" si="739"/>
        <v/>
      </c>
      <c r="BH1152" s="28"/>
      <c r="BI1152" s="304" t="str">
        <f t="shared" si="740"/>
        <v/>
      </c>
      <c r="BJ1152" s="304" t="str">
        <f t="shared" si="740"/>
        <v/>
      </c>
      <c r="BK1152" s="28"/>
      <c r="BL1152" s="304" t="str">
        <f t="shared" si="741"/>
        <v/>
      </c>
      <c r="BM1152" s="304" t="str">
        <f t="shared" si="741"/>
        <v/>
      </c>
      <c r="BN1152" s="28"/>
      <c r="BO1152" s="304" t="str">
        <f t="shared" si="742"/>
        <v/>
      </c>
      <c r="BP1152" s="304" t="str">
        <f t="shared" si="742"/>
        <v/>
      </c>
      <c r="BQ1152" s="28"/>
      <c r="BR1152" s="304" t="str">
        <f t="shared" si="743"/>
        <v/>
      </c>
      <c r="BS1152" s="304" t="str">
        <f t="shared" si="743"/>
        <v/>
      </c>
      <c r="BT1152" s="28"/>
      <c r="BU1152" s="304" t="str">
        <f t="shared" si="744"/>
        <v/>
      </c>
      <c r="BV1152" s="304" t="str">
        <f t="shared" si="744"/>
        <v/>
      </c>
      <c r="BW1152" s="28"/>
      <c r="BX1152" s="91"/>
    </row>
    <row r="1153" spans="1:76" s="55" customFormat="1" x14ac:dyDescent="0.25">
      <c r="A1153" s="359">
        <v>90</v>
      </c>
      <c r="B1153" s="216" t="str">
        <f t="shared" si="730"/>
        <v>Asia (Sans Japan): FAO. 2017. Global Livestock Environmental Assessment Model (GLEAM)</v>
      </c>
      <c r="C1153" s="219" t="s">
        <v>227</v>
      </c>
      <c r="D1153" s="219" t="s">
        <v>454</v>
      </c>
      <c r="E1153" s="219" t="s">
        <v>98</v>
      </c>
      <c r="F1153" s="373" t="s">
        <v>375</v>
      </c>
      <c r="G1153" s="220" t="s">
        <v>26</v>
      </c>
      <c r="H1153" s="221">
        <v>2010</v>
      </c>
      <c r="I1153" s="240"/>
      <c r="J1153" s="227">
        <v>31318144866.217896</v>
      </c>
      <c r="K1153" s="226" t="s">
        <v>688</v>
      </c>
      <c r="L1153" s="334">
        <f>J1153/[1]GHGsources!$L$15*0.001</f>
        <v>1.8048121723641539E-2</v>
      </c>
      <c r="M1153" s="225" t="str">
        <f>CONCATENATE("t CO2-eq/ ",IF('[1]Advanced Controls'!$F$169="Implementation",AdoptionUnitOfMeasure,FunctionalUnitOfMeasure))</f>
        <v>t CO2-eq/ kg of protein</v>
      </c>
      <c r="N1153" s="227"/>
      <c r="O1153" s="227" t="s">
        <v>453</v>
      </c>
      <c r="P1153" s="122"/>
      <c r="Q1153" s="228"/>
      <c r="R1153" s="231">
        <f t="shared" si="735"/>
        <v>1.8048121723641539E-2</v>
      </c>
      <c r="S1153" s="230">
        <f t="shared" si="731"/>
        <v>1.8048121723641539E-2</v>
      </c>
      <c r="T1153" s="231">
        <f t="shared" si="746"/>
        <v>0</v>
      </c>
      <c r="U1153" s="232" t="str">
        <f t="shared" si="732"/>
        <v>t CO2-eq/ kg of protein</v>
      </c>
      <c r="V1153" s="28"/>
      <c r="W1153" s="28"/>
      <c r="Y1153" s="91"/>
      <c r="AO1153" s="91"/>
      <c r="AP1153" s="28"/>
      <c r="AQ1153" s="28"/>
      <c r="AR1153" s="233" t="str">
        <f t="shared" si="733"/>
        <v>t CO2-eq/ kg of protein</v>
      </c>
      <c r="AS1153" s="28"/>
      <c r="AT1153" s="304" t="str">
        <f t="shared" si="745"/>
        <v/>
      </c>
      <c r="AU1153" s="304" t="str">
        <f t="shared" si="745"/>
        <v/>
      </c>
      <c r="AV1153" s="28"/>
      <c r="AW1153" s="304" t="str">
        <f t="shared" si="736"/>
        <v/>
      </c>
      <c r="AX1153" s="304" t="str">
        <f t="shared" si="736"/>
        <v/>
      </c>
      <c r="AY1153" s="28"/>
      <c r="AZ1153" s="304" t="str">
        <f t="shared" si="737"/>
        <v/>
      </c>
      <c r="BA1153" s="304" t="str">
        <f t="shared" si="737"/>
        <v/>
      </c>
      <c r="BB1153" s="28"/>
      <c r="BC1153" s="304">
        <f t="shared" si="738"/>
        <v>1.8048121723641539E-2</v>
      </c>
      <c r="BD1153" s="304">
        <f t="shared" si="738"/>
        <v>1.8048121723641539E-2</v>
      </c>
      <c r="BE1153" s="28"/>
      <c r="BF1153" s="304" t="str">
        <f t="shared" si="739"/>
        <v/>
      </c>
      <c r="BG1153" s="304" t="str">
        <f t="shared" si="739"/>
        <v/>
      </c>
      <c r="BH1153" s="28"/>
      <c r="BI1153" s="304" t="str">
        <f t="shared" si="740"/>
        <v/>
      </c>
      <c r="BJ1153" s="304" t="str">
        <f t="shared" si="740"/>
        <v/>
      </c>
      <c r="BK1153" s="28"/>
      <c r="BL1153" s="304" t="str">
        <f t="shared" si="741"/>
        <v/>
      </c>
      <c r="BM1153" s="304" t="str">
        <f t="shared" si="741"/>
        <v/>
      </c>
      <c r="BN1153" s="28"/>
      <c r="BO1153" s="304" t="str">
        <f t="shared" si="742"/>
        <v/>
      </c>
      <c r="BP1153" s="304" t="str">
        <f t="shared" si="742"/>
        <v/>
      </c>
      <c r="BQ1153" s="28"/>
      <c r="BR1153" s="304" t="str">
        <f t="shared" si="743"/>
        <v/>
      </c>
      <c r="BS1153" s="304" t="str">
        <f t="shared" si="743"/>
        <v/>
      </c>
      <c r="BT1153" s="28"/>
      <c r="BU1153" s="304" t="str">
        <f t="shared" si="744"/>
        <v/>
      </c>
      <c r="BV1153" s="304" t="str">
        <f t="shared" si="744"/>
        <v/>
      </c>
      <c r="BW1153" s="28"/>
      <c r="BX1153" s="91"/>
    </row>
    <row r="1154" spans="1:76" s="55" customFormat="1" x14ac:dyDescent="0.25">
      <c r="A1154" s="359">
        <v>91</v>
      </c>
      <c r="B1154" s="216" t="str">
        <f t="shared" si="730"/>
        <v>Eastern Europe: FAO. 2017. Global Livestock Environmental Assessment Model (GLEAM)</v>
      </c>
      <c r="C1154" s="219" t="s">
        <v>227</v>
      </c>
      <c r="D1154" s="219" t="s">
        <v>455</v>
      </c>
      <c r="E1154" s="219" t="s">
        <v>97</v>
      </c>
      <c r="F1154" s="373" t="s">
        <v>97</v>
      </c>
      <c r="G1154" s="220" t="s">
        <v>26</v>
      </c>
      <c r="H1154" s="221">
        <v>2010</v>
      </c>
      <c r="I1154" s="240"/>
      <c r="J1154" s="227">
        <v>10778345937.427025</v>
      </c>
      <c r="K1154" s="226" t="s">
        <v>688</v>
      </c>
      <c r="L1154" s="338">
        <f>J1154/[1]GHGsources!$L$16*0.001</f>
        <v>9.9918021391203014E-3</v>
      </c>
      <c r="M1154" s="225" t="str">
        <f>CONCATENATE("t CO2-eq/ ",IF('[1]Advanced Controls'!$F$169="Implementation",AdoptionUnitOfMeasure,FunctionalUnitOfMeasure))</f>
        <v>t CO2-eq/ kg of protein</v>
      </c>
      <c r="N1154" s="227"/>
      <c r="O1154" s="227" t="s">
        <v>453</v>
      </c>
      <c r="P1154" s="122"/>
      <c r="Q1154" s="228"/>
      <c r="R1154" s="231">
        <f t="shared" si="735"/>
        <v>9.9918021391203014E-3</v>
      </c>
      <c r="S1154" s="230">
        <f t="shared" si="731"/>
        <v>9.9918021391203014E-3</v>
      </c>
      <c r="T1154" s="231" t="str">
        <f t="shared" si="746"/>
        <v/>
      </c>
      <c r="U1154" s="232" t="str">
        <f t="shared" si="732"/>
        <v>t CO2-eq/ kg of protein</v>
      </c>
      <c r="V1154" s="28"/>
      <c r="W1154" s="28"/>
      <c r="Y1154" s="91"/>
      <c r="AO1154" s="91"/>
      <c r="AP1154" s="28"/>
      <c r="AQ1154" s="28"/>
      <c r="AR1154" s="233" t="str">
        <f t="shared" si="733"/>
        <v>t CO2-eq/ kg of protein</v>
      </c>
      <c r="AS1154" s="28"/>
      <c r="AT1154" s="304" t="str">
        <f t="shared" si="745"/>
        <v/>
      </c>
      <c r="AU1154" s="304" t="str">
        <f t="shared" si="745"/>
        <v/>
      </c>
      <c r="AV1154" s="28"/>
      <c r="AW1154" s="304" t="str">
        <f t="shared" si="736"/>
        <v/>
      </c>
      <c r="AX1154" s="304" t="str">
        <f t="shared" si="736"/>
        <v/>
      </c>
      <c r="AY1154" s="28"/>
      <c r="AZ1154" s="304">
        <f t="shared" si="737"/>
        <v>9.9918021391203014E-3</v>
      </c>
      <c r="BA1154" s="304">
        <f t="shared" si="737"/>
        <v>9.9918021391203014E-3</v>
      </c>
      <c r="BB1154" s="28"/>
      <c r="BC1154" s="304" t="str">
        <f t="shared" si="738"/>
        <v/>
      </c>
      <c r="BD1154" s="304" t="str">
        <f t="shared" si="738"/>
        <v/>
      </c>
      <c r="BE1154" s="28"/>
      <c r="BF1154" s="304" t="str">
        <f t="shared" si="739"/>
        <v/>
      </c>
      <c r="BG1154" s="304" t="str">
        <f t="shared" si="739"/>
        <v/>
      </c>
      <c r="BH1154" s="28"/>
      <c r="BI1154" s="304" t="str">
        <f t="shared" si="740"/>
        <v/>
      </c>
      <c r="BJ1154" s="304" t="str">
        <f t="shared" si="740"/>
        <v/>
      </c>
      <c r="BK1154" s="28"/>
      <c r="BL1154" s="304" t="str">
        <f t="shared" si="741"/>
        <v/>
      </c>
      <c r="BM1154" s="304" t="str">
        <f t="shared" si="741"/>
        <v/>
      </c>
      <c r="BN1154" s="28"/>
      <c r="BO1154" s="304" t="str">
        <f t="shared" si="742"/>
        <v/>
      </c>
      <c r="BP1154" s="304" t="str">
        <f t="shared" si="742"/>
        <v/>
      </c>
      <c r="BQ1154" s="28"/>
      <c r="BR1154" s="304" t="str">
        <f t="shared" si="743"/>
        <v/>
      </c>
      <c r="BS1154" s="304" t="str">
        <f t="shared" si="743"/>
        <v/>
      </c>
      <c r="BT1154" s="28"/>
      <c r="BU1154" s="304" t="str">
        <f t="shared" si="744"/>
        <v/>
      </c>
      <c r="BV1154" s="304" t="str">
        <f t="shared" si="744"/>
        <v/>
      </c>
      <c r="BW1154" s="28"/>
      <c r="BX1154" s="91"/>
    </row>
    <row r="1155" spans="1:76" s="55" customFormat="1" x14ac:dyDescent="0.25">
      <c r="A1155" s="359">
        <v>92</v>
      </c>
      <c r="B1155" s="216" t="str">
        <f t="shared" si="730"/>
        <v>Latin America: FAO. 2017. Global Livestock Environmental Assessment Model (GLEAM)</v>
      </c>
      <c r="C1155" s="219" t="s">
        <v>227</v>
      </c>
      <c r="D1155" s="219" t="s">
        <v>456</v>
      </c>
      <c r="E1155" s="219" t="s">
        <v>100</v>
      </c>
      <c r="F1155" s="373" t="s">
        <v>378</v>
      </c>
      <c r="G1155" s="220" t="s">
        <v>26</v>
      </c>
      <c r="H1155" s="221">
        <v>2010</v>
      </c>
      <c r="I1155" s="240"/>
      <c r="J1155" s="227">
        <v>32327882383.444008</v>
      </c>
      <c r="K1155" s="226" t="s">
        <v>688</v>
      </c>
      <c r="L1155" s="334">
        <f>J1155/[1]GHGsources!$L$17*0.001</f>
        <v>1.3157978689020536E-2</v>
      </c>
      <c r="M1155" s="225" t="str">
        <f>CONCATENATE("t CO2-eq/ ",IF('[1]Advanced Controls'!$F$169="Implementation",AdoptionUnitOfMeasure,FunctionalUnitOfMeasure))</f>
        <v>t CO2-eq/ kg of protein</v>
      </c>
      <c r="N1155" s="227"/>
      <c r="O1155" s="227" t="s">
        <v>453</v>
      </c>
      <c r="P1155" s="122"/>
      <c r="Q1155" s="228"/>
      <c r="R1155" s="231">
        <f t="shared" si="735"/>
        <v>1.3157978689020536E-2</v>
      </c>
      <c r="S1155" s="230">
        <f t="shared" si="731"/>
        <v>1.3157978689020536E-2</v>
      </c>
      <c r="T1155" s="231">
        <f t="shared" si="746"/>
        <v>0</v>
      </c>
      <c r="U1155" s="232" t="str">
        <f t="shared" si="732"/>
        <v>t CO2-eq/ kg of protein</v>
      </c>
      <c r="V1155" s="28"/>
      <c r="W1155" s="28"/>
      <c r="Y1155" s="91"/>
      <c r="AO1155" s="91"/>
      <c r="AP1155" s="28"/>
      <c r="AQ1155" s="28"/>
      <c r="AR1155" s="233" t="str">
        <f t="shared" si="733"/>
        <v>t CO2-eq/ kg of protein</v>
      </c>
      <c r="AS1155" s="28"/>
      <c r="AT1155" s="304" t="str">
        <f t="shared" si="745"/>
        <v/>
      </c>
      <c r="AU1155" s="304" t="str">
        <f t="shared" si="745"/>
        <v/>
      </c>
      <c r="AV1155" s="28"/>
      <c r="AW1155" s="304" t="str">
        <f t="shared" si="736"/>
        <v/>
      </c>
      <c r="AX1155" s="304" t="str">
        <f t="shared" si="736"/>
        <v/>
      </c>
      <c r="AY1155" s="28"/>
      <c r="AZ1155" s="304" t="str">
        <f t="shared" si="737"/>
        <v/>
      </c>
      <c r="BA1155" s="304" t="str">
        <f t="shared" si="737"/>
        <v/>
      </c>
      <c r="BB1155" s="28"/>
      <c r="BC1155" s="304" t="str">
        <f t="shared" si="738"/>
        <v/>
      </c>
      <c r="BD1155" s="304" t="str">
        <f t="shared" si="738"/>
        <v/>
      </c>
      <c r="BE1155" s="28"/>
      <c r="BF1155" s="304" t="str">
        <f t="shared" si="739"/>
        <v/>
      </c>
      <c r="BG1155" s="304" t="str">
        <f t="shared" si="739"/>
        <v/>
      </c>
      <c r="BH1155" s="28"/>
      <c r="BI1155" s="304">
        <f t="shared" si="740"/>
        <v>1.3157978689020536E-2</v>
      </c>
      <c r="BJ1155" s="304">
        <f t="shared" si="740"/>
        <v>1.3157978689020536E-2</v>
      </c>
      <c r="BK1155" s="28"/>
      <c r="BL1155" s="304" t="str">
        <f t="shared" si="741"/>
        <v/>
      </c>
      <c r="BM1155" s="304" t="str">
        <f t="shared" si="741"/>
        <v/>
      </c>
      <c r="BN1155" s="28"/>
      <c r="BO1155" s="304" t="str">
        <f t="shared" si="742"/>
        <v/>
      </c>
      <c r="BP1155" s="304" t="str">
        <f t="shared" si="742"/>
        <v/>
      </c>
      <c r="BQ1155" s="28"/>
      <c r="BR1155" s="304" t="str">
        <f t="shared" si="743"/>
        <v/>
      </c>
      <c r="BS1155" s="304" t="str">
        <f t="shared" si="743"/>
        <v/>
      </c>
      <c r="BT1155" s="28"/>
      <c r="BU1155" s="304" t="str">
        <f t="shared" si="744"/>
        <v/>
      </c>
      <c r="BV1155" s="304" t="str">
        <f t="shared" si="744"/>
        <v/>
      </c>
      <c r="BW1155" s="28"/>
      <c r="BX1155" s="91"/>
    </row>
    <row r="1156" spans="1:76" s="55" customFormat="1" x14ac:dyDescent="0.25">
      <c r="A1156" s="359">
        <v>93</v>
      </c>
      <c r="B1156" s="216" t="str">
        <f t="shared" si="730"/>
        <v>Middle East and Africa: FAO. 2017. Global Livestock Environmental Assessment Model (GLEAM)</v>
      </c>
      <c r="C1156" s="219" t="s">
        <v>227</v>
      </c>
      <c r="D1156" s="219" t="s">
        <v>457</v>
      </c>
      <c r="E1156" s="219" t="s">
        <v>99</v>
      </c>
      <c r="F1156" s="373" t="s">
        <v>380</v>
      </c>
      <c r="G1156" s="220" t="s">
        <v>26</v>
      </c>
      <c r="H1156" s="221">
        <v>2010</v>
      </c>
      <c r="I1156" s="240"/>
      <c r="J1156" s="227">
        <v>19626406593.083519</v>
      </c>
      <c r="K1156" s="226" t="s">
        <v>688</v>
      </c>
      <c r="L1156" s="338">
        <f>J1156/[1]GHGsources!$L$18*0.001</f>
        <v>1.3634271800086206E-2</v>
      </c>
      <c r="M1156" s="225" t="str">
        <f>CONCATENATE("t CO2-eq/ ",IF('[1]Advanced Controls'!$F$169="Implementation",AdoptionUnitOfMeasure,FunctionalUnitOfMeasure))</f>
        <v>t CO2-eq/ kg of protein</v>
      </c>
      <c r="N1156" s="227"/>
      <c r="O1156" s="227" t="s">
        <v>453</v>
      </c>
      <c r="P1156" s="122"/>
      <c r="Q1156" s="228"/>
      <c r="R1156" s="231">
        <f t="shared" si="735"/>
        <v>1.3634271800086206E-2</v>
      </c>
      <c r="S1156" s="230">
        <f t="shared" si="731"/>
        <v>1.3634271800086206E-2</v>
      </c>
      <c r="T1156" s="231">
        <f t="shared" si="746"/>
        <v>0</v>
      </c>
      <c r="U1156" s="232" t="str">
        <f t="shared" si="732"/>
        <v>t CO2-eq/ kg of protein</v>
      </c>
      <c r="V1156" s="28"/>
      <c r="W1156" s="28"/>
      <c r="Y1156" s="91"/>
      <c r="AO1156" s="91"/>
      <c r="AP1156" s="28"/>
      <c r="AQ1156" s="28"/>
      <c r="AR1156" s="233" t="str">
        <f t="shared" si="733"/>
        <v>t CO2-eq/ kg of protein</v>
      </c>
      <c r="AS1156" s="28"/>
      <c r="AT1156" s="304" t="str">
        <f t="shared" si="745"/>
        <v/>
      </c>
      <c r="AU1156" s="304" t="str">
        <f t="shared" si="745"/>
        <v/>
      </c>
      <c r="AV1156" s="28"/>
      <c r="AW1156" s="304" t="str">
        <f t="shared" si="736"/>
        <v/>
      </c>
      <c r="AX1156" s="304" t="str">
        <f t="shared" si="736"/>
        <v/>
      </c>
      <c r="AY1156" s="28"/>
      <c r="AZ1156" s="304" t="str">
        <f t="shared" si="737"/>
        <v/>
      </c>
      <c r="BA1156" s="304" t="str">
        <f t="shared" si="737"/>
        <v/>
      </c>
      <c r="BB1156" s="28"/>
      <c r="BC1156" s="304" t="str">
        <f t="shared" si="738"/>
        <v/>
      </c>
      <c r="BD1156" s="304" t="str">
        <f t="shared" si="738"/>
        <v/>
      </c>
      <c r="BE1156" s="28"/>
      <c r="BF1156" s="304">
        <f t="shared" si="739"/>
        <v>1.3634271800086206E-2</v>
      </c>
      <c r="BG1156" s="304">
        <f t="shared" si="739"/>
        <v>1.3634271800086206E-2</v>
      </c>
      <c r="BH1156" s="28"/>
      <c r="BI1156" s="304" t="str">
        <f t="shared" si="740"/>
        <v/>
      </c>
      <c r="BJ1156" s="304" t="str">
        <f t="shared" si="740"/>
        <v/>
      </c>
      <c r="BK1156" s="28"/>
      <c r="BL1156" s="304" t="str">
        <f t="shared" si="741"/>
        <v/>
      </c>
      <c r="BM1156" s="304" t="str">
        <f t="shared" si="741"/>
        <v/>
      </c>
      <c r="BN1156" s="28"/>
      <c r="BO1156" s="304" t="str">
        <f t="shared" si="742"/>
        <v/>
      </c>
      <c r="BP1156" s="304" t="str">
        <f t="shared" si="742"/>
        <v/>
      </c>
      <c r="BQ1156" s="28"/>
      <c r="BR1156" s="304" t="str">
        <f t="shared" si="743"/>
        <v/>
      </c>
      <c r="BS1156" s="304" t="str">
        <f t="shared" si="743"/>
        <v/>
      </c>
      <c r="BT1156" s="28"/>
      <c r="BU1156" s="304" t="str">
        <f t="shared" si="744"/>
        <v/>
      </c>
      <c r="BV1156" s="304" t="str">
        <f t="shared" si="744"/>
        <v/>
      </c>
      <c r="BW1156" s="28"/>
      <c r="BX1156" s="91"/>
    </row>
    <row r="1157" spans="1:76" s="55" customFormat="1" x14ac:dyDescent="0.25">
      <c r="A1157" s="359">
        <v>94</v>
      </c>
      <c r="B1157" s="216" t="str">
        <f t="shared" si="730"/>
        <v>OECD90: FAO. 2017. Global Livestock Environmental Assessment Model (GLEAM)</v>
      </c>
      <c r="C1157" s="219" t="s">
        <v>227</v>
      </c>
      <c r="D1157" s="219" t="s">
        <v>458</v>
      </c>
      <c r="E1157" s="219" t="s">
        <v>96</v>
      </c>
      <c r="F1157" s="373" t="s">
        <v>179</v>
      </c>
      <c r="G1157" s="220" t="s">
        <v>26</v>
      </c>
      <c r="H1157" s="221">
        <v>2010</v>
      </c>
      <c r="I1157" s="240"/>
      <c r="J1157" s="227">
        <v>41601425571.986557</v>
      </c>
      <c r="K1157" s="226" t="s">
        <v>688</v>
      </c>
      <c r="L1157" s="334">
        <f>J1157/[1]GHGsources!$L$19*0.001</f>
        <v>1.4378710286336237E-2</v>
      </c>
      <c r="M1157" s="225" t="str">
        <f>CONCATENATE("t CO2-eq/ ",IF('[1]Advanced Controls'!$F$169="Implementation",AdoptionUnitOfMeasure,FunctionalUnitOfMeasure))</f>
        <v>t CO2-eq/ kg of protein</v>
      </c>
      <c r="N1157" s="227"/>
      <c r="O1157" s="227" t="s">
        <v>453</v>
      </c>
      <c r="P1157" s="122"/>
      <c r="Q1157" s="228"/>
      <c r="R1157" s="231">
        <f t="shared" si="735"/>
        <v>1.4378710286336237E-2</v>
      </c>
      <c r="S1157" s="230">
        <f t="shared" si="731"/>
        <v>1.4378710286336237E-2</v>
      </c>
      <c r="T1157" s="231">
        <f t="shared" si="746"/>
        <v>0</v>
      </c>
      <c r="U1157" s="232" t="str">
        <f t="shared" si="732"/>
        <v>t CO2-eq/ kg of protein</v>
      </c>
      <c r="V1157" s="28"/>
      <c r="W1157" s="28"/>
      <c r="Y1157" s="91"/>
      <c r="AO1157" s="91"/>
      <c r="AP1157" s="28"/>
      <c r="AQ1157" s="28"/>
      <c r="AR1157" s="233" t="str">
        <f t="shared" si="733"/>
        <v>t CO2-eq/ kg of protein</v>
      </c>
      <c r="AS1157" s="28"/>
      <c r="AT1157" s="304" t="str">
        <f t="shared" si="745"/>
        <v/>
      </c>
      <c r="AU1157" s="304" t="str">
        <f t="shared" si="745"/>
        <v/>
      </c>
      <c r="AV1157" s="28"/>
      <c r="AW1157" s="304">
        <f t="shared" si="736"/>
        <v>1.4378710286336237E-2</v>
      </c>
      <c r="AX1157" s="304">
        <f t="shared" si="736"/>
        <v>1.4378710286336237E-2</v>
      </c>
      <c r="AY1157" s="28"/>
      <c r="AZ1157" s="304" t="str">
        <f t="shared" si="737"/>
        <v/>
      </c>
      <c r="BA1157" s="304" t="str">
        <f t="shared" si="737"/>
        <v/>
      </c>
      <c r="BB1157" s="28"/>
      <c r="BC1157" s="304" t="str">
        <f t="shared" si="738"/>
        <v/>
      </c>
      <c r="BD1157" s="304" t="str">
        <f t="shared" si="738"/>
        <v/>
      </c>
      <c r="BE1157" s="28"/>
      <c r="BF1157" s="304" t="str">
        <f t="shared" si="739"/>
        <v/>
      </c>
      <c r="BG1157" s="304" t="str">
        <f t="shared" si="739"/>
        <v/>
      </c>
      <c r="BH1157" s="28"/>
      <c r="BI1157" s="304" t="str">
        <f t="shared" si="740"/>
        <v/>
      </c>
      <c r="BJ1157" s="304" t="str">
        <f t="shared" si="740"/>
        <v/>
      </c>
      <c r="BK1157" s="28"/>
      <c r="BL1157" s="304" t="str">
        <f t="shared" si="741"/>
        <v/>
      </c>
      <c r="BM1157" s="304" t="str">
        <f t="shared" si="741"/>
        <v/>
      </c>
      <c r="BN1157" s="28"/>
      <c r="BO1157" s="304" t="str">
        <f t="shared" si="742"/>
        <v/>
      </c>
      <c r="BP1157" s="304" t="str">
        <f t="shared" si="742"/>
        <v/>
      </c>
      <c r="BQ1157" s="28"/>
      <c r="BR1157" s="304" t="str">
        <f t="shared" si="743"/>
        <v/>
      </c>
      <c r="BS1157" s="304" t="str">
        <f t="shared" si="743"/>
        <v/>
      </c>
      <c r="BT1157" s="28"/>
      <c r="BU1157" s="304" t="str">
        <f t="shared" si="744"/>
        <v/>
      </c>
      <c r="BV1157" s="304" t="str">
        <f t="shared" si="744"/>
        <v/>
      </c>
      <c r="BW1157" s="28"/>
      <c r="BX1157" s="91"/>
    </row>
    <row r="1158" spans="1:76" s="55" customFormat="1" x14ac:dyDescent="0.25">
      <c r="A1158" s="359">
        <v>95</v>
      </c>
      <c r="B1158" s="216" t="str">
        <f t="shared" si="730"/>
        <v>OECD90: FAO. 2017. Global Livestock Environmental Assessment Model (GLEAM)</v>
      </c>
      <c r="C1158" s="219" t="s">
        <v>227</v>
      </c>
      <c r="D1158" s="219" t="s">
        <v>459</v>
      </c>
      <c r="E1158" s="219" t="s">
        <v>96</v>
      </c>
      <c r="F1158" s="373" t="s">
        <v>185</v>
      </c>
      <c r="G1158" s="220" t="s">
        <v>26</v>
      </c>
      <c r="H1158" s="221">
        <v>2010</v>
      </c>
      <c r="I1158" s="240"/>
      <c r="J1158" s="227">
        <v>12007527753.791771</v>
      </c>
      <c r="K1158" s="226" t="s">
        <v>688</v>
      </c>
      <c r="L1158" s="337">
        <f>J1158/[1]GHGsources!$L$20*0.001</f>
        <v>1.5021796816112248E-2</v>
      </c>
      <c r="M1158" s="225" t="str">
        <f>CONCATENATE("t CO2-eq/ ",IF('[1]Advanced Controls'!$F$169="Implementation",AdoptionUnitOfMeasure,FunctionalUnitOfMeasure))</f>
        <v>t CO2-eq/ kg of protein</v>
      </c>
      <c r="N1158" s="227"/>
      <c r="O1158" s="227" t="s">
        <v>453</v>
      </c>
      <c r="P1158" s="122"/>
      <c r="Q1158" s="228"/>
      <c r="R1158" s="231">
        <f t="shared" si="735"/>
        <v>1.5021796816112248E-2</v>
      </c>
      <c r="S1158" s="230">
        <f t="shared" si="731"/>
        <v>1.5021796816112248E-2</v>
      </c>
      <c r="T1158" s="231">
        <f t="shared" si="746"/>
        <v>0</v>
      </c>
      <c r="U1158" s="232" t="str">
        <f t="shared" si="732"/>
        <v>t CO2-eq/ kg of protein</v>
      </c>
      <c r="V1158" s="28"/>
      <c r="W1158" s="28"/>
      <c r="Y1158" s="91"/>
      <c r="AO1158" s="91"/>
      <c r="AP1158" s="28"/>
      <c r="AQ1158" s="28"/>
      <c r="AR1158" s="233" t="str">
        <f t="shared" si="733"/>
        <v>t CO2-eq/ kg of protein</v>
      </c>
      <c r="AS1158" s="28"/>
      <c r="AT1158" s="304" t="str">
        <f t="shared" si="745"/>
        <v/>
      </c>
      <c r="AU1158" s="304" t="str">
        <f t="shared" si="745"/>
        <v/>
      </c>
      <c r="AV1158" s="28"/>
      <c r="AW1158" s="304">
        <f t="shared" si="736"/>
        <v>1.5021796816112248E-2</v>
      </c>
      <c r="AX1158" s="304">
        <f t="shared" si="736"/>
        <v>1.5021796816112248E-2</v>
      </c>
      <c r="AY1158" s="28"/>
      <c r="AZ1158" s="304" t="str">
        <f t="shared" si="737"/>
        <v/>
      </c>
      <c r="BA1158" s="304" t="str">
        <f t="shared" si="737"/>
        <v/>
      </c>
      <c r="BB1158" s="28"/>
      <c r="BC1158" s="304" t="str">
        <f t="shared" si="738"/>
        <v/>
      </c>
      <c r="BD1158" s="304" t="str">
        <f t="shared" si="738"/>
        <v/>
      </c>
      <c r="BE1158" s="28"/>
      <c r="BF1158" s="304" t="str">
        <f t="shared" si="739"/>
        <v/>
      </c>
      <c r="BG1158" s="304" t="str">
        <f t="shared" si="739"/>
        <v/>
      </c>
      <c r="BH1158" s="28"/>
      <c r="BI1158" s="304" t="str">
        <f t="shared" si="740"/>
        <v/>
      </c>
      <c r="BJ1158" s="304" t="str">
        <f t="shared" si="740"/>
        <v/>
      </c>
      <c r="BK1158" s="28"/>
      <c r="BL1158" s="304" t="str">
        <f t="shared" si="741"/>
        <v/>
      </c>
      <c r="BM1158" s="304" t="str">
        <f t="shared" si="741"/>
        <v/>
      </c>
      <c r="BN1158" s="28"/>
      <c r="BO1158" s="304" t="str">
        <f t="shared" si="742"/>
        <v/>
      </c>
      <c r="BP1158" s="304" t="str">
        <f t="shared" si="742"/>
        <v/>
      </c>
      <c r="BQ1158" s="28"/>
      <c r="BR1158" s="304" t="str">
        <f t="shared" si="743"/>
        <v/>
      </c>
      <c r="BS1158" s="304" t="str">
        <f t="shared" si="743"/>
        <v/>
      </c>
      <c r="BT1158" s="28"/>
      <c r="BU1158" s="304" t="str">
        <f t="shared" si="744"/>
        <v/>
      </c>
      <c r="BV1158" s="304" t="str">
        <f t="shared" si="744"/>
        <v/>
      </c>
      <c r="BW1158" s="28"/>
      <c r="BX1158" s="91"/>
    </row>
    <row r="1159" spans="1:76" s="55" customFormat="1" x14ac:dyDescent="0.25">
      <c r="A1159" s="359">
        <v>96</v>
      </c>
      <c r="B1159" s="216" t="str">
        <f t="shared" si="730"/>
        <v>Eastern Europe: FAO. 2017. Global Livestock Environmental Assessment Model (GLEAM)</v>
      </c>
      <c r="C1159" s="219" t="s">
        <v>227</v>
      </c>
      <c r="D1159" s="219" t="s">
        <v>460</v>
      </c>
      <c r="E1159" s="219" t="s">
        <v>97</v>
      </c>
      <c r="F1159" s="373" t="s">
        <v>384</v>
      </c>
      <c r="G1159" s="220" t="s">
        <v>26</v>
      </c>
      <c r="H1159" s="221">
        <v>2010</v>
      </c>
      <c r="I1159" s="240"/>
      <c r="J1159" s="227">
        <v>7560507979.1803055</v>
      </c>
      <c r="K1159" s="226" t="s">
        <v>688</v>
      </c>
      <c r="L1159" s="338">
        <f>J1159/[1]GHGsources!$L$21*0.001</f>
        <v>8.826315613210893E-3</v>
      </c>
      <c r="M1159" s="225" t="str">
        <f>CONCATENATE("t CO2-eq/ ",IF('[1]Advanced Controls'!$F$169="Implementation",AdoptionUnitOfMeasure,FunctionalUnitOfMeasure))</f>
        <v>t CO2-eq/ kg of protein</v>
      </c>
      <c r="N1159" s="227"/>
      <c r="O1159" s="227" t="s">
        <v>453</v>
      </c>
      <c r="P1159" s="122"/>
      <c r="Q1159" s="228"/>
      <c r="R1159" s="231">
        <f t="shared" si="735"/>
        <v>8.826315613210893E-3</v>
      </c>
      <c r="S1159" s="230">
        <f t="shared" si="731"/>
        <v>8.826315613210893E-3</v>
      </c>
      <c r="T1159" s="231">
        <f t="shared" si="746"/>
        <v>0</v>
      </c>
      <c r="U1159" s="232" t="str">
        <f t="shared" si="732"/>
        <v>t CO2-eq/ kg of protein</v>
      </c>
      <c r="V1159" s="28"/>
      <c r="W1159" s="28"/>
      <c r="Y1159" s="91"/>
      <c r="AO1159" s="91"/>
      <c r="AP1159" s="28"/>
      <c r="AQ1159" s="28"/>
      <c r="AR1159" s="233" t="str">
        <f t="shared" si="733"/>
        <v>t CO2-eq/ kg of protein</v>
      </c>
      <c r="AS1159" s="28"/>
      <c r="AT1159" s="304" t="str">
        <f t="shared" si="745"/>
        <v/>
      </c>
      <c r="AU1159" s="304" t="str">
        <f t="shared" si="745"/>
        <v/>
      </c>
      <c r="AV1159" s="28"/>
      <c r="AW1159" s="304" t="str">
        <f t="shared" si="736"/>
        <v/>
      </c>
      <c r="AX1159" s="304" t="str">
        <f t="shared" si="736"/>
        <v/>
      </c>
      <c r="AY1159" s="28"/>
      <c r="AZ1159" s="304">
        <f t="shared" si="737"/>
        <v>8.826315613210893E-3</v>
      </c>
      <c r="BA1159" s="304">
        <f t="shared" si="737"/>
        <v>8.826315613210893E-3</v>
      </c>
      <c r="BB1159" s="28"/>
      <c r="BC1159" s="304" t="str">
        <f t="shared" si="738"/>
        <v/>
      </c>
      <c r="BD1159" s="304" t="str">
        <f t="shared" si="738"/>
        <v/>
      </c>
      <c r="BE1159" s="28"/>
      <c r="BF1159" s="304" t="str">
        <f t="shared" si="739"/>
        <v/>
      </c>
      <c r="BG1159" s="304" t="str">
        <f t="shared" si="739"/>
        <v/>
      </c>
      <c r="BH1159" s="28"/>
      <c r="BI1159" s="304" t="str">
        <f t="shared" si="740"/>
        <v/>
      </c>
      <c r="BJ1159" s="304" t="str">
        <f t="shared" si="740"/>
        <v/>
      </c>
      <c r="BK1159" s="28"/>
      <c r="BL1159" s="304" t="str">
        <f t="shared" si="741"/>
        <v/>
      </c>
      <c r="BM1159" s="304" t="str">
        <f t="shared" si="741"/>
        <v/>
      </c>
      <c r="BN1159" s="28"/>
      <c r="BO1159" s="304" t="str">
        <f t="shared" si="742"/>
        <v/>
      </c>
      <c r="BP1159" s="304" t="str">
        <f t="shared" si="742"/>
        <v/>
      </c>
      <c r="BQ1159" s="28"/>
      <c r="BR1159" s="304" t="str">
        <f t="shared" si="743"/>
        <v/>
      </c>
      <c r="BS1159" s="304" t="str">
        <f t="shared" si="743"/>
        <v/>
      </c>
      <c r="BT1159" s="28"/>
      <c r="BU1159" s="304" t="str">
        <f t="shared" si="744"/>
        <v/>
      </c>
      <c r="BV1159" s="304" t="str">
        <f t="shared" si="744"/>
        <v/>
      </c>
      <c r="BW1159" s="28"/>
      <c r="BX1159" s="91"/>
    </row>
    <row r="1160" spans="1:76" s="55" customFormat="1" x14ac:dyDescent="0.25">
      <c r="A1160" s="359">
        <v>97</v>
      </c>
      <c r="B1160" s="216" t="str">
        <f t="shared" si="730"/>
        <v>Asia (Sans Japan): FAO. 2017. Global Livestock Environmental Assessment Model (GLEAM)</v>
      </c>
      <c r="C1160" s="219" t="s">
        <v>227</v>
      </c>
      <c r="D1160" s="219" t="s">
        <v>461</v>
      </c>
      <c r="E1160" s="219" t="s">
        <v>98</v>
      </c>
      <c r="F1160" s="373" t="s">
        <v>386</v>
      </c>
      <c r="G1160" s="220" t="s">
        <v>26</v>
      </c>
      <c r="H1160" s="221">
        <v>2010</v>
      </c>
      <c r="I1160" s="240"/>
      <c r="J1160" s="227">
        <v>63874025683.296799</v>
      </c>
      <c r="K1160" s="226" t="s">
        <v>688</v>
      </c>
      <c r="L1160" s="338">
        <f>J1160/[1]GHGsources!$L$22*0.001</f>
        <v>2.4331553011283317E-2</v>
      </c>
      <c r="M1160" s="225" t="str">
        <f>CONCATENATE("t CO2-eq/ ",IF('[1]Advanced Controls'!$F$169="Implementation",AdoptionUnitOfMeasure,FunctionalUnitOfMeasure))</f>
        <v>t CO2-eq/ kg of protein</v>
      </c>
      <c r="N1160" s="227"/>
      <c r="O1160" s="227" t="s">
        <v>453</v>
      </c>
      <c r="P1160" s="122"/>
      <c r="Q1160" s="228"/>
      <c r="R1160" s="231">
        <f t="shared" si="735"/>
        <v>2.4331553011283317E-2</v>
      </c>
      <c r="S1160" s="230">
        <f t="shared" si="731"/>
        <v>2.4331553011283317E-2</v>
      </c>
      <c r="T1160" s="231" t="str">
        <f t="shared" si="746"/>
        <v/>
      </c>
      <c r="U1160" s="232" t="str">
        <f t="shared" si="732"/>
        <v>t CO2-eq/ kg of protein</v>
      </c>
      <c r="V1160" s="28"/>
      <c r="W1160" s="28"/>
      <c r="Y1160" s="91"/>
      <c r="AO1160" s="91"/>
      <c r="AP1160" s="28"/>
      <c r="AQ1160" s="28"/>
      <c r="AR1160" s="233" t="str">
        <f t="shared" si="733"/>
        <v>t CO2-eq/ kg of protein</v>
      </c>
      <c r="AS1160" s="28"/>
      <c r="AT1160" s="304" t="str">
        <f t="shared" si="745"/>
        <v/>
      </c>
      <c r="AU1160" s="304" t="str">
        <f t="shared" si="745"/>
        <v/>
      </c>
      <c r="AV1160" s="28"/>
      <c r="AW1160" s="304" t="str">
        <f t="shared" si="736"/>
        <v/>
      </c>
      <c r="AX1160" s="304" t="str">
        <f t="shared" si="736"/>
        <v/>
      </c>
      <c r="AY1160" s="28"/>
      <c r="AZ1160" s="304" t="str">
        <f t="shared" si="737"/>
        <v/>
      </c>
      <c r="BA1160" s="304" t="str">
        <f t="shared" si="737"/>
        <v/>
      </c>
      <c r="BB1160" s="28"/>
      <c r="BC1160" s="304">
        <f t="shared" si="738"/>
        <v>2.4331553011283317E-2</v>
      </c>
      <c r="BD1160" s="304">
        <f t="shared" si="738"/>
        <v>2.4331553011283317E-2</v>
      </c>
      <c r="BE1160" s="28"/>
      <c r="BF1160" s="304" t="str">
        <f t="shared" si="739"/>
        <v/>
      </c>
      <c r="BG1160" s="304" t="str">
        <f t="shared" si="739"/>
        <v/>
      </c>
      <c r="BH1160" s="28"/>
      <c r="BI1160" s="304" t="str">
        <f t="shared" si="740"/>
        <v/>
      </c>
      <c r="BJ1160" s="304" t="str">
        <f t="shared" si="740"/>
        <v/>
      </c>
      <c r="BK1160" s="28"/>
      <c r="BL1160" s="304" t="str">
        <f t="shared" si="741"/>
        <v/>
      </c>
      <c r="BM1160" s="304" t="str">
        <f t="shared" si="741"/>
        <v/>
      </c>
      <c r="BN1160" s="28"/>
      <c r="BO1160" s="304" t="str">
        <f t="shared" si="742"/>
        <v/>
      </c>
      <c r="BP1160" s="304" t="str">
        <f t="shared" si="742"/>
        <v/>
      </c>
      <c r="BQ1160" s="28"/>
      <c r="BR1160" s="304" t="str">
        <f t="shared" si="743"/>
        <v/>
      </c>
      <c r="BS1160" s="304" t="str">
        <f t="shared" si="743"/>
        <v/>
      </c>
      <c r="BT1160" s="28"/>
      <c r="BU1160" s="304" t="str">
        <f t="shared" si="744"/>
        <v/>
      </c>
      <c r="BV1160" s="304" t="str">
        <f t="shared" si="744"/>
        <v/>
      </c>
      <c r="BW1160" s="28"/>
      <c r="BX1160" s="91"/>
    </row>
    <row r="1161" spans="1:76" s="55" customFormat="1" x14ac:dyDescent="0.25">
      <c r="A1161" s="359">
        <v>98</v>
      </c>
      <c r="B1161" s="216" t="str">
        <f t="shared" si="730"/>
        <v>Middle East and Africa: FAO. 2017. Global Livestock Environmental Assessment Model (GLEAM)</v>
      </c>
      <c r="C1161" s="219" t="s">
        <v>227</v>
      </c>
      <c r="D1161" s="219" t="s">
        <v>462</v>
      </c>
      <c r="E1161" s="219" t="s">
        <v>99</v>
      </c>
      <c r="F1161" s="373" t="s">
        <v>388</v>
      </c>
      <c r="G1161" s="220" t="s">
        <v>26</v>
      </c>
      <c r="H1161" s="221">
        <v>2010</v>
      </c>
      <c r="I1161" s="240"/>
      <c r="J1161" s="227">
        <v>3715373358.2422705</v>
      </c>
      <c r="K1161" s="226" t="s">
        <v>688</v>
      </c>
      <c r="L1161" s="334">
        <f>J1161/[1]GHGsources!$L$23*0.001</f>
        <v>5.940242798842298E-3</v>
      </c>
      <c r="M1161" s="225" t="str">
        <f>CONCATENATE("t CO2-eq/ ",IF('[1]Advanced Controls'!$F$169="Implementation",AdoptionUnitOfMeasure,FunctionalUnitOfMeasure))</f>
        <v>t CO2-eq/ kg of protein</v>
      </c>
      <c r="N1161" s="227"/>
      <c r="O1161" s="227" t="s">
        <v>453</v>
      </c>
      <c r="P1161" s="122"/>
      <c r="Q1161" s="228"/>
      <c r="R1161" s="231">
        <f t="shared" si="735"/>
        <v>5.940242798842298E-3</v>
      </c>
      <c r="S1161" s="230">
        <f t="shared" si="731"/>
        <v>5.940242798842298E-3</v>
      </c>
      <c r="T1161" s="231">
        <f t="shared" si="746"/>
        <v>0</v>
      </c>
      <c r="U1161" s="232" t="str">
        <f t="shared" si="732"/>
        <v>t CO2-eq/ kg of protein</v>
      </c>
      <c r="V1161" s="28"/>
      <c r="W1161" s="28"/>
      <c r="Y1161" s="91"/>
      <c r="AO1161" s="91"/>
      <c r="AP1161" s="28"/>
      <c r="AQ1161" s="28"/>
      <c r="AR1161" s="233" t="str">
        <f t="shared" si="733"/>
        <v>t CO2-eq/ kg of protein</v>
      </c>
      <c r="AS1161" s="28"/>
      <c r="AT1161" s="304" t="str">
        <f t="shared" si="745"/>
        <v/>
      </c>
      <c r="AU1161" s="304" t="str">
        <f t="shared" si="745"/>
        <v/>
      </c>
      <c r="AV1161" s="28"/>
      <c r="AW1161" s="304" t="str">
        <f t="shared" si="736"/>
        <v/>
      </c>
      <c r="AX1161" s="304" t="str">
        <f t="shared" si="736"/>
        <v/>
      </c>
      <c r="AY1161" s="28"/>
      <c r="AZ1161" s="304" t="str">
        <f t="shared" si="737"/>
        <v/>
      </c>
      <c r="BA1161" s="304" t="str">
        <f t="shared" si="737"/>
        <v/>
      </c>
      <c r="BB1161" s="28"/>
      <c r="BC1161" s="304" t="str">
        <f t="shared" si="738"/>
        <v/>
      </c>
      <c r="BD1161" s="304" t="str">
        <f t="shared" si="738"/>
        <v/>
      </c>
      <c r="BE1161" s="28"/>
      <c r="BF1161" s="304">
        <f t="shared" si="739"/>
        <v>5.940242798842298E-3</v>
      </c>
      <c r="BG1161" s="304">
        <f t="shared" si="739"/>
        <v>5.940242798842298E-3</v>
      </c>
      <c r="BH1161" s="28"/>
      <c r="BI1161" s="304" t="str">
        <f t="shared" si="740"/>
        <v/>
      </c>
      <c r="BJ1161" s="304" t="str">
        <f t="shared" si="740"/>
        <v/>
      </c>
      <c r="BK1161" s="28"/>
      <c r="BL1161" s="304" t="str">
        <f t="shared" si="741"/>
        <v/>
      </c>
      <c r="BM1161" s="304" t="str">
        <f t="shared" si="741"/>
        <v/>
      </c>
      <c r="BN1161" s="28"/>
      <c r="BO1161" s="304" t="str">
        <f t="shared" si="742"/>
        <v/>
      </c>
      <c r="BP1161" s="304" t="str">
        <f t="shared" si="742"/>
        <v/>
      </c>
      <c r="BQ1161" s="28"/>
      <c r="BR1161" s="304" t="str">
        <f t="shared" si="743"/>
        <v/>
      </c>
      <c r="BS1161" s="304" t="str">
        <f t="shared" si="743"/>
        <v/>
      </c>
      <c r="BT1161" s="28"/>
      <c r="BU1161" s="304" t="str">
        <f t="shared" si="744"/>
        <v/>
      </c>
      <c r="BV1161" s="304" t="str">
        <f t="shared" si="744"/>
        <v/>
      </c>
      <c r="BW1161" s="28"/>
      <c r="BX1161" s="91"/>
    </row>
    <row r="1162" spans="1:76" s="55" customFormat="1" x14ac:dyDescent="0.25">
      <c r="A1162" s="359">
        <v>99</v>
      </c>
      <c r="B1162" s="216" t="str">
        <f t="shared" si="730"/>
        <v>OECD90: FAO. 2017. Global Livestock Environmental Assessment Model (GLEAM)</v>
      </c>
      <c r="C1162" s="219" t="s">
        <v>227</v>
      </c>
      <c r="D1162" s="219" t="s">
        <v>463</v>
      </c>
      <c r="E1162" s="219" t="s">
        <v>96</v>
      </c>
      <c r="F1162" s="373" t="s">
        <v>176</v>
      </c>
      <c r="G1162" s="220" t="s">
        <v>26</v>
      </c>
      <c r="H1162" s="221">
        <v>2010</v>
      </c>
      <c r="I1162" s="240"/>
      <c r="J1162" s="227">
        <v>52881766138.606796</v>
      </c>
      <c r="K1162" s="226" t="s">
        <v>688</v>
      </c>
      <c r="L1162" s="334">
        <f>J1162/[1]GHGsources!$L$24*0.001</f>
        <v>1.2099120763197939E-2</v>
      </c>
      <c r="M1162" s="225" t="str">
        <f>CONCATENATE("t CO2-eq/ ",IF('[1]Advanced Controls'!$F$169="Implementation",AdoptionUnitOfMeasure,FunctionalUnitOfMeasure))</f>
        <v>t CO2-eq/ kg of protein</v>
      </c>
      <c r="N1162" s="227"/>
      <c r="O1162" s="227" t="s">
        <v>453</v>
      </c>
      <c r="P1162" s="122"/>
      <c r="Q1162" s="228"/>
      <c r="R1162" s="231">
        <f>IF(Q1162="Y","",IF(AND(L1162="",J1162=""),"",IF(L1162="",J1162,L1162)))</f>
        <v>1.2099120763197939E-2</v>
      </c>
      <c r="S1162" s="230">
        <f t="shared" si="731"/>
        <v>1.2099120763197939E-2</v>
      </c>
      <c r="T1162" s="231">
        <f t="shared" si="746"/>
        <v>0</v>
      </c>
      <c r="U1162" s="232" t="str">
        <f t="shared" si="732"/>
        <v>t CO2-eq/ kg of protein</v>
      </c>
      <c r="V1162" s="28"/>
      <c r="W1162" s="28"/>
      <c r="Y1162" s="91"/>
      <c r="AO1162" s="91"/>
      <c r="AP1162" s="28"/>
      <c r="AQ1162" s="28"/>
      <c r="AR1162" s="233" t="str">
        <f t="shared" si="733"/>
        <v>t CO2-eq/ kg of protein</v>
      </c>
      <c r="AS1162" s="28"/>
      <c r="AT1162" s="304" t="str">
        <f t="shared" si="745"/>
        <v/>
      </c>
      <c r="AU1162" s="304" t="str">
        <f t="shared" si="745"/>
        <v/>
      </c>
      <c r="AV1162" s="28"/>
      <c r="AW1162" s="304">
        <f t="shared" si="736"/>
        <v>1.2099120763197939E-2</v>
      </c>
      <c r="AX1162" s="304">
        <f t="shared" si="736"/>
        <v>1.2099120763197939E-2</v>
      </c>
      <c r="AY1162" s="28"/>
      <c r="AZ1162" s="304" t="str">
        <f t="shared" si="737"/>
        <v/>
      </c>
      <c r="BA1162" s="304" t="str">
        <f t="shared" si="737"/>
        <v/>
      </c>
      <c r="BB1162" s="28"/>
      <c r="BC1162" s="304" t="str">
        <f t="shared" si="738"/>
        <v/>
      </c>
      <c r="BD1162" s="304" t="str">
        <f t="shared" si="738"/>
        <v/>
      </c>
      <c r="BE1162" s="28"/>
      <c r="BF1162" s="304" t="str">
        <f t="shared" si="739"/>
        <v/>
      </c>
      <c r="BG1162" s="304" t="str">
        <f t="shared" si="739"/>
        <v/>
      </c>
      <c r="BH1162" s="28"/>
      <c r="BI1162" s="304" t="str">
        <f t="shared" si="740"/>
        <v/>
      </c>
      <c r="BJ1162" s="304" t="str">
        <f t="shared" si="740"/>
        <v/>
      </c>
      <c r="BK1162" s="28"/>
      <c r="BL1162" s="304" t="str">
        <f t="shared" si="741"/>
        <v/>
      </c>
      <c r="BM1162" s="304" t="str">
        <f t="shared" si="741"/>
        <v/>
      </c>
      <c r="BN1162" s="28"/>
      <c r="BO1162" s="304" t="str">
        <f t="shared" si="742"/>
        <v/>
      </c>
      <c r="BP1162" s="304" t="str">
        <f t="shared" si="742"/>
        <v/>
      </c>
      <c r="BQ1162" s="28"/>
      <c r="BR1162" s="304" t="str">
        <f t="shared" si="743"/>
        <v/>
      </c>
      <c r="BS1162" s="304" t="str">
        <f t="shared" si="743"/>
        <v/>
      </c>
      <c r="BT1162" s="28"/>
      <c r="BU1162" s="304" t="str">
        <f t="shared" si="744"/>
        <v/>
      </c>
      <c r="BV1162" s="304" t="str">
        <f t="shared" si="744"/>
        <v/>
      </c>
      <c r="BW1162" s="28"/>
      <c r="BX1162" s="91"/>
    </row>
    <row r="1163" spans="1:76" s="55" customFormat="1" x14ac:dyDescent="0.25">
      <c r="A1163" s="359">
        <v>100</v>
      </c>
      <c r="B1163" s="216" t="str">
        <f t="shared" si="730"/>
        <v>World: FAO. 2017. Global Livestock Environmental Assessment Model (GLEAM)</v>
      </c>
      <c r="C1163" s="219" t="s">
        <v>227</v>
      </c>
      <c r="D1163" s="219" t="s">
        <v>464</v>
      </c>
      <c r="E1163" s="219" t="s">
        <v>95</v>
      </c>
      <c r="F1163" s="371" t="s">
        <v>371</v>
      </c>
      <c r="G1163" s="220" t="s">
        <v>26</v>
      </c>
      <c r="H1163" s="221">
        <v>2010</v>
      </c>
      <c r="I1163" s="240"/>
      <c r="J1163" s="227">
        <v>92861399862.256485</v>
      </c>
      <c r="K1163" s="226" t="s">
        <v>688</v>
      </c>
      <c r="L1163" s="334">
        <f>J1163/[1]GHGsources!$Q$14*0.001</f>
        <v>1.3379343430803303E-2</v>
      </c>
      <c r="M1163" s="225" t="str">
        <f>CONCATENATE("t CO2-eq/ ",IF('[1]Advanced Controls'!$F$169="Implementation",AdoptionUnitOfMeasure,FunctionalUnitOfMeasure))</f>
        <v>t CO2-eq/ kg of protein</v>
      </c>
      <c r="N1163" s="227"/>
      <c r="O1163" s="227" t="s">
        <v>465</v>
      </c>
      <c r="P1163" s="122"/>
      <c r="Q1163" s="228"/>
      <c r="R1163" s="231">
        <f>IF(Q1163="Y","",IF(AND(L1163="",J1163=""),"",IF(L1163="",J1163,L1163)))</f>
        <v>1.3379343430803303E-2</v>
      </c>
      <c r="S1163" s="230">
        <f t="shared" si="731"/>
        <v>1.3379343430803303E-2</v>
      </c>
      <c r="T1163" s="231">
        <f t="shared" si="746"/>
        <v>0</v>
      </c>
      <c r="U1163" s="232" t="str">
        <f t="shared" si="732"/>
        <v>t CO2-eq/ kg of protein</v>
      </c>
      <c r="V1163" s="28"/>
      <c r="W1163" s="28"/>
      <c r="Y1163" s="91"/>
      <c r="AO1163" s="91"/>
      <c r="AP1163" s="28"/>
      <c r="AQ1163" s="28"/>
      <c r="AR1163" s="233" t="str">
        <f t="shared" si="733"/>
        <v>t CO2-eq/ kg of protein</v>
      </c>
      <c r="AS1163" s="28"/>
      <c r="AT1163" s="304">
        <f t="shared" si="745"/>
        <v>1.3379343430803303E-2</v>
      </c>
      <c r="AU1163" s="304">
        <f t="shared" si="745"/>
        <v>1.3379343430803303E-2</v>
      </c>
      <c r="AV1163" s="28"/>
      <c r="AW1163" s="304" t="str">
        <f t="shared" si="736"/>
        <v/>
      </c>
      <c r="AX1163" s="304" t="str">
        <f t="shared" si="736"/>
        <v/>
      </c>
      <c r="AY1163" s="28"/>
      <c r="AZ1163" s="304" t="str">
        <f t="shared" si="737"/>
        <v/>
      </c>
      <c r="BA1163" s="304" t="str">
        <f t="shared" si="737"/>
        <v/>
      </c>
      <c r="BB1163" s="28"/>
      <c r="BC1163" s="304" t="str">
        <f t="shared" si="738"/>
        <v/>
      </c>
      <c r="BD1163" s="304" t="str">
        <f t="shared" si="738"/>
        <v/>
      </c>
      <c r="BE1163" s="28"/>
      <c r="BF1163" s="304" t="str">
        <f t="shared" si="739"/>
        <v/>
      </c>
      <c r="BG1163" s="304" t="str">
        <f t="shared" si="739"/>
        <v/>
      </c>
      <c r="BH1163" s="28"/>
      <c r="BI1163" s="304" t="str">
        <f t="shared" si="740"/>
        <v/>
      </c>
      <c r="BJ1163" s="304" t="str">
        <f t="shared" si="740"/>
        <v/>
      </c>
      <c r="BK1163" s="28"/>
      <c r="BL1163" s="304" t="str">
        <f t="shared" si="741"/>
        <v/>
      </c>
      <c r="BM1163" s="304" t="str">
        <f t="shared" si="741"/>
        <v/>
      </c>
      <c r="BN1163" s="28"/>
      <c r="BO1163" s="304" t="str">
        <f t="shared" si="742"/>
        <v/>
      </c>
      <c r="BP1163" s="304" t="str">
        <f t="shared" si="742"/>
        <v/>
      </c>
      <c r="BQ1163" s="28"/>
      <c r="BR1163" s="304" t="str">
        <f t="shared" si="743"/>
        <v/>
      </c>
      <c r="BS1163" s="304" t="str">
        <f t="shared" si="743"/>
        <v/>
      </c>
      <c r="BT1163" s="28"/>
      <c r="BU1163" s="304" t="str">
        <f t="shared" si="744"/>
        <v/>
      </c>
      <c r="BV1163" s="304" t="str">
        <f t="shared" si="744"/>
        <v/>
      </c>
      <c r="BW1163" s="28"/>
      <c r="BX1163" s="91"/>
    </row>
    <row r="1164" spans="1:76" s="55" customFormat="1" x14ac:dyDescent="0.25">
      <c r="A1164" s="359">
        <v>101</v>
      </c>
      <c r="B1164" s="216" t="str">
        <f t="shared" si="730"/>
        <v>Asia (Sans Japan): FAO. 2017. Global Livestock Environmental Assessment Model (GLEAM)</v>
      </c>
      <c r="C1164" s="219" t="s">
        <v>227</v>
      </c>
      <c r="D1164" s="219" t="s">
        <v>466</v>
      </c>
      <c r="E1164" s="219" t="s">
        <v>98</v>
      </c>
      <c r="F1164" s="373" t="s">
        <v>375</v>
      </c>
      <c r="G1164" s="220" t="s">
        <v>26</v>
      </c>
      <c r="H1164" s="221">
        <v>2010</v>
      </c>
      <c r="I1164" s="240"/>
      <c r="J1164" s="227">
        <v>11743257786.345119</v>
      </c>
      <c r="K1164" s="226" t="s">
        <v>688</v>
      </c>
      <c r="L1164" s="334">
        <f>J1164/[1]GHGsources!$Q$15*0.001</f>
        <v>1.5304753174613349E-2</v>
      </c>
      <c r="M1164" s="225" t="str">
        <f>CONCATENATE("t CO2-eq/ ",IF('[1]Advanced Controls'!$F$169="Implementation",AdoptionUnitOfMeasure,FunctionalUnitOfMeasure))</f>
        <v>t CO2-eq/ kg of protein</v>
      </c>
      <c r="N1164" s="227"/>
      <c r="O1164" s="227" t="s">
        <v>465</v>
      </c>
      <c r="P1164" s="122"/>
      <c r="Q1164" s="228"/>
      <c r="R1164" s="231">
        <f t="shared" si="735"/>
        <v>1.5304753174613349E-2</v>
      </c>
      <c r="S1164" s="230">
        <f t="shared" si="731"/>
        <v>1.5304753174613349E-2</v>
      </c>
      <c r="T1164" s="231">
        <f t="shared" si="746"/>
        <v>0</v>
      </c>
      <c r="U1164" s="232" t="str">
        <f t="shared" si="732"/>
        <v>t CO2-eq/ kg of protein</v>
      </c>
      <c r="V1164" s="28"/>
      <c r="W1164" s="28"/>
      <c r="Y1164" s="91"/>
      <c r="AO1164" s="91"/>
      <c r="AP1164" s="28"/>
      <c r="AQ1164" s="28"/>
      <c r="AR1164" s="233" t="str">
        <f t="shared" si="733"/>
        <v>t CO2-eq/ kg of protein</v>
      </c>
      <c r="AS1164" s="28"/>
      <c r="AT1164" s="304" t="str">
        <f t="shared" si="745"/>
        <v/>
      </c>
      <c r="AU1164" s="304" t="str">
        <f t="shared" si="745"/>
        <v/>
      </c>
      <c r="AV1164" s="28"/>
      <c r="AW1164" s="304" t="str">
        <f t="shared" si="736"/>
        <v/>
      </c>
      <c r="AX1164" s="304" t="str">
        <f t="shared" si="736"/>
        <v/>
      </c>
      <c r="AY1164" s="28"/>
      <c r="AZ1164" s="304" t="str">
        <f t="shared" si="737"/>
        <v/>
      </c>
      <c r="BA1164" s="304" t="str">
        <f t="shared" si="737"/>
        <v/>
      </c>
      <c r="BB1164" s="28"/>
      <c r="BC1164" s="304">
        <f t="shared" si="738"/>
        <v>1.5304753174613349E-2</v>
      </c>
      <c r="BD1164" s="304">
        <f t="shared" si="738"/>
        <v>1.5304753174613349E-2</v>
      </c>
      <c r="BE1164" s="28"/>
      <c r="BF1164" s="304" t="str">
        <f t="shared" si="739"/>
        <v/>
      </c>
      <c r="BG1164" s="304" t="str">
        <f t="shared" si="739"/>
        <v/>
      </c>
      <c r="BH1164" s="28"/>
      <c r="BI1164" s="304" t="str">
        <f t="shared" si="740"/>
        <v/>
      </c>
      <c r="BJ1164" s="304" t="str">
        <f t="shared" si="740"/>
        <v/>
      </c>
      <c r="BK1164" s="28"/>
      <c r="BL1164" s="304" t="str">
        <f t="shared" si="741"/>
        <v/>
      </c>
      <c r="BM1164" s="304" t="str">
        <f t="shared" si="741"/>
        <v/>
      </c>
      <c r="BN1164" s="28"/>
      <c r="BO1164" s="304" t="str">
        <f t="shared" si="742"/>
        <v/>
      </c>
      <c r="BP1164" s="304" t="str">
        <f t="shared" si="742"/>
        <v/>
      </c>
      <c r="BQ1164" s="28"/>
      <c r="BR1164" s="304" t="str">
        <f t="shared" si="743"/>
        <v/>
      </c>
      <c r="BS1164" s="304" t="str">
        <f t="shared" si="743"/>
        <v/>
      </c>
      <c r="BT1164" s="28"/>
      <c r="BU1164" s="304" t="str">
        <f t="shared" si="744"/>
        <v/>
      </c>
      <c r="BV1164" s="304" t="str">
        <f t="shared" si="744"/>
        <v/>
      </c>
      <c r="BW1164" s="28"/>
      <c r="BX1164" s="91"/>
    </row>
    <row r="1165" spans="1:76" s="55" customFormat="1" x14ac:dyDescent="0.25">
      <c r="A1165" s="359">
        <v>102</v>
      </c>
      <c r="B1165" s="216" t="str">
        <f t="shared" si="730"/>
        <v>Eastern Europe: FAO. 2017. Global Livestock Environmental Assessment Model (GLEAM)</v>
      </c>
      <c r="C1165" s="219" t="s">
        <v>227</v>
      </c>
      <c r="D1165" s="219" t="s">
        <v>467</v>
      </c>
      <c r="E1165" s="219" t="s">
        <v>97</v>
      </c>
      <c r="F1165" s="373" t="s">
        <v>97</v>
      </c>
      <c r="G1165" s="220" t="s">
        <v>26</v>
      </c>
      <c r="H1165" s="221">
        <v>2010</v>
      </c>
      <c r="I1165" s="240"/>
      <c r="J1165" s="227">
        <v>2368212237.8508739</v>
      </c>
      <c r="K1165" s="226" t="s">
        <v>688</v>
      </c>
      <c r="L1165" s="338">
        <f>J1165/[1]GHGsources!$Q$16*0.001</f>
        <v>9.8765293035065274E-3</v>
      </c>
      <c r="M1165" s="225" t="str">
        <f>CONCATENATE("t CO2-eq/ ",IF('[1]Advanced Controls'!$F$169="Implementation",AdoptionUnitOfMeasure,FunctionalUnitOfMeasure))</f>
        <v>t CO2-eq/ kg of protein</v>
      </c>
      <c r="N1165" s="227"/>
      <c r="O1165" s="227" t="s">
        <v>465</v>
      </c>
      <c r="P1165" s="122"/>
      <c r="Q1165" s="228"/>
      <c r="R1165" s="231">
        <f t="shared" si="735"/>
        <v>9.8765293035065274E-3</v>
      </c>
      <c r="S1165" s="230">
        <f t="shared" si="731"/>
        <v>9.8765293035065274E-3</v>
      </c>
      <c r="T1165" s="231">
        <f t="shared" si="746"/>
        <v>0</v>
      </c>
      <c r="U1165" s="232" t="str">
        <f t="shared" si="732"/>
        <v>t CO2-eq/ kg of protein</v>
      </c>
      <c r="V1165" s="28"/>
      <c r="W1165" s="28"/>
      <c r="Y1165" s="91"/>
      <c r="AO1165" s="91"/>
      <c r="AP1165" s="28"/>
      <c r="AQ1165" s="28"/>
      <c r="AR1165" s="233" t="str">
        <f t="shared" si="733"/>
        <v>t CO2-eq/ kg of protein</v>
      </c>
      <c r="AS1165" s="28"/>
      <c r="AT1165" s="304" t="str">
        <f t="shared" si="745"/>
        <v/>
      </c>
      <c r="AU1165" s="304" t="str">
        <f t="shared" si="745"/>
        <v/>
      </c>
      <c r="AV1165" s="28"/>
      <c r="AW1165" s="304" t="str">
        <f t="shared" si="736"/>
        <v/>
      </c>
      <c r="AX1165" s="304" t="str">
        <f t="shared" si="736"/>
        <v/>
      </c>
      <c r="AY1165" s="28"/>
      <c r="AZ1165" s="304">
        <f t="shared" si="737"/>
        <v>9.8765293035065274E-3</v>
      </c>
      <c r="BA1165" s="304">
        <f t="shared" si="737"/>
        <v>9.8765293035065274E-3</v>
      </c>
      <c r="BB1165" s="28"/>
      <c r="BC1165" s="304" t="str">
        <f t="shared" si="738"/>
        <v/>
      </c>
      <c r="BD1165" s="304" t="str">
        <f t="shared" si="738"/>
        <v/>
      </c>
      <c r="BE1165" s="28"/>
      <c r="BF1165" s="304" t="str">
        <f t="shared" si="739"/>
        <v/>
      </c>
      <c r="BG1165" s="304" t="str">
        <f t="shared" si="739"/>
        <v/>
      </c>
      <c r="BH1165" s="28"/>
      <c r="BI1165" s="304" t="str">
        <f t="shared" si="740"/>
        <v/>
      </c>
      <c r="BJ1165" s="304" t="str">
        <f t="shared" si="740"/>
        <v/>
      </c>
      <c r="BK1165" s="28"/>
      <c r="BL1165" s="304" t="str">
        <f t="shared" si="741"/>
        <v/>
      </c>
      <c r="BM1165" s="304" t="str">
        <f t="shared" si="741"/>
        <v/>
      </c>
      <c r="BN1165" s="28"/>
      <c r="BO1165" s="304" t="str">
        <f t="shared" si="742"/>
        <v/>
      </c>
      <c r="BP1165" s="304" t="str">
        <f t="shared" si="742"/>
        <v/>
      </c>
      <c r="BQ1165" s="28"/>
      <c r="BR1165" s="304" t="str">
        <f t="shared" si="743"/>
        <v/>
      </c>
      <c r="BS1165" s="304" t="str">
        <f t="shared" si="743"/>
        <v/>
      </c>
      <c r="BT1165" s="28"/>
      <c r="BU1165" s="304" t="str">
        <f t="shared" si="744"/>
        <v/>
      </c>
      <c r="BV1165" s="304" t="str">
        <f t="shared" si="744"/>
        <v/>
      </c>
      <c r="BW1165" s="28"/>
      <c r="BX1165" s="91"/>
    </row>
    <row r="1166" spans="1:76" s="55" customFormat="1" x14ac:dyDescent="0.25">
      <c r="A1166" s="359">
        <v>103</v>
      </c>
      <c r="B1166" s="216" t="str">
        <f t="shared" si="730"/>
        <v>Latin America: FAO. 2017. Global Livestock Environmental Assessment Model (GLEAM)</v>
      </c>
      <c r="C1166" s="219" t="s">
        <v>227</v>
      </c>
      <c r="D1166" s="219" t="s">
        <v>468</v>
      </c>
      <c r="E1166" s="219" t="s">
        <v>100</v>
      </c>
      <c r="F1166" s="373" t="s">
        <v>378</v>
      </c>
      <c r="G1166" s="220" t="s">
        <v>26</v>
      </c>
      <c r="H1166" s="221">
        <v>2010</v>
      </c>
      <c r="I1166" s="240"/>
      <c r="J1166" s="227">
        <v>10299642947.495871</v>
      </c>
      <c r="K1166" s="226" t="s">
        <v>688</v>
      </c>
      <c r="L1166" s="334">
        <f>J1166/[1]GHGsources!$Q$17*0.001</f>
        <v>1.1063971706921532E-2</v>
      </c>
      <c r="M1166" s="225" t="str">
        <f>CONCATENATE("t CO2-eq/ ",IF('[1]Advanced Controls'!$F$169="Implementation",AdoptionUnitOfMeasure,FunctionalUnitOfMeasure))</f>
        <v>t CO2-eq/ kg of protein</v>
      </c>
      <c r="N1166" s="227"/>
      <c r="O1166" s="227" t="s">
        <v>465</v>
      </c>
      <c r="P1166" s="122"/>
      <c r="Q1166" s="228"/>
      <c r="R1166" s="231">
        <f t="shared" si="735"/>
        <v>1.1063971706921532E-2</v>
      </c>
      <c r="S1166" s="230">
        <f t="shared" si="731"/>
        <v>1.1063971706921532E-2</v>
      </c>
      <c r="T1166" s="231">
        <f t="shared" si="746"/>
        <v>0</v>
      </c>
      <c r="U1166" s="232" t="str">
        <f t="shared" si="732"/>
        <v>t CO2-eq/ kg of protein</v>
      </c>
      <c r="V1166" s="28"/>
      <c r="W1166" s="28"/>
      <c r="Y1166" s="91"/>
      <c r="AO1166" s="91"/>
      <c r="AP1166" s="28"/>
      <c r="AQ1166" s="28"/>
      <c r="AR1166" s="233" t="str">
        <f t="shared" si="733"/>
        <v>t CO2-eq/ kg of protein</v>
      </c>
      <c r="AS1166" s="28"/>
      <c r="AT1166" s="304" t="str">
        <f t="shared" si="745"/>
        <v/>
      </c>
      <c r="AU1166" s="304" t="str">
        <f t="shared" si="745"/>
        <v/>
      </c>
      <c r="AV1166" s="28"/>
      <c r="AW1166" s="304" t="str">
        <f t="shared" si="736"/>
        <v/>
      </c>
      <c r="AX1166" s="304" t="str">
        <f t="shared" si="736"/>
        <v/>
      </c>
      <c r="AY1166" s="28"/>
      <c r="AZ1166" s="304" t="str">
        <f t="shared" si="737"/>
        <v/>
      </c>
      <c r="BA1166" s="304" t="str">
        <f t="shared" si="737"/>
        <v/>
      </c>
      <c r="BB1166" s="28"/>
      <c r="BC1166" s="304" t="str">
        <f t="shared" si="738"/>
        <v/>
      </c>
      <c r="BD1166" s="304" t="str">
        <f t="shared" si="738"/>
        <v/>
      </c>
      <c r="BE1166" s="28"/>
      <c r="BF1166" s="304" t="str">
        <f t="shared" si="739"/>
        <v/>
      </c>
      <c r="BG1166" s="304" t="str">
        <f t="shared" si="739"/>
        <v/>
      </c>
      <c r="BH1166" s="28"/>
      <c r="BI1166" s="304">
        <f t="shared" si="740"/>
        <v>1.1063971706921532E-2</v>
      </c>
      <c r="BJ1166" s="304">
        <f t="shared" si="740"/>
        <v>1.1063971706921532E-2</v>
      </c>
      <c r="BK1166" s="28"/>
      <c r="BL1166" s="304" t="str">
        <f t="shared" si="741"/>
        <v/>
      </c>
      <c r="BM1166" s="304" t="str">
        <f t="shared" si="741"/>
        <v/>
      </c>
      <c r="BN1166" s="28"/>
      <c r="BO1166" s="304" t="str">
        <f t="shared" si="742"/>
        <v/>
      </c>
      <c r="BP1166" s="304" t="str">
        <f t="shared" si="742"/>
        <v/>
      </c>
      <c r="BQ1166" s="28"/>
      <c r="BR1166" s="304" t="str">
        <f t="shared" si="743"/>
        <v/>
      </c>
      <c r="BS1166" s="304" t="str">
        <f t="shared" si="743"/>
        <v/>
      </c>
      <c r="BT1166" s="28"/>
      <c r="BU1166" s="304" t="str">
        <f t="shared" si="744"/>
        <v/>
      </c>
      <c r="BV1166" s="304" t="str">
        <f t="shared" si="744"/>
        <v/>
      </c>
      <c r="BW1166" s="28"/>
      <c r="BX1166" s="91"/>
    </row>
    <row r="1167" spans="1:76" s="55" customFormat="1" x14ac:dyDescent="0.25">
      <c r="A1167" s="359">
        <v>104</v>
      </c>
      <c r="B1167" s="216" t="str">
        <f t="shared" si="730"/>
        <v>Middle East and Africa: FAO. 2017. Global Livestock Environmental Assessment Model (GLEAM)</v>
      </c>
      <c r="C1167" s="219" t="s">
        <v>227</v>
      </c>
      <c r="D1167" s="219" t="s">
        <v>469</v>
      </c>
      <c r="E1167" s="219" t="s">
        <v>99</v>
      </c>
      <c r="F1167" s="373" t="s">
        <v>380</v>
      </c>
      <c r="G1167" s="220" t="s">
        <v>26</v>
      </c>
      <c r="H1167" s="221">
        <v>2010</v>
      </c>
      <c r="I1167" s="240"/>
      <c r="J1167" s="227">
        <v>9907547910.4835205</v>
      </c>
      <c r="K1167" s="226" t="s">
        <v>688</v>
      </c>
      <c r="L1167" s="338">
        <f>J1167/[1]GHGsources!$Q$18*0.001</f>
        <v>1.7350423192530193E-2</v>
      </c>
      <c r="M1167" s="225" t="str">
        <f>CONCATENATE("t CO2-eq/ ",IF('[1]Advanced Controls'!$F$169="Implementation",AdoptionUnitOfMeasure,FunctionalUnitOfMeasure))</f>
        <v>t CO2-eq/ kg of protein</v>
      </c>
      <c r="N1167" s="227"/>
      <c r="O1167" s="227" t="s">
        <v>465</v>
      </c>
      <c r="P1167" s="122"/>
      <c r="Q1167" s="228"/>
      <c r="R1167" s="231">
        <f t="shared" si="735"/>
        <v>1.7350423192530193E-2</v>
      </c>
      <c r="S1167" s="230">
        <f t="shared" si="731"/>
        <v>1.7350423192530193E-2</v>
      </c>
      <c r="T1167" s="231" t="str">
        <f t="shared" si="746"/>
        <v/>
      </c>
      <c r="U1167" s="232" t="str">
        <f t="shared" si="732"/>
        <v>t CO2-eq/ kg of protein</v>
      </c>
      <c r="V1167" s="28"/>
      <c r="W1167" s="28"/>
      <c r="Y1167" s="91"/>
      <c r="AO1167" s="91"/>
      <c r="AP1167" s="28"/>
      <c r="AQ1167" s="28"/>
      <c r="AR1167" s="233" t="str">
        <f t="shared" si="733"/>
        <v>t CO2-eq/ kg of protein</v>
      </c>
      <c r="AS1167" s="28"/>
      <c r="AT1167" s="304" t="str">
        <f t="shared" si="745"/>
        <v/>
      </c>
      <c r="AU1167" s="304" t="str">
        <f t="shared" si="745"/>
        <v/>
      </c>
      <c r="AV1167" s="28"/>
      <c r="AW1167" s="304" t="str">
        <f t="shared" si="736"/>
        <v/>
      </c>
      <c r="AX1167" s="304" t="str">
        <f t="shared" si="736"/>
        <v/>
      </c>
      <c r="AY1167" s="28"/>
      <c r="AZ1167" s="304" t="str">
        <f t="shared" si="737"/>
        <v/>
      </c>
      <c r="BA1167" s="304" t="str">
        <f t="shared" si="737"/>
        <v/>
      </c>
      <c r="BB1167" s="28"/>
      <c r="BC1167" s="304" t="str">
        <f t="shared" si="738"/>
        <v/>
      </c>
      <c r="BD1167" s="304" t="str">
        <f t="shared" si="738"/>
        <v/>
      </c>
      <c r="BE1167" s="28"/>
      <c r="BF1167" s="304">
        <f t="shared" si="739"/>
        <v>1.7350423192530193E-2</v>
      </c>
      <c r="BG1167" s="304">
        <f t="shared" si="739"/>
        <v>1.7350423192530193E-2</v>
      </c>
      <c r="BH1167" s="28"/>
      <c r="BI1167" s="304" t="str">
        <f t="shared" si="740"/>
        <v/>
      </c>
      <c r="BJ1167" s="304" t="str">
        <f t="shared" si="740"/>
        <v/>
      </c>
      <c r="BK1167" s="28"/>
      <c r="BL1167" s="304" t="str">
        <f t="shared" si="741"/>
        <v/>
      </c>
      <c r="BM1167" s="304" t="str">
        <f t="shared" si="741"/>
        <v/>
      </c>
      <c r="BN1167" s="28"/>
      <c r="BO1167" s="304" t="str">
        <f t="shared" si="742"/>
        <v/>
      </c>
      <c r="BP1167" s="304" t="str">
        <f t="shared" si="742"/>
        <v/>
      </c>
      <c r="BQ1167" s="28"/>
      <c r="BR1167" s="304" t="str">
        <f t="shared" si="743"/>
        <v/>
      </c>
      <c r="BS1167" s="304" t="str">
        <f t="shared" si="743"/>
        <v/>
      </c>
      <c r="BT1167" s="28"/>
      <c r="BU1167" s="304" t="str">
        <f t="shared" si="744"/>
        <v/>
      </c>
      <c r="BV1167" s="304" t="str">
        <f t="shared" si="744"/>
        <v/>
      </c>
      <c r="BW1167" s="28"/>
      <c r="BX1167" s="91"/>
    </row>
    <row r="1168" spans="1:76" s="55" customFormat="1" x14ac:dyDescent="0.25">
      <c r="A1168" s="359">
        <v>105</v>
      </c>
      <c r="B1168" s="216" t="str">
        <f t="shared" si="730"/>
        <v>OECD90: FAO. 2017. Global Livestock Environmental Assessment Model (GLEAM)</v>
      </c>
      <c r="C1168" s="219" t="s">
        <v>227</v>
      </c>
      <c r="D1168" s="219" t="s">
        <v>470</v>
      </c>
      <c r="E1168" s="219" t="s">
        <v>96</v>
      </c>
      <c r="F1168" s="373" t="s">
        <v>179</v>
      </c>
      <c r="G1168" s="220" t="s">
        <v>26</v>
      </c>
      <c r="H1168" s="221">
        <v>2010</v>
      </c>
      <c r="I1168" s="240"/>
      <c r="J1168" s="227">
        <v>19550750868.012268</v>
      </c>
      <c r="K1168" s="226" t="s">
        <v>688</v>
      </c>
      <c r="L1168" s="334">
        <f>J1168/[1]GHGsources!$Q$19*0.001</f>
        <v>1.4305166471870539E-2</v>
      </c>
      <c r="M1168" s="225" t="str">
        <f>CONCATENATE("t CO2-eq/ ",IF('[1]Advanced Controls'!$F$169="Implementation",AdoptionUnitOfMeasure,FunctionalUnitOfMeasure))</f>
        <v>t CO2-eq/ kg of protein</v>
      </c>
      <c r="N1168" s="227"/>
      <c r="O1168" s="227" t="s">
        <v>465</v>
      </c>
      <c r="P1168" s="122"/>
      <c r="Q1168" s="228"/>
      <c r="R1168" s="231">
        <f t="shared" si="735"/>
        <v>1.4305166471870539E-2</v>
      </c>
      <c r="S1168" s="230">
        <f t="shared" si="731"/>
        <v>1.4305166471870539E-2</v>
      </c>
      <c r="T1168" s="231">
        <f t="shared" si="746"/>
        <v>0</v>
      </c>
      <c r="U1168" s="232" t="str">
        <f t="shared" si="732"/>
        <v>t CO2-eq/ kg of protein</v>
      </c>
      <c r="V1168" s="28"/>
      <c r="W1168" s="28"/>
      <c r="Y1168" s="91"/>
      <c r="AO1168" s="91"/>
      <c r="AP1168" s="28"/>
      <c r="AQ1168" s="28"/>
      <c r="AR1168" s="233" t="str">
        <f t="shared" si="733"/>
        <v>t CO2-eq/ kg of protein</v>
      </c>
      <c r="AS1168" s="28"/>
      <c r="AT1168" s="304" t="str">
        <f t="shared" si="745"/>
        <v/>
      </c>
      <c r="AU1168" s="304" t="str">
        <f t="shared" si="745"/>
        <v/>
      </c>
      <c r="AV1168" s="28"/>
      <c r="AW1168" s="304">
        <f t="shared" si="736"/>
        <v>1.4305166471870539E-2</v>
      </c>
      <c r="AX1168" s="304">
        <f t="shared" si="736"/>
        <v>1.4305166471870539E-2</v>
      </c>
      <c r="AY1168" s="28"/>
      <c r="AZ1168" s="304" t="str">
        <f t="shared" si="737"/>
        <v/>
      </c>
      <c r="BA1168" s="304" t="str">
        <f t="shared" si="737"/>
        <v/>
      </c>
      <c r="BB1168" s="28"/>
      <c r="BC1168" s="304" t="str">
        <f t="shared" si="738"/>
        <v/>
      </c>
      <c r="BD1168" s="304" t="str">
        <f t="shared" si="738"/>
        <v/>
      </c>
      <c r="BE1168" s="28"/>
      <c r="BF1168" s="304" t="str">
        <f t="shared" si="739"/>
        <v/>
      </c>
      <c r="BG1168" s="304" t="str">
        <f t="shared" si="739"/>
        <v/>
      </c>
      <c r="BH1168" s="28"/>
      <c r="BI1168" s="304" t="str">
        <f t="shared" si="740"/>
        <v/>
      </c>
      <c r="BJ1168" s="304" t="str">
        <f t="shared" si="740"/>
        <v/>
      </c>
      <c r="BK1168" s="28"/>
      <c r="BL1168" s="304" t="str">
        <f t="shared" si="741"/>
        <v/>
      </c>
      <c r="BM1168" s="304" t="str">
        <f t="shared" si="741"/>
        <v/>
      </c>
      <c r="BN1168" s="28"/>
      <c r="BO1168" s="304" t="str">
        <f t="shared" si="742"/>
        <v/>
      </c>
      <c r="BP1168" s="304" t="str">
        <f t="shared" si="742"/>
        <v/>
      </c>
      <c r="BQ1168" s="28"/>
      <c r="BR1168" s="304" t="str">
        <f t="shared" si="743"/>
        <v/>
      </c>
      <c r="BS1168" s="304" t="str">
        <f t="shared" si="743"/>
        <v/>
      </c>
      <c r="BT1168" s="28"/>
      <c r="BU1168" s="304" t="str">
        <f t="shared" si="744"/>
        <v/>
      </c>
      <c r="BV1168" s="304" t="str">
        <f t="shared" si="744"/>
        <v/>
      </c>
      <c r="BW1168" s="28"/>
      <c r="BX1168" s="91"/>
    </row>
    <row r="1169" spans="1:76" s="55" customFormat="1" ht="12.95" customHeight="1" x14ac:dyDescent="0.25">
      <c r="A1169" s="359">
        <v>106</v>
      </c>
      <c r="B1169" s="216" t="str">
        <f t="shared" si="730"/>
        <v>OECD90: FAO. 2017. Global Livestock Environmental Assessment Model (GLEAM)</v>
      </c>
      <c r="C1169" s="219" t="s">
        <v>227</v>
      </c>
      <c r="D1169" s="219" t="s">
        <v>471</v>
      </c>
      <c r="E1169" s="219" t="s">
        <v>96</v>
      </c>
      <c r="F1169" s="373" t="s">
        <v>185</v>
      </c>
      <c r="G1169" s="220" t="s">
        <v>26</v>
      </c>
      <c r="H1169" s="221">
        <v>2010</v>
      </c>
      <c r="I1169" s="240"/>
      <c r="J1169" s="227">
        <v>6753117166.8697205</v>
      </c>
      <c r="K1169" s="226" t="s">
        <v>688</v>
      </c>
      <c r="L1169" s="337">
        <f>J1169/[1]GHGsources!$Q$20*0.001</f>
        <v>1.5066384797479395E-2</v>
      </c>
      <c r="M1169" s="225" t="str">
        <f>CONCATENATE("t CO2-eq/ ",IF('[1]Advanced Controls'!$F$169="Implementation",AdoptionUnitOfMeasure,FunctionalUnitOfMeasure))</f>
        <v>t CO2-eq/ kg of protein</v>
      </c>
      <c r="N1169" s="227"/>
      <c r="O1169" s="227" t="s">
        <v>465</v>
      </c>
      <c r="P1169" s="122"/>
      <c r="Q1169" s="228"/>
      <c r="R1169" s="231">
        <f t="shared" si="735"/>
        <v>1.5066384797479395E-2</v>
      </c>
      <c r="S1169" s="230">
        <f t="shared" si="731"/>
        <v>1.5066384797479395E-2</v>
      </c>
      <c r="T1169" s="231">
        <f t="shared" si="746"/>
        <v>0</v>
      </c>
      <c r="U1169" s="232" t="str">
        <f t="shared" si="732"/>
        <v>t CO2-eq/ kg of protein</v>
      </c>
      <c r="V1169" s="28"/>
      <c r="W1169" s="28"/>
      <c r="Y1169" s="91"/>
      <c r="AO1169" s="91"/>
      <c r="AP1169" s="28"/>
      <c r="AQ1169" s="28"/>
      <c r="AR1169" s="233" t="str">
        <f t="shared" si="733"/>
        <v>t CO2-eq/ kg of protein</v>
      </c>
      <c r="AS1169" s="28"/>
      <c r="AT1169" s="304" t="str">
        <f t="shared" si="745"/>
        <v/>
      </c>
      <c r="AU1169" s="304" t="str">
        <f t="shared" si="745"/>
        <v/>
      </c>
      <c r="AV1169" s="28"/>
      <c r="AW1169" s="304">
        <f t="shared" si="736"/>
        <v>1.5066384797479395E-2</v>
      </c>
      <c r="AX1169" s="304">
        <f t="shared" si="736"/>
        <v>1.5066384797479395E-2</v>
      </c>
      <c r="AY1169" s="28"/>
      <c r="AZ1169" s="304" t="str">
        <f t="shared" si="737"/>
        <v/>
      </c>
      <c r="BA1169" s="304" t="str">
        <f t="shared" si="737"/>
        <v/>
      </c>
      <c r="BB1169" s="28"/>
      <c r="BC1169" s="304" t="str">
        <f t="shared" si="738"/>
        <v/>
      </c>
      <c r="BD1169" s="304" t="str">
        <f t="shared" si="738"/>
        <v/>
      </c>
      <c r="BE1169" s="28"/>
      <c r="BF1169" s="304" t="str">
        <f t="shared" si="739"/>
        <v/>
      </c>
      <c r="BG1169" s="304" t="str">
        <f t="shared" si="739"/>
        <v/>
      </c>
      <c r="BH1169" s="28"/>
      <c r="BI1169" s="304" t="str">
        <f t="shared" si="740"/>
        <v/>
      </c>
      <c r="BJ1169" s="304" t="str">
        <f t="shared" si="740"/>
        <v/>
      </c>
      <c r="BK1169" s="28"/>
      <c r="BL1169" s="304" t="str">
        <f t="shared" si="741"/>
        <v/>
      </c>
      <c r="BM1169" s="304" t="str">
        <f t="shared" si="741"/>
        <v/>
      </c>
      <c r="BN1169" s="28"/>
      <c r="BO1169" s="304" t="str">
        <f t="shared" si="742"/>
        <v/>
      </c>
      <c r="BP1169" s="304" t="str">
        <f t="shared" si="742"/>
        <v/>
      </c>
      <c r="BQ1169" s="28"/>
      <c r="BR1169" s="304" t="str">
        <f t="shared" si="743"/>
        <v/>
      </c>
      <c r="BS1169" s="304" t="str">
        <f t="shared" si="743"/>
        <v/>
      </c>
      <c r="BT1169" s="28"/>
      <c r="BU1169" s="304" t="str">
        <f t="shared" si="744"/>
        <v/>
      </c>
      <c r="BV1169" s="304" t="str">
        <f t="shared" si="744"/>
        <v/>
      </c>
      <c r="BW1169" s="28"/>
      <c r="BX1169" s="91"/>
    </row>
    <row r="1170" spans="1:76" s="55" customFormat="1" ht="12.95" customHeight="1" x14ac:dyDescent="0.25">
      <c r="A1170" s="359">
        <v>107</v>
      </c>
      <c r="B1170" s="216" t="str">
        <f t="shared" si="730"/>
        <v>Eastern Europe: FAO. 2017. Global Livestock Environmental Assessment Model (GLEAM)</v>
      </c>
      <c r="C1170" s="219" t="s">
        <v>227</v>
      </c>
      <c r="D1170" s="219" t="s">
        <v>472</v>
      </c>
      <c r="E1170" s="219" t="s">
        <v>97</v>
      </c>
      <c r="F1170" s="373" t="s">
        <v>384</v>
      </c>
      <c r="G1170" s="220" t="s">
        <v>26</v>
      </c>
      <c r="H1170" s="221">
        <v>2010</v>
      </c>
      <c r="I1170" s="240"/>
      <c r="J1170" s="227">
        <v>2729744740.3177052</v>
      </c>
      <c r="K1170" s="226" t="s">
        <v>688</v>
      </c>
      <c r="L1170" s="338">
        <f>J1170/[1]GHGsources!$Q$21*0.001</f>
        <v>7.2404303440781253E-3</v>
      </c>
      <c r="M1170" s="225" t="str">
        <f>CONCATENATE("t CO2-eq/ ",IF('[1]Advanced Controls'!$F$169="Implementation",AdoptionUnitOfMeasure,FunctionalUnitOfMeasure))</f>
        <v>t CO2-eq/ kg of protein</v>
      </c>
      <c r="N1170" s="227"/>
      <c r="O1170" s="227" t="s">
        <v>465</v>
      </c>
      <c r="P1170" s="122"/>
      <c r="Q1170" s="228"/>
      <c r="R1170" s="231">
        <f t="shared" si="735"/>
        <v>7.2404303440781253E-3</v>
      </c>
      <c r="S1170" s="230">
        <f t="shared" si="731"/>
        <v>7.2404303440781253E-3</v>
      </c>
      <c r="T1170" s="231" t="str">
        <f t="shared" si="746"/>
        <v/>
      </c>
      <c r="U1170" s="232" t="str">
        <f t="shared" si="732"/>
        <v>t CO2-eq/ kg of protein</v>
      </c>
      <c r="V1170" s="28"/>
      <c r="W1170" s="28"/>
      <c r="Y1170" s="91"/>
      <c r="AO1170" s="91"/>
      <c r="AP1170" s="28"/>
      <c r="AQ1170" s="28"/>
      <c r="AR1170" s="233" t="str">
        <f t="shared" si="733"/>
        <v>t CO2-eq/ kg of protein</v>
      </c>
      <c r="AS1170" s="28"/>
      <c r="AT1170" s="304" t="str">
        <f t="shared" si="745"/>
        <v/>
      </c>
      <c r="AU1170" s="304" t="str">
        <f t="shared" si="745"/>
        <v/>
      </c>
      <c r="AV1170" s="28"/>
      <c r="AW1170" s="304" t="str">
        <f t="shared" si="736"/>
        <v/>
      </c>
      <c r="AX1170" s="304" t="str">
        <f t="shared" si="736"/>
        <v/>
      </c>
      <c r="AY1170" s="28"/>
      <c r="AZ1170" s="304">
        <f t="shared" si="737"/>
        <v>7.2404303440781253E-3</v>
      </c>
      <c r="BA1170" s="304">
        <f t="shared" si="737"/>
        <v>7.2404303440781253E-3</v>
      </c>
      <c r="BB1170" s="28"/>
      <c r="BC1170" s="304" t="str">
        <f t="shared" si="738"/>
        <v/>
      </c>
      <c r="BD1170" s="304" t="str">
        <f t="shared" si="738"/>
        <v/>
      </c>
      <c r="BE1170" s="28"/>
      <c r="BF1170" s="304" t="str">
        <f t="shared" si="739"/>
        <v/>
      </c>
      <c r="BG1170" s="304" t="str">
        <f t="shared" si="739"/>
        <v/>
      </c>
      <c r="BH1170" s="28"/>
      <c r="BI1170" s="304" t="str">
        <f t="shared" si="740"/>
        <v/>
      </c>
      <c r="BJ1170" s="304" t="str">
        <f t="shared" si="740"/>
        <v/>
      </c>
      <c r="BK1170" s="28"/>
      <c r="BL1170" s="304" t="str">
        <f t="shared" si="741"/>
        <v/>
      </c>
      <c r="BM1170" s="304" t="str">
        <f t="shared" si="741"/>
        <v/>
      </c>
      <c r="BN1170" s="28"/>
      <c r="BO1170" s="304" t="str">
        <f t="shared" si="742"/>
        <v/>
      </c>
      <c r="BP1170" s="304" t="str">
        <f t="shared" si="742"/>
        <v/>
      </c>
      <c r="BQ1170" s="28"/>
      <c r="BR1170" s="304" t="str">
        <f t="shared" si="743"/>
        <v/>
      </c>
      <c r="BS1170" s="304" t="str">
        <f t="shared" si="743"/>
        <v/>
      </c>
      <c r="BT1170" s="28"/>
      <c r="BU1170" s="304" t="str">
        <f t="shared" si="744"/>
        <v/>
      </c>
      <c r="BV1170" s="304" t="str">
        <f t="shared" si="744"/>
        <v/>
      </c>
      <c r="BW1170" s="28"/>
      <c r="BX1170" s="91"/>
    </row>
    <row r="1171" spans="1:76" s="55" customFormat="1" ht="12.95" customHeight="1" x14ac:dyDescent="0.25">
      <c r="A1171" s="359">
        <v>108</v>
      </c>
      <c r="B1171" s="216" t="str">
        <f t="shared" si="730"/>
        <v>Asia (Sans Japan): FAO. 2017. Global Livestock Environmental Assessment Model (GLEAM)</v>
      </c>
      <c r="C1171" s="219" t="s">
        <v>227</v>
      </c>
      <c r="D1171" s="219" t="s">
        <v>473</v>
      </c>
      <c r="E1171" s="219" t="s">
        <v>98</v>
      </c>
      <c r="F1171" s="373" t="s">
        <v>386</v>
      </c>
      <c r="G1171" s="220" t="s">
        <v>26</v>
      </c>
      <c r="H1171" s="221">
        <v>2010</v>
      </c>
      <c r="I1171" s="240"/>
      <c r="J1171" s="227">
        <v>12263028228.0168</v>
      </c>
      <c r="K1171" s="226" t="s">
        <v>688</v>
      </c>
      <c r="L1171" s="338">
        <f>J1171/[1]GHGsources!$Q$22*0.001</f>
        <v>2.2225647609017529E-2</v>
      </c>
      <c r="M1171" s="225" t="str">
        <f>CONCATENATE("t CO2-eq/ ",IF('[1]Advanced Controls'!$F$169="Implementation",AdoptionUnitOfMeasure,FunctionalUnitOfMeasure))</f>
        <v>t CO2-eq/ kg of protein</v>
      </c>
      <c r="N1171" s="227"/>
      <c r="O1171" s="227" t="s">
        <v>465</v>
      </c>
      <c r="P1171" s="122"/>
      <c r="Q1171" s="228"/>
      <c r="R1171" s="231">
        <f t="shared" si="735"/>
        <v>2.2225647609017529E-2</v>
      </c>
      <c r="S1171" s="230">
        <f t="shared" si="731"/>
        <v>2.2225647609017529E-2</v>
      </c>
      <c r="T1171" s="231" t="str">
        <f t="shared" si="746"/>
        <v/>
      </c>
      <c r="U1171" s="232" t="str">
        <f t="shared" si="732"/>
        <v>t CO2-eq/ kg of protein</v>
      </c>
      <c r="V1171" s="28"/>
      <c r="W1171" s="28"/>
      <c r="Y1171" s="91"/>
      <c r="AO1171" s="91"/>
      <c r="AP1171" s="28"/>
      <c r="AQ1171" s="28"/>
      <c r="AR1171" s="233" t="str">
        <f t="shared" si="733"/>
        <v>t CO2-eq/ kg of protein</v>
      </c>
      <c r="AS1171" s="28"/>
      <c r="AT1171" s="304" t="str">
        <f t="shared" si="745"/>
        <v/>
      </c>
      <c r="AU1171" s="304" t="str">
        <f t="shared" si="745"/>
        <v/>
      </c>
      <c r="AV1171" s="28"/>
      <c r="AW1171" s="304" t="str">
        <f t="shared" si="736"/>
        <v/>
      </c>
      <c r="AX1171" s="304" t="str">
        <f t="shared" si="736"/>
        <v/>
      </c>
      <c r="AY1171" s="28"/>
      <c r="AZ1171" s="304" t="str">
        <f t="shared" si="737"/>
        <v/>
      </c>
      <c r="BA1171" s="304" t="str">
        <f t="shared" si="737"/>
        <v/>
      </c>
      <c r="BB1171" s="28"/>
      <c r="BC1171" s="304">
        <f t="shared" si="738"/>
        <v>2.2225647609017529E-2</v>
      </c>
      <c r="BD1171" s="304">
        <f t="shared" si="738"/>
        <v>2.2225647609017529E-2</v>
      </c>
      <c r="BE1171" s="28"/>
      <c r="BF1171" s="304" t="str">
        <f t="shared" si="739"/>
        <v/>
      </c>
      <c r="BG1171" s="304" t="str">
        <f t="shared" si="739"/>
        <v/>
      </c>
      <c r="BH1171" s="28"/>
      <c r="BI1171" s="304" t="str">
        <f t="shared" si="740"/>
        <v/>
      </c>
      <c r="BJ1171" s="304" t="str">
        <f t="shared" si="740"/>
        <v/>
      </c>
      <c r="BK1171" s="28"/>
      <c r="BL1171" s="304" t="str">
        <f t="shared" si="741"/>
        <v/>
      </c>
      <c r="BM1171" s="304" t="str">
        <f t="shared" si="741"/>
        <v/>
      </c>
      <c r="BN1171" s="28"/>
      <c r="BO1171" s="304" t="str">
        <f t="shared" si="742"/>
        <v/>
      </c>
      <c r="BP1171" s="304" t="str">
        <f t="shared" si="742"/>
        <v/>
      </c>
      <c r="BQ1171" s="28"/>
      <c r="BR1171" s="304" t="str">
        <f t="shared" si="743"/>
        <v/>
      </c>
      <c r="BS1171" s="304" t="str">
        <f t="shared" si="743"/>
        <v/>
      </c>
      <c r="BT1171" s="28"/>
      <c r="BU1171" s="304" t="str">
        <f t="shared" si="744"/>
        <v/>
      </c>
      <c r="BV1171" s="304" t="str">
        <f t="shared" si="744"/>
        <v/>
      </c>
      <c r="BW1171" s="28"/>
      <c r="BX1171" s="91"/>
    </row>
    <row r="1172" spans="1:76" s="55" customFormat="1" ht="12.95" customHeight="1" x14ac:dyDescent="0.25">
      <c r="A1172" s="359">
        <v>109</v>
      </c>
      <c r="B1172" s="216" t="str">
        <f t="shared" si="730"/>
        <v>Middle East and Africa: FAO. 2017. Global Livestock Environmental Assessment Model (GLEAM)</v>
      </c>
      <c r="C1172" s="219" t="s">
        <v>227</v>
      </c>
      <c r="D1172" s="219" t="s">
        <v>474</v>
      </c>
      <c r="E1172" s="219" t="s">
        <v>99</v>
      </c>
      <c r="F1172" s="373" t="s">
        <v>388</v>
      </c>
      <c r="G1172" s="220" t="s">
        <v>26</v>
      </c>
      <c r="H1172" s="221">
        <v>2010</v>
      </c>
      <c r="I1172" s="240"/>
      <c r="J1172" s="227">
        <v>1230152200.8178101</v>
      </c>
      <c r="K1172" s="226" t="s">
        <v>688</v>
      </c>
      <c r="L1172" s="334">
        <f>J1172/[1]GHGsources!$Q$23*0.001</f>
        <v>4.426635595296163E-3</v>
      </c>
      <c r="M1172" s="225" t="str">
        <f>CONCATENATE("t CO2-eq/ ",IF('[1]Advanced Controls'!$F$169="Implementation",AdoptionUnitOfMeasure,FunctionalUnitOfMeasure))</f>
        <v>t CO2-eq/ kg of protein</v>
      </c>
      <c r="N1172" s="227"/>
      <c r="O1172" s="227" t="s">
        <v>465</v>
      </c>
      <c r="P1172" s="122"/>
      <c r="Q1172" s="228"/>
      <c r="R1172" s="231">
        <f t="shared" si="735"/>
        <v>4.426635595296163E-3</v>
      </c>
      <c r="S1172" s="230">
        <f t="shared" si="731"/>
        <v>4.426635595296163E-3</v>
      </c>
      <c r="T1172" s="231" t="str">
        <f t="shared" si="746"/>
        <v/>
      </c>
      <c r="U1172" s="232" t="str">
        <f t="shared" si="732"/>
        <v>t CO2-eq/ kg of protein</v>
      </c>
      <c r="V1172" s="28"/>
      <c r="W1172" s="28"/>
      <c r="Y1172" s="91"/>
      <c r="AO1172" s="91"/>
      <c r="AP1172" s="28"/>
      <c r="AQ1172" s="28"/>
      <c r="AR1172" s="233" t="str">
        <f t="shared" si="733"/>
        <v>t CO2-eq/ kg of protein</v>
      </c>
      <c r="AS1172" s="28"/>
      <c r="AT1172" s="304" t="str">
        <f t="shared" si="745"/>
        <v/>
      </c>
      <c r="AU1172" s="304" t="str">
        <f t="shared" si="745"/>
        <v/>
      </c>
      <c r="AV1172" s="28"/>
      <c r="AW1172" s="304" t="str">
        <f t="shared" si="736"/>
        <v/>
      </c>
      <c r="AX1172" s="304" t="str">
        <f t="shared" si="736"/>
        <v/>
      </c>
      <c r="AY1172" s="28"/>
      <c r="AZ1172" s="304" t="str">
        <f t="shared" si="737"/>
        <v/>
      </c>
      <c r="BA1172" s="304" t="str">
        <f t="shared" si="737"/>
        <v/>
      </c>
      <c r="BB1172" s="28"/>
      <c r="BC1172" s="304" t="str">
        <f t="shared" si="738"/>
        <v/>
      </c>
      <c r="BD1172" s="304" t="str">
        <f t="shared" si="738"/>
        <v/>
      </c>
      <c r="BE1172" s="28"/>
      <c r="BF1172" s="304">
        <f t="shared" si="739"/>
        <v>4.426635595296163E-3</v>
      </c>
      <c r="BG1172" s="304">
        <f t="shared" si="739"/>
        <v>4.426635595296163E-3</v>
      </c>
      <c r="BH1172" s="28"/>
      <c r="BI1172" s="304" t="str">
        <f t="shared" si="740"/>
        <v/>
      </c>
      <c r="BJ1172" s="304" t="str">
        <f t="shared" si="740"/>
        <v/>
      </c>
      <c r="BK1172" s="28"/>
      <c r="BL1172" s="304" t="str">
        <f t="shared" si="741"/>
        <v/>
      </c>
      <c r="BM1172" s="304" t="str">
        <f t="shared" si="741"/>
        <v/>
      </c>
      <c r="BN1172" s="28"/>
      <c r="BO1172" s="304" t="str">
        <f t="shared" si="742"/>
        <v/>
      </c>
      <c r="BP1172" s="304" t="str">
        <f t="shared" si="742"/>
        <v/>
      </c>
      <c r="BQ1172" s="28"/>
      <c r="BR1172" s="304" t="str">
        <f t="shared" si="743"/>
        <v/>
      </c>
      <c r="BS1172" s="304" t="str">
        <f t="shared" si="743"/>
        <v/>
      </c>
      <c r="BT1172" s="28"/>
      <c r="BU1172" s="304" t="str">
        <f t="shared" si="744"/>
        <v/>
      </c>
      <c r="BV1172" s="304" t="str">
        <f t="shared" si="744"/>
        <v/>
      </c>
      <c r="BW1172" s="28"/>
      <c r="BX1172" s="91"/>
    </row>
    <row r="1173" spans="1:76" s="55" customFormat="1" ht="12.95" customHeight="1" x14ac:dyDescent="0.25">
      <c r="A1173" s="359">
        <v>110</v>
      </c>
      <c r="B1173" s="216" t="str">
        <f t="shared" si="730"/>
        <v>OECD90: FAO. 2017. Global Livestock Environmental Assessment Model (GLEAM)</v>
      </c>
      <c r="C1173" s="219" t="s">
        <v>227</v>
      </c>
      <c r="D1173" s="219" t="s">
        <v>475</v>
      </c>
      <c r="E1173" s="219" t="s">
        <v>96</v>
      </c>
      <c r="F1173" s="373" t="s">
        <v>176</v>
      </c>
      <c r="G1173" s="220" t="s">
        <v>26</v>
      </c>
      <c r="H1173" s="221">
        <v>2010</v>
      </c>
      <c r="I1173" s="240"/>
      <c r="J1173" s="227">
        <v>16015945776.046799</v>
      </c>
      <c r="K1173" s="226" t="s">
        <v>688</v>
      </c>
      <c r="L1173" s="334">
        <f>J1173/[1]GHGsources!$Q$24*0.001</f>
        <v>1.1358381124091836E-2</v>
      </c>
      <c r="M1173" s="225" t="str">
        <f>CONCATENATE("t CO2-eq/ ",IF('[1]Advanced Controls'!$F$169="Implementation",AdoptionUnitOfMeasure,FunctionalUnitOfMeasure))</f>
        <v>t CO2-eq/ kg of protein</v>
      </c>
      <c r="N1173" s="227"/>
      <c r="O1173" s="227" t="s">
        <v>465</v>
      </c>
      <c r="P1173" s="122"/>
      <c r="Q1173" s="228"/>
      <c r="R1173" s="231">
        <f t="shared" si="735"/>
        <v>1.1358381124091836E-2</v>
      </c>
      <c r="S1173" s="230">
        <f t="shared" si="731"/>
        <v>1.1358381124091836E-2</v>
      </c>
      <c r="T1173" s="231" t="str">
        <f t="shared" si="746"/>
        <v/>
      </c>
      <c r="U1173" s="232" t="str">
        <f t="shared" si="732"/>
        <v>t CO2-eq/ kg of protein</v>
      </c>
      <c r="V1173" s="28"/>
      <c r="W1173" s="28"/>
      <c r="Y1173" s="91"/>
      <c r="AO1173" s="91"/>
      <c r="AP1173" s="28"/>
      <c r="AQ1173" s="28"/>
      <c r="AR1173" s="233" t="str">
        <f t="shared" si="733"/>
        <v>t CO2-eq/ kg of protein</v>
      </c>
      <c r="AS1173" s="28"/>
      <c r="AT1173" s="304" t="str">
        <f t="shared" si="745"/>
        <v/>
      </c>
      <c r="AU1173" s="304" t="str">
        <f t="shared" si="745"/>
        <v/>
      </c>
      <c r="AV1173" s="28"/>
      <c r="AW1173" s="304">
        <f t="shared" si="736"/>
        <v>1.1358381124091836E-2</v>
      </c>
      <c r="AX1173" s="304">
        <f t="shared" si="736"/>
        <v>1.1358381124091836E-2</v>
      </c>
      <c r="AY1173" s="28"/>
      <c r="AZ1173" s="304" t="str">
        <f t="shared" si="737"/>
        <v/>
      </c>
      <c r="BA1173" s="304" t="str">
        <f t="shared" si="737"/>
        <v/>
      </c>
      <c r="BB1173" s="28"/>
      <c r="BC1173" s="304" t="str">
        <f t="shared" si="738"/>
        <v/>
      </c>
      <c r="BD1173" s="304" t="str">
        <f t="shared" si="738"/>
        <v/>
      </c>
      <c r="BE1173" s="28"/>
      <c r="BF1173" s="304" t="str">
        <f t="shared" si="739"/>
        <v/>
      </c>
      <c r="BG1173" s="304" t="str">
        <f t="shared" si="739"/>
        <v/>
      </c>
      <c r="BH1173" s="28"/>
      <c r="BI1173" s="304" t="str">
        <f t="shared" si="740"/>
        <v/>
      </c>
      <c r="BJ1173" s="304" t="str">
        <f t="shared" si="740"/>
        <v/>
      </c>
      <c r="BK1173" s="28"/>
      <c r="BL1173" s="304" t="str">
        <f t="shared" si="741"/>
        <v/>
      </c>
      <c r="BM1173" s="304" t="str">
        <f t="shared" si="741"/>
        <v/>
      </c>
      <c r="BN1173" s="28"/>
      <c r="BO1173" s="304" t="str">
        <f t="shared" si="742"/>
        <v/>
      </c>
      <c r="BP1173" s="304" t="str">
        <f t="shared" si="742"/>
        <v/>
      </c>
      <c r="BQ1173" s="28"/>
      <c r="BR1173" s="304" t="str">
        <f t="shared" si="743"/>
        <v/>
      </c>
      <c r="BS1173" s="304" t="str">
        <f t="shared" si="743"/>
        <v/>
      </c>
      <c r="BT1173" s="28"/>
      <c r="BU1173" s="304" t="str">
        <f t="shared" si="744"/>
        <v/>
      </c>
      <c r="BV1173" s="304" t="str">
        <f t="shared" si="744"/>
        <v/>
      </c>
      <c r="BW1173" s="28"/>
      <c r="BX1173" s="91"/>
    </row>
    <row r="1174" spans="1:76" s="55" customFormat="1" ht="12.95" customHeight="1" x14ac:dyDescent="0.25">
      <c r="A1174" s="359">
        <v>111</v>
      </c>
      <c r="B1174" s="216" t="str">
        <f t="shared" si="730"/>
        <v>World: FAO. 2017. Global Livestock Environmental Assessment Model (GLEAM)</v>
      </c>
      <c r="C1174" s="219" t="s">
        <v>227</v>
      </c>
      <c r="D1174" s="375" t="s">
        <v>476</v>
      </c>
      <c r="E1174" s="219" t="s">
        <v>95</v>
      </c>
      <c r="F1174" s="371" t="s">
        <v>371</v>
      </c>
      <c r="G1174" s="220" t="s">
        <v>26</v>
      </c>
      <c r="H1174" s="221">
        <v>2010</v>
      </c>
      <c r="I1174" s="240"/>
      <c r="J1174" s="227">
        <v>182830006403.02045</v>
      </c>
      <c r="K1174" s="226" t="s">
        <v>688</v>
      </c>
      <c r="L1174" s="334">
        <f>J1174/[1]GHGsources!$R$14*0.001</f>
        <v>1.5312099826966963E-2</v>
      </c>
      <c r="M1174" s="225" t="str">
        <f>CONCATENATE("t CO2-eq/ ",IF('[1]Advanced Controls'!$F$169="Implementation",AdoptionUnitOfMeasure,FunctionalUnitOfMeasure))</f>
        <v>t CO2-eq/ kg of protein</v>
      </c>
      <c r="N1174" s="227"/>
      <c r="O1174" s="227" t="s">
        <v>477</v>
      </c>
      <c r="P1174" s="122"/>
      <c r="Q1174" s="228"/>
      <c r="R1174" s="231">
        <f t="shared" si="735"/>
        <v>1.5312099826966963E-2</v>
      </c>
      <c r="S1174" s="230">
        <f t="shared" si="731"/>
        <v>1.5312099826966963E-2</v>
      </c>
      <c r="T1174" s="231">
        <f t="shared" si="746"/>
        <v>0</v>
      </c>
      <c r="U1174" s="232" t="str">
        <f t="shared" si="732"/>
        <v>t CO2-eq/ kg of protein</v>
      </c>
      <c r="V1174" s="28"/>
      <c r="W1174" s="28"/>
      <c r="Y1174" s="91"/>
      <c r="AO1174" s="91"/>
      <c r="AP1174" s="28"/>
      <c r="AQ1174" s="28"/>
      <c r="AR1174" s="233" t="str">
        <f t="shared" si="733"/>
        <v>t CO2-eq/ kg of protein</v>
      </c>
      <c r="AS1174" s="28"/>
      <c r="AT1174" s="304">
        <f t="shared" si="745"/>
        <v>1.5312099826966963E-2</v>
      </c>
      <c r="AU1174" s="304">
        <f t="shared" si="745"/>
        <v>1.5312099826966963E-2</v>
      </c>
      <c r="AV1174" s="28"/>
      <c r="AW1174" s="304" t="str">
        <f t="shared" si="736"/>
        <v/>
      </c>
      <c r="AX1174" s="304" t="str">
        <f t="shared" si="736"/>
        <v/>
      </c>
      <c r="AY1174" s="28"/>
      <c r="AZ1174" s="304" t="str">
        <f t="shared" si="737"/>
        <v/>
      </c>
      <c r="BA1174" s="304" t="str">
        <f t="shared" si="737"/>
        <v/>
      </c>
      <c r="BB1174" s="28"/>
      <c r="BC1174" s="304" t="str">
        <f t="shared" si="738"/>
        <v/>
      </c>
      <c r="BD1174" s="304" t="str">
        <f t="shared" si="738"/>
        <v/>
      </c>
      <c r="BE1174" s="28"/>
      <c r="BF1174" s="304" t="str">
        <f t="shared" si="739"/>
        <v/>
      </c>
      <c r="BG1174" s="304" t="str">
        <f t="shared" si="739"/>
        <v/>
      </c>
      <c r="BH1174" s="28"/>
      <c r="BI1174" s="304" t="str">
        <f t="shared" si="740"/>
        <v/>
      </c>
      <c r="BJ1174" s="304" t="str">
        <f t="shared" si="740"/>
        <v/>
      </c>
      <c r="BK1174" s="28"/>
      <c r="BL1174" s="304" t="str">
        <f t="shared" si="741"/>
        <v/>
      </c>
      <c r="BM1174" s="304" t="str">
        <f t="shared" si="741"/>
        <v/>
      </c>
      <c r="BN1174" s="28"/>
      <c r="BO1174" s="304" t="str">
        <f t="shared" si="742"/>
        <v/>
      </c>
      <c r="BP1174" s="304" t="str">
        <f t="shared" si="742"/>
        <v/>
      </c>
      <c r="BQ1174" s="28"/>
      <c r="BR1174" s="304" t="str">
        <f t="shared" si="743"/>
        <v/>
      </c>
      <c r="BS1174" s="304" t="str">
        <f t="shared" si="743"/>
        <v/>
      </c>
      <c r="BT1174" s="28"/>
      <c r="BU1174" s="304" t="str">
        <f t="shared" si="744"/>
        <v/>
      </c>
      <c r="BV1174" s="304" t="str">
        <f t="shared" si="744"/>
        <v/>
      </c>
      <c r="BW1174" s="28"/>
      <c r="BX1174" s="91"/>
    </row>
    <row r="1175" spans="1:76" s="55" customFormat="1" ht="12.95" customHeight="1" x14ac:dyDescent="0.25">
      <c r="A1175" s="359">
        <v>112</v>
      </c>
      <c r="B1175" s="216" t="str">
        <f t="shared" si="730"/>
        <v>Asia (Sans Japan): FAO. 2017. Global Livestock Environmental Assessment Model (GLEAM)</v>
      </c>
      <c r="C1175" s="219" t="s">
        <v>227</v>
      </c>
      <c r="D1175" s="219" t="s">
        <v>478</v>
      </c>
      <c r="E1175" s="219" t="s">
        <v>98</v>
      </c>
      <c r="F1175" s="373" t="s">
        <v>375</v>
      </c>
      <c r="G1175" s="220" t="s">
        <v>26</v>
      </c>
      <c r="H1175" s="221">
        <v>2010</v>
      </c>
      <c r="I1175" s="240"/>
      <c r="J1175" s="227">
        <v>19574887079.872772</v>
      </c>
      <c r="K1175" s="226" t="s">
        <v>688</v>
      </c>
      <c r="L1175" s="334">
        <f>J1175/[1]GHGsources!$R$15*0.001</f>
        <v>2.0222763110700061E-2</v>
      </c>
      <c r="M1175" s="225" t="str">
        <f>CONCATENATE("t CO2-eq/ ",IF('[1]Advanced Controls'!$F$169="Implementation",AdoptionUnitOfMeasure,FunctionalUnitOfMeasure))</f>
        <v>t CO2-eq/ kg of protein</v>
      </c>
      <c r="N1175" s="227"/>
      <c r="O1175" s="227" t="s">
        <v>477</v>
      </c>
      <c r="P1175" s="122"/>
      <c r="Q1175" s="228"/>
      <c r="R1175" s="231">
        <f t="shared" si="735"/>
        <v>2.0222763110700061E-2</v>
      </c>
      <c r="S1175" s="230">
        <f t="shared" si="731"/>
        <v>2.0222763110700061E-2</v>
      </c>
      <c r="T1175" s="231">
        <f t="shared" si="746"/>
        <v>0</v>
      </c>
      <c r="U1175" s="232" t="str">
        <f t="shared" si="732"/>
        <v>t CO2-eq/ kg of protein</v>
      </c>
      <c r="V1175" s="28"/>
      <c r="W1175" s="28"/>
      <c r="Y1175" s="91"/>
      <c r="AO1175" s="91"/>
      <c r="AP1175" s="28"/>
      <c r="AQ1175" s="28"/>
      <c r="AR1175" s="233" t="str">
        <f t="shared" si="733"/>
        <v>t CO2-eq/ kg of protein</v>
      </c>
      <c r="AS1175" s="28"/>
      <c r="AT1175" s="304" t="str">
        <f t="shared" si="745"/>
        <v/>
      </c>
      <c r="AU1175" s="304" t="str">
        <f t="shared" si="745"/>
        <v/>
      </c>
      <c r="AV1175" s="28"/>
      <c r="AW1175" s="304" t="str">
        <f t="shared" si="736"/>
        <v/>
      </c>
      <c r="AX1175" s="304" t="str">
        <f t="shared" si="736"/>
        <v/>
      </c>
      <c r="AY1175" s="28"/>
      <c r="AZ1175" s="304" t="str">
        <f t="shared" si="737"/>
        <v/>
      </c>
      <c r="BA1175" s="304" t="str">
        <f t="shared" si="737"/>
        <v/>
      </c>
      <c r="BB1175" s="28"/>
      <c r="BC1175" s="304">
        <f t="shared" si="738"/>
        <v>2.0222763110700061E-2</v>
      </c>
      <c r="BD1175" s="304">
        <f t="shared" si="738"/>
        <v>2.0222763110700061E-2</v>
      </c>
      <c r="BE1175" s="28"/>
      <c r="BF1175" s="304" t="str">
        <f t="shared" si="739"/>
        <v/>
      </c>
      <c r="BG1175" s="304" t="str">
        <f t="shared" si="739"/>
        <v/>
      </c>
      <c r="BH1175" s="28"/>
      <c r="BI1175" s="304" t="str">
        <f t="shared" si="740"/>
        <v/>
      </c>
      <c r="BJ1175" s="304" t="str">
        <f t="shared" si="740"/>
        <v/>
      </c>
      <c r="BK1175" s="28"/>
      <c r="BL1175" s="304" t="str">
        <f t="shared" si="741"/>
        <v/>
      </c>
      <c r="BM1175" s="304" t="str">
        <f t="shared" si="741"/>
        <v/>
      </c>
      <c r="BN1175" s="28"/>
      <c r="BO1175" s="304" t="str">
        <f t="shared" si="742"/>
        <v/>
      </c>
      <c r="BP1175" s="304" t="str">
        <f t="shared" si="742"/>
        <v/>
      </c>
      <c r="BQ1175" s="28"/>
      <c r="BR1175" s="304" t="str">
        <f t="shared" si="743"/>
        <v/>
      </c>
      <c r="BS1175" s="304" t="str">
        <f t="shared" si="743"/>
        <v/>
      </c>
      <c r="BT1175" s="28"/>
      <c r="BU1175" s="304" t="str">
        <f t="shared" si="744"/>
        <v/>
      </c>
      <c r="BV1175" s="304" t="str">
        <f t="shared" si="744"/>
        <v/>
      </c>
      <c r="BW1175" s="28"/>
      <c r="BX1175" s="91"/>
    </row>
    <row r="1176" spans="1:76" s="55" customFormat="1" ht="12.95" customHeight="1" x14ac:dyDescent="0.25">
      <c r="A1176" s="359">
        <v>113</v>
      </c>
      <c r="B1176" s="216" t="str">
        <f t="shared" si="730"/>
        <v>Eastern Europe: FAO. 2017. Global Livestock Environmental Assessment Model (GLEAM)</v>
      </c>
      <c r="C1176" s="219" t="s">
        <v>227</v>
      </c>
      <c r="D1176" s="219" t="s">
        <v>479</v>
      </c>
      <c r="E1176" s="219" t="s">
        <v>97</v>
      </c>
      <c r="F1176" s="373" t="s">
        <v>97</v>
      </c>
      <c r="G1176" s="220" t="s">
        <v>26</v>
      </c>
      <c r="H1176" s="221">
        <v>2010</v>
      </c>
      <c r="I1176" s="240"/>
      <c r="J1176" s="227">
        <v>8410133699.5761499</v>
      </c>
      <c r="K1176" s="226" t="s">
        <v>688</v>
      </c>
      <c r="L1176" s="338">
        <f>J1176/[1]GHGsources!$R$16*0.001</f>
        <v>1.0024748985266698E-2</v>
      </c>
      <c r="M1176" s="225" t="str">
        <f>CONCATENATE("t CO2-eq/ ",IF('[1]Advanced Controls'!$F$169="Implementation",AdoptionUnitOfMeasure,FunctionalUnitOfMeasure))</f>
        <v>t CO2-eq/ kg of protein</v>
      </c>
      <c r="N1176" s="227"/>
      <c r="O1176" s="227" t="s">
        <v>477</v>
      </c>
      <c r="P1176" s="122"/>
      <c r="Q1176" s="228"/>
      <c r="R1176" s="231">
        <f t="shared" si="735"/>
        <v>1.0024748985266698E-2</v>
      </c>
      <c r="S1176" s="230">
        <f t="shared" si="731"/>
        <v>1.0024748985266698E-2</v>
      </c>
      <c r="T1176" s="231">
        <f t="shared" si="746"/>
        <v>0</v>
      </c>
      <c r="U1176" s="232" t="str">
        <f t="shared" si="732"/>
        <v>t CO2-eq/ kg of protein</v>
      </c>
      <c r="V1176" s="28"/>
      <c r="W1176" s="28"/>
      <c r="Y1176" s="91"/>
      <c r="AO1176" s="91"/>
      <c r="AP1176" s="28"/>
      <c r="AQ1176" s="28"/>
      <c r="AR1176" s="233" t="str">
        <f t="shared" si="733"/>
        <v>t CO2-eq/ kg of protein</v>
      </c>
      <c r="AS1176" s="28"/>
      <c r="AT1176" s="304" t="str">
        <f t="shared" si="745"/>
        <v/>
      </c>
      <c r="AU1176" s="304" t="str">
        <f t="shared" si="745"/>
        <v/>
      </c>
      <c r="AV1176" s="28"/>
      <c r="AW1176" s="304" t="str">
        <f t="shared" si="736"/>
        <v/>
      </c>
      <c r="AX1176" s="304" t="str">
        <f t="shared" si="736"/>
        <v/>
      </c>
      <c r="AY1176" s="28"/>
      <c r="AZ1176" s="304">
        <f t="shared" si="737"/>
        <v>1.0024748985266698E-2</v>
      </c>
      <c r="BA1176" s="304">
        <f t="shared" si="737"/>
        <v>1.0024748985266698E-2</v>
      </c>
      <c r="BB1176" s="28"/>
      <c r="BC1176" s="304" t="str">
        <f t="shared" si="738"/>
        <v/>
      </c>
      <c r="BD1176" s="304" t="str">
        <f t="shared" si="738"/>
        <v/>
      </c>
      <c r="BE1176" s="28"/>
      <c r="BF1176" s="304" t="str">
        <f t="shared" si="739"/>
        <v/>
      </c>
      <c r="BG1176" s="304" t="str">
        <f t="shared" si="739"/>
        <v/>
      </c>
      <c r="BH1176" s="28"/>
      <c r="BI1176" s="304" t="str">
        <f t="shared" si="740"/>
        <v/>
      </c>
      <c r="BJ1176" s="304" t="str">
        <f t="shared" si="740"/>
        <v/>
      </c>
      <c r="BK1176" s="28"/>
      <c r="BL1176" s="304" t="str">
        <f t="shared" si="741"/>
        <v/>
      </c>
      <c r="BM1176" s="304" t="str">
        <f t="shared" si="741"/>
        <v/>
      </c>
      <c r="BN1176" s="28"/>
      <c r="BO1176" s="304" t="str">
        <f t="shared" si="742"/>
        <v/>
      </c>
      <c r="BP1176" s="304" t="str">
        <f t="shared" si="742"/>
        <v/>
      </c>
      <c r="BQ1176" s="28"/>
      <c r="BR1176" s="304" t="str">
        <f t="shared" si="743"/>
        <v/>
      </c>
      <c r="BS1176" s="304" t="str">
        <f t="shared" si="743"/>
        <v/>
      </c>
      <c r="BT1176" s="28"/>
      <c r="BU1176" s="304" t="str">
        <f t="shared" si="744"/>
        <v/>
      </c>
      <c r="BV1176" s="304" t="str">
        <f t="shared" si="744"/>
        <v/>
      </c>
      <c r="BW1176" s="28"/>
      <c r="BX1176" s="91"/>
    </row>
    <row r="1177" spans="1:76" s="55" customFormat="1" ht="12.95" customHeight="1" x14ac:dyDescent="0.25">
      <c r="A1177" s="359">
        <v>114</v>
      </c>
      <c r="B1177" s="216" t="str">
        <f t="shared" si="730"/>
        <v>Latin America: FAO. 2017. Global Livestock Environmental Assessment Model (GLEAM)</v>
      </c>
      <c r="C1177" s="219" t="s">
        <v>227</v>
      </c>
      <c r="D1177" s="219" t="s">
        <v>480</v>
      </c>
      <c r="E1177" s="219" t="s">
        <v>100</v>
      </c>
      <c r="F1177" s="373" t="s">
        <v>378</v>
      </c>
      <c r="G1177" s="220" t="s">
        <v>26</v>
      </c>
      <c r="H1177" s="221">
        <v>2010</v>
      </c>
      <c r="I1177" s="240"/>
      <c r="J1177" s="227">
        <v>22028239435.948139</v>
      </c>
      <c r="K1177" s="226" t="s">
        <v>688</v>
      </c>
      <c r="L1177" s="334">
        <f>J1177/[1]GHGsources!$R$17*0.001</f>
        <v>1.4435413280215772E-2</v>
      </c>
      <c r="M1177" s="225" t="str">
        <f>CONCATENATE("t CO2-eq/ ",IF('[1]Advanced Controls'!$F$169="Implementation",AdoptionUnitOfMeasure,FunctionalUnitOfMeasure))</f>
        <v>t CO2-eq/ kg of protein</v>
      </c>
      <c r="N1177" s="227"/>
      <c r="O1177" s="227" t="s">
        <v>477</v>
      </c>
      <c r="P1177" s="122"/>
      <c r="Q1177" s="228"/>
      <c r="R1177" s="231">
        <f t="shared" si="735"/>
        <v>1.4435413280215772E-2</v>
      </c>
      <c r="S1177" s="230">
        <f t="shared" si="731"/>
        <v>1.4435413280215772E-2</v>
      </c>
      <c r="T1177" s="231">
        <f t="shared" si="746"/>
        <v>0</v>
      </c>
      <c r="U1177" s="232" t="str">
        <f t="shared" si="732"/>
        <v>t CO2-eq/ kg of protein</v>
      </c>
      <c r="V1177" s="28"/>
      <c r="W1177" s="28"/>
      <c r="Y1177" s="91"/>
      <c r="AO1177" s="91"/>
      <c r="AP1177" s="28"/>
      <c r="AQ1177" s="28"/>
      <c r="AR1177" s="233" t="str">
        <f t="shared" si="733"/>
        <v>t CO2-eq/ kg of protein</v>
      </c>
      <c r="AS1177" s="28"/>
      <c r="AT1177" s="304" t="str">
        <f t="shared" si="745"/>
        <v/>
      </c>
      <c r="AU1177" s="304" t="str">
        <f t="shared" si="745"/>
        <v/>
      </c>
      <c r="AV1177" s="28"/>
      <c r="AW1177" s="304" t="str">
        <f t="shared" si="736"/>
        <v/>
      </c>
      <c r="AX1177" s="304" t="str">
        <f t="shared" si="736"/>
        <v/>
      </c>
      <c r="AY1177" s="28"/>
      <c r="AZ1177" s="304" t="str">
        <f t="shared" si="737"/>
        <v/>
      </c>
      <c r="BA1177" s="304" t="str">
        <f t="shared" si="737"/>
        <v/>
      </c>
      <c r="BB1177" s="28"/>
      <c r="BC1177" s="304" t="str">
        <f t="shared" si="738"/>
        <v/>
      </c>
      <c r="BD1177" s="304" t="str">
        <f t="shared" si="738"/>
        <v/>
      </c>
      <c r="BE1177" s="28"/>
      <c r="BF1177" s="304" t="str">
        <f t="shared" si="739"/>
        <v/>
      </c>
      <c r="BG1177" s="304" t="str">
        <f t="shared" si="739"/>
        <v/>
      </c>
      <c r="BH1177" s="28"/>
      <c r="BI1177" s="304">
        <f t="shared" si="740"/>
        <v>1.4435413280215772E-2</v>
      </c>
      <c r="BJ1177" s="304">
        <f t="shared" si="740"/>
        <v>1.4435413280215772E-2</v>
      </c>
      <c r="BK1177" s="28"/>
      <c r="BL1177" s="304" t="str">
        <f t="shared" si="741"/>
        <v/>
      </c>
      <c r="BM1177" s="304" t="str">
        <f t="shared" si="741"/>
        <v/>
      </c>
      <c r="BN1177" s="28"/>
      <c r="BO1177" s="304" t="str">
        <f t="shared" si="742"/>
        <v/>
      </c>
      <c r="BP1177" s="304" t="str">
        <f t="shared" si="742"/>
        <v/>
      </c>
      <c r="BQ1177" s="28"/>
      <c r="BR1177" s="304" t="str">
        <f t="shared" si="743"/>
        <v/>
      </c>
      <c r="BS1177" s="304" t="str">
        <f t="shared" si="743"/>
        <v/>
      </c>
      <c r="BT1177" s="28"/>
      <c r="BU1177" s="304" t="str">
        <f t="shared" si="744"/>
        <v/>
      </c>
      <c r="BV1177" s="304" t="str">
        <f t="shared" si="744"/>
        <v/>
      </c>
      <c r="BW1177" s="28"/>
      <c r="BX1177" s="91"/>
    </row>
    <row r="1178" spans="1:76" s="55" customFormat="1" ht="12.95" customHeight="1" x14ac:dyDescent="0.25">
      <c r="A1178" s="359">
        <v>115</v>
      </c>
      <c r="B1178" s="216" t="str">
        <f t="shared" si="730"/>
        <v>Middle East and Africa: FAO. 2017. Global Livestock Environmental Assessment Model (GLEAM)</v>
      </c>
      <c r="C1178" s="219" t="s">
        <v>227</v>
      </c>
      <c r="D1178" s="219" t="s">
        <v>481</v>
      </c>
      <c r="E1178" s="219" t="s">
        <v>99</v>
      </c>
      <c r="F1178" s="373" t="s">
        <v>380</v>
      </c>
      <c r="G1178" s="220" t="s">
        <v>26</v>
      </c>
      <c r="H1178" s="221">
        <v>2010</v>
      </c>
      <c r="I1178" s="240"/>
      <c r="J1178" s="227">
        <v>9718858682.5999985</v>
      </c>
      <c r="K1178" s="226" t="s">
        <v>688</v>
      </c>
      <c r="L1178" s="338">
        <f>J1178/[1]GHGsources!$R$18*0.001</f>
        <v>1.119085521613301E-2</v>
      </c>
      <c r="M1178" s="225" t="str">
        <f>CONCATENATE("t CO2-eq/ ",IF('[1]Advanced Controls'!$F$169="Implementation",AdoptionUnitOfMeasure,FunctionalUnitOfMeasure))</f>
        <v>t CO2-eq/ kg of protein</v>
      </c>
      <c r="N1178" s="227"/>
      <c r="O1178" s="227" t="s">
        <v>477</v>
      </c>
      <c r="P1178" s="122"/>
      <c r="Q1178" s="228"/>
      <c r="R1178" s="231">
        <f t="shared" si="735"/>
        <v>1.119085521613301E-2</v>
      </c>
      <c r="S1178" s="230">
        <f t="shared" si="731"/>
        <v>1.119085521613301E-2</v>
      </c>
      <c r="T1178" s="231">
        <f t="shared" si="746"/>
        <v>0</v>
      </c>
      <c r="U1178" s="232" t="str">
        <f t="shared" si="732"/>
        <v>t CO2-eq/ kg of protein</v>
      </c>
      <c r="V1178" s="28"/>
      <c r="W1178" s="28"/>
      <c r="Y1178" s="91"/>
      <c r="AO1178" s="91"/>
      <c r="AP1178" s="28"/>
      <c r="AQ1178" s="28"/>
      <c r="AR1178" s="233" t="str">
        <f t="shared" si="733"/>
        <v>t CO2-eq/ kg of protein</v>
      </c>
      <c r="AS1178" s="28"/>
      <c r="AT1178" s="304" t="str">
        <f t="shared" si="745"/>
        <v/>
      </c>
      <c r="AU1178" s="304" t="str">
        <f t="shared" si="745"/>
        <v/>
      </c>
      <c r="AV1178" s="28"/>
      <c r="AW1178" s="304" t="str">
        <f t="shared" si="736"/>
        <v/>
      </c>
      <c r="AX1178" s="304" t="str">
        <f t="shared" si="736"/>
        <v/>
      </c>
      <c r="AY1178" s="28"/>
      <c r="AZ1178" s="304" t="str">
        <f t="shared" si="737"/>
        <v/>
      </c>
      <c r="BA1178" s="304" t="str">
        <f t="shared" si="737"/>
        <v/>
      </c>
      <c r="BB1178" s="28"/>
      <c r="BC1178" s="304" t="str">
        <f t="shared" si="738"/>
        <v/>
      </c>
      <c r="BD1178" s="304" t="str">
        <f t="shared" si="738"/>
        <v/>
      </c>
      <c r="BE1178" s="28"/>
      <c r="BF1178" s="304">
        <f t="shared" si="739"/>
        <v>1.119085521613301E-2</v>
      </c>
      <c r="BG1178" s="304">
        <f t="shared" si="739"/>
        <v>1.119085521613301E-2</v>
      </c>
      <c r="BH1178" s="28"/>
      <c r="BI1178" s="304" t="str">
        <f t="shared" si="740"/>
        <v/>
      </c>
      <c r="BJ1178" s="304" t="str">
        <f t="shared" si="740"/>
        <v/>
      </c>
      <c r="BK1178" s="28"/>
      <c r="BL1178" s="304" t="str">
        <f t="shared" si="741"/>
        <v/>
      </c>
      <c r="BM1178" s="304" t="str">
        <f t="shared" si="741"/>
        <v/>
      </c>
      <c r="BN1178" s="28"/>
      <c r="BO1178" s="304" t="str">
        <f t="shared" si="742"/>
        <v/>
      </c>
      <c r="BP1178" s="304" t="str">
        <f t="shared" si="742"/>
        <v/>
      </c>
      <c r="BQ1178" s="28"/>
      <c r="BR1178" s="304" t="str">
        <f t="shared" si="743"/>
        <v/>
      </c>
      <c r="BS1178" s="304" t="str">
        <f t="shared" si="743"/>
        <v/>
      </c>
      <c r="BT1178" s="28"/>
      <c r="BU1178" s="304" t="str">
        <f t="shared" si="744"/>
        <v/>
      </c>
      <c r="BV1178" s="304" t="str">
        <f t="shared" si="744"/>
        <v/>
      </c>
      <c r="BW1178" s="28"/>
      <c r="BX1178" s="91"/>
    </row>
    <row r="1179" spans="1:76" s="55" customFormat="1" ht="12.95" customHeight="1" x14ac:dyDescent="0.25">
      <c r="A1179" s="359">
        <v>116</v>
      </c>
      <c r="B1179" s="216" t="str">
        <f t="shared" si="730"/>
        <v>OECD90: FAO. 2017. Global Livestock Environmental Assessment Model (GLEAM)</v>
      </c>
      <c r="C1179" s="219" t="s">
        <v>227</v>
      </c>
      <c r="D1179" s="219" t="s">
        <v>482</v>
      </c>
      <c r="E1179" s="219" t="s">
        <v>96</v>
      </c>
      <c r="F1179" s="373" t="s">
        <v>179</v>
      </c>
      <c r="G1179" s="220" t="s">
        <v>26</v>
      </c>
      <c r="H1179" s="221">
        <v>2010</v>
      </c>
      <c r="I1179" s="240"/>
      <c r="J1179" s="227">
        <v>22050674703.974289</v>
      </c>
      <c r="K1179" s="226" t="s">
        <v>688</v>
      </c>
      <c r="L1179" s="334">
        <f>J1179/[1]GHGsources!$R$19*0.001</f>
        <v>1.4444551656623263E-2</v>
      </c>
      <c r="M1179" s="225" t="str">
        <f>CONCATENATE("t CO2-eq/ ",IF('[1]Advanced Controls'!$F$169="Implementation",AdoptionUnitOfMeasure,FunctionalUnitOfMeasure))</f>
        <v>t CO2-eq/ kg of protein</v>
      </c>
      <c r="N1179" s="227"/>
      <c r="O1179" s="227" t="s">
        <v>477</v>
      </c>
      <c r="P1179" s="122"/>
      <c r="Q1179" s="228"/>
      <c r="R1179" s="231">
        <f t="shared" si="735"/>
        <v>1.4444551656623263E-2</v>
      </c>
      <c r="S1179" s="230">
        <f t="shared" si="731"/>
        <v>1.4444551656623263E-2</v>
      </c>
      <c r="T1179" s="231">
        <f t="shared" si="746"/>
        <v>0</v>
      </c>
      <c r="U1179" s="232" t="str">
        <f t="shared" si="732"/>
        <v>t CO2-eq/ kg of protein</v>
      </c>
      <c r="V1179" s="28"/>
      <c r="W1179" s="28"/>
      <c r="Y1179" s="91"/>
      <c r="AO1179" s="91"/>
      <c r="AP1179" s="28"/>
      <c r="AQ1179" s="28"/>
      <c r="AR1179" s="233" t="str">
        <f t="shared" si="733"/>
        <v>t CO2-eq/ kg of protein</v>
      </c>
      <c r="AS1179" s="28"/>
      <c r="AT1179" s="304" t="str">
        <f t="shared" si="745"/>
        <v/>
      </c>
      <c r="AU1179" s="304" t="str">
        <f t="shared" si="745"/>
        <v/>
      </c>
      <c r="AV1179" s="28"/>
      <c r="AW1179" s="304">
        <f t="shared" si="736"/>
        <v>1.4444551656623263E-2</v>
      </c>
      <c r="AX1179" s="304">
        <f t="shared" si="736"/>
        <v>1.4444551656623263E-2</v>
      </c>
      <c r="AY1179" s="28"/>
      <c r="AZ1179" s="304" t="str">
        <f t="shared" si="737"/>
        <v/>
      </c>
      <c r="BA1179" s="304" t="str">
        <f t="shared" si="737"/>
        <v/>
      </c>
      <c r="BB1179" s="28"/>
      <c r="BC1179" s="304" t="str">
        <f t="shared" si="738"/>
        <v/>
      </c>
      <c r="BD1179" s="304" t="str">
        <f t="shared" si="738"/>
        <v/>
      </c>
      <c r="BE1179" s="28"/>
      <c r="BF1179" s="304" t="str">
        <f t="shared" si="739"/>
        <v/>
      </c>
      <c r="BG1179" s="304" t="str">
        <f t="shared" si="739"/>
        <v/>
      </c>
      <c r="BH1179" s="28"/>
      <c r="BI1179" s="304" t="str">
        <f t="shared" si="740"/>
        <v/>
      </c>
      <c r="BJ1179" s="304" t="str">
        <f t="shared" si="740"/>
        <v/>
      </c>
      <c r="BK1179" s="28"/>
      <c r="BL1179" s="304" t="str">
        <f t="shared" si="741"/>
        <v/>
      </c>
      <c r="BM1179" s="304" t="str">
        <f t="shared" si="741"/>
        <v/>
      </c>
      <c r="BN1179" s="28"/>
      <c r="BO1179" s="304" t="str">
        <f t="shared" si="742"/>
        <v/>
      </c>
      <c r="BP1179" s="304" t="str">
        <f t="shared" si="742"/>
        <v/>
      </c>
      <c r="BQ1179" s="28"/>
      <c r="BR1179" s="304" t="str">
        <f t="shared" si="743"/>
        <v/>
      </c>
      <c r="BS1179" s="304" t="str">
        <f t="shared" si="743"/>
        <v/>
      </c>
      <c r="BT1179" s="28"/>
      <c r="BU1179" s="304" t="str">
        <f t="shared" si="744"/>
        <v/>
      </c>
      <c r="BV1179" s="304" t="str">
        <f t="shared" si="744"/>
        <v/>
      </c>
      <c r="BW1179" s="28"/>
      <c r="BX1179" s="91"/>
    </row>
    <row r="1180" spans="1:76" s="55" customFormat="1" ht="12.95" customHeight="1" x14ac:dyDescent="0.25">
      <c r="A1180" s="359">
        <v>117</v>
      </c>
      <c r="B1180" s="216" t="str">
        <f t="shared" si="730"/>
        <v>OECD90: FAO. 2017. Global Livestock Environmental Assessment Model (GLEAM)</v>
      </c>
      <c r="C1180" s="219" t="s">
        <v>227</v>
      </c>
      <c r="D1180" s="219" t="s">
        <v>483</v>
      </c>
      <c r="E1180" s="219" t="s">
        <v>96</v>
      </c>
      <c r="F1180" s="373" t="s">
        <v>185</v>
      </c>
      <c r="G1180" s="220" t="s">
        <v>26</v>
      </c>
      <c r="H1180" s="221">
        <v>2010</v>
      </c>
      <c r="I1180" s="240"/>
      <c r="J1180" s="227">
        <v>5254410586.9220505</v>
      </c>
      <c r="K1180" s="226" t="s">
        <v>688</v>
      </c>
      <c r="L1180" s="337">
        <f>J1180/[1]GHGsources!$R$20*0.001</f>
        <v>1.4964877170034472E-2</v>
      </c>
      <c r="M1180" s="225" t="str">
        <f>CONCATENATE("t CO2-eq/ ",IF('[1]Advanced Controls'!$F$169="Implementation",AdoptionUnitOfMeasure,FunctionalUnitOfMeasure))</f>
        <v>t CO2-eq/ kg of protein</v>
      </c>
      <c r="N1180" s="227"/>
      <c r="O1180" s="227" t="s">
        <v>477</v>
      </c>
      <c r="P1180" s="122"/>
      <c r="Q1180" s="228"/>
      <c r="R1180" s="231">
        <f t="shared" si="735"/>
        <v>1.4964877170034472E-2</v>
      </c>
      <c r="S1180" s="230">
        <f t="shared" si="731"/>
        <v>1.4964877170034472E-2</v>
      </c>
      <c r="T1180" s="231" t="str">
        <f t="shared" si="746"/>
        <v/>
      </c>
      <c r="U1180" s="232" t="str">
        <f t="shared" si="732"/>
        <v>t CO2-eq/ kg of protein</v>
      </c>
      <c r="V1180" s="28"/>
      <c r="W1180" s="28"/>
      <c r="Y1180" s="91"/>
      <c r="AO1180" s="91"/>
      <c r="AP1180" s="28"/>
      <c r="AQ1180" s="28"/>
      <c r="AR1180" s="233" t="str">
        <f t="shared" si="733"/>
        <v>t CO2-eq/ kg of protein</v>
      </c>
      <c r="AS1180" s="28"/>
      <c r="AT1180" s="304" t="str">
        <f t="shared" si="745"/>
        <v/>
      </c>
      <c r="AU1180" s="304" t="str">
        <f t="shared" si="745"/>
        <v/>
      </c>
      <c r="AV1180" s="28"/>
      <c r="AW1180" s="304">
        <f t="shared" si="736"/>
        <v>1.4964877170034472E-2</v>
      </c>
      <c r="AX1180" s="304">
        <f t="shared" si="736"/>
        <v>1.4964877170034472E-2</v>
      </c>
      <c r="AY1180" s="28"/>
      <c r="AZ1180" s="304" t="str">
        <f t="shared" si="737"/>
        <v/>
      </c>
      <c r="BA1180" s="304" t="str">
        <f t="shared" si="737"/>
        <v/>
      </c>
      <c r="BB1180" s="28"/>
      <c r="BC1180" s="304" t="str">
        <f t="shared" si="738"/>
        <v/>
      </c>
      <c r="BD1180" s="304" t="str">
        <f t="shared" si="738"/>
        <v/>
      </c>
      <c r="BE1180" s="28"/>
      <c r="BF1180" s="304" t="str">
        <f t="shared" si="739"/>
        <v/>
      </c>
      <c r="BG1180" s="304" t="str">
        <f t="shared" si="739"/>
        <v/>
      </c>
      <c r="BH1180" s="28"/>
      <c r="BI1180" s="304" t="str">
        <f t="shared" si="740"/>
        <v/>
      </c>
      <c r="BJ1180" s="304" t="str">
        <f t="shared" si="740"/>
        <v/>
      </c>
      <c r="BK1180" s="28"/>
      <c r="BL1180" s="304" t="str">
        <f t="shared" si="741"/>
        <v/>
      </c>
      <c r="BM1180" s="304" t="str">
        <f t="shared" si="741"/>
        <v/>
      </c>
      <c r="BN1180" s="28"/>
      <c r="BO1180" s="304" t="str">
        <f t="shared" si="742"/>
        <v/>
      </c>
      <c r="BP1180" s="304" t="str">
        <f t="shared" si="742"/>
        <v/>
      </c>
      <c r="BQ1180" s="28"/>
      <c r="BR1180" s="304" t="str">
        <f t="shared" si="743"/>
        <v/>
      </c>
      <c r="BS1180" s="304" t="str">
        <f t="shared" si="743"/>
        <v/>
      </c>
      <c r="BT1180" s="28"/>
      <c r="BU1180" s="304" t="str">
        <f t="shared" si="744"/>
        <v/>
      </c>
      <c r="BV1180" s="304" t="str">
        <f t="shared" si="744"/>
        <v/>
      </c>
      <c r="BW1180" s="28"/>
      <c r="BX1180" s="91"/>
    </row>
    <row r="1181" spans="1:76" s="55" customFormat="1" ht="12.95" customHeight="1" x14ac:dyDescent="0.25">
      <c r="A1181" s="359">
        <v>118</v>
      </c>
      <c r="B1181" s="216" t="str">
        <f t="shared" si="730"/>
        <v>Eastern Europe: FAO. 2017. Global Livestock Environmental Assessment Model (GLEAM)</v>
      </c>
      <c r="C1181" s="219" t="s">
        <v>227</v>
      </c>
      <c r="D1181" s="219" t="s">
        <v>484</v>
      </c>
      <c r="E1181" s="219" t="s">
        <v>97</v>
      </c>
      <c r="F1181" s="373" t="s">
        <v>384</v>
      </c>
      <c r="G1181" s="220" t="s">
        <v>26</v>
      </c>
      <c r="H1181" s="221">
        <v>2010</v>
      </c>
      <c r="I1181" s="240"/>
      <c r="J1181" s="227">
        <v>4830763238.8626003</v>
      </c>
      <c r="K1181" s="226" t="s">
        <v>688</v>
      </c>
      <c r="L1181" s="338">
        <f>J1181/[1]GHGsources!$R$21*0.001</f>
        <v>1.0073052365253373E-2</v>
      </c>
      <c r="M1181" s="225" t="str">
        <f>CONCATENATE("t CO2-eq/ ",IF('[1]Advanced Controls'!$F$169="Implementation",AdoptionUnitOfMeasure,FunctionalUnitOfMeasure))</f>
        <v>t CO2-eq/ kg of protein</v>
      </c>
      <c r="N1181" s="227"/>
      <c r="O1181" s="227" t="s">
        <v>477</v>
      </c>
      <c r="P1181" s="122"/>
      <c r="Q1181" s="228"/>
      <c r="R1181" s="231">
        <f t="shared" si="735"/>
        <v>1.0073052365253373E-2</v>
      </c>
      <c r="S1181" s="230">
        <f t="shared" si="731"/>
        <v>1.0073052365253373E-2</v>
      </c>
      <c r="T1181" s="231">
        <f t="shared" si="746"/>
        <v>0</v>
      </c>
      <c r="U1181" s="232" t="str">
        <f t="shared" si="732"/>
        <v>t CO2-eq/ kg of protein</v>
      </c>
      <c r="V1181" s="28"/>
      <c r="W1181" s="28"/>
      <c r="Y1181" s="91"/>
      <c r="AO1181" s="91"/>
      <c r="AP1181" s="28"/>
      <c r="AQ1181" s="28"/>
      <c r="AR1181" s="233" t="str">
        <f t="shared" si="733"/>
        <v>t CO2-eq/ kg of protein</v>
      </c>
      <c r="AS1181" s="28"/>
      <c r="AT1181" s="304" t="str">
        <f t="shared" si="745"/>
        <v/>
      </c>
      <c r="AU1181" s="304" t="str">
        <f t="shared" si="745"/>
        <v/>
      </c>
      <c r="AV1181" s="28"/>
      <c r="AW1181" s="304" t="str">
        <f t="shared" si="736"/>
        <v/>
      </c>
      <c r="AX1181" s="304" t="str">
        <f t="shared" si="736"/>
        <v/>
      </c>
      <c r="AY1181" s="28"/>
      <c r="AZ1181" s="304">
        <f t="shared" si="737"/>
        <v>1.0073052365253373E-2</v>
      </c>
      <c r="BA1181" s="304">
        <f t="shared" si="737"/>
        <v>1.0073052365253373E-2</v>
      </c>
      <c r="BB1181" s="28"/>
      <c r="BC1181" s="304" t="str">
        <f t="shared" si="738"/>
        <v/>
      </c>
      <c r="BD1181" s="304" t="str">
        <f t="shared" si="738"/>
        <v/>
      </c>
      <c r="BE1181" s="28"/>
      <c r="BF1181" s="304" t="str">
        <f t="shared" si="739"/>
        <v/>
      </c>
      <c r="BG1181" s="304" t="str">
        <f t="shared" si="739"/>
        <v/>
      </c>
      <c r="BH1181" s="28"/>
      <c r="BI1181" s="304" t="str">
        <f t="shared" si="740"/>
        <v/>
      </c>
      <c r="BJ1181" s="304" t="str">
        <f t="shared" si="740"/>
        <v/>
      </c>
      <c r="BK1181" s="28"/>
      <c r="BL1181" s="304" t="str">
        <f t="shared" si="741"/>
        <v/>
      </c>
      <c r="BM1181" s="304" t="str">
        <f t="shared" si="741"/>
        <v/>
      </c>
      <c r="BN1181" s="28"/>
      <c r="BO1181" s="304" t="str">
        <f t="shared" si="742"/>
        <v/>
      </c>
      <c r="BP1181" s="304" t="str">
        <f t="shared" si="742"/>
        <v/>
      </c>
      <c r="BQ1181" s="28"/>
      <c r="BR1181" s="304" t="str">
        <f t="shared" si="743"/>
        <v/>
      </c>
      <c r="BS1181" s="304" t="str">
        <f t="shared" si="743"/>
        <v/>
      </c>
      <c r="BT1181" s="28"/>
      <c r="BU1181" s="304" t="str">
        <f t="shared" si="744"/>
        <v/>
      </c>
      <c r="BV1181" s="304" t="str">
        <f t="shared" si="744"/>
        <v/>
      </c>
      <c r="BW1181" s="28"/>
      <c r="BX1181" s="91"/>
    </row>
    <row r="1182" spans="1:76" s="55" customFormat="1" ht="12.95" customHeight="1" x14ac:dyDescent="0.25">
      <c r="A1182" s="359">
        <v>119</v>
      </c>
      <c r="B1182" s="216" t="str">
        <f t="shared" si="730"/>
        <v>Asia (Sans Japan): FAO. 2017. Global Livestock Environmental Assessment Model (GLEAM)</v>
      </c>
      <c r="C1182" s="219" t="s">
        <v>227</v>
      </c>
      <c r="D1182" s="219" t="s">
        <v>485</v>
      </c>
      <c r="E1182" s="219" t="s">
        <v>98</v>
      </c>
      <c r="F1182" s="373" t="s">
        <v>386</v>
      </c>
      <c r="G1182" s="220" t="s">
        <v>26</v>
      </c>
      <c r="H1182" s="221">
        <v>2010</v>
      </c>
      <c r="I1182" s="240"/>
      <c r="J1182" s="227">
        <v>51610997455.279999</v>
      </c>
      <c r="K1182" s="226" t="s">
        <v>688</v>
      </c>
      <c r="L1182" s="338">
        <f>J1182/[1]GHGsources!$R$22*0.001</f>
        <v>2.4891954008946164E-2</v>
      </c>
      <c r="M1182" s="225" t="str">
        <f>CONCATENATE("t CO2-eq/ ",IF('[1]Advanced Controls'!$F$169="Implementation",AdoptionUnitOfMeasure,FunctionalUnitOfMeasure))</f>
        <v>t CO2-eq/ kg of protein</v>
      </c>
      <c r="N1182" s="227"/>
      <c r="O1182" s="227" t="s">
        <v>477</v>
      </c>
      <c r="P1182" s="122"/>
      <c r="Q1182" s="228"/>
      <c r="R1182" s="231">
        <f t="shared" si="735"/>
        <v>2.4891954008946164E-2</v>
      </c>
      <c r="S1182" s="230">
        <f t="shared" si="731"/>
        <v>2.4891954008946164E-2</v>
      </c>
      <c r="T1182" s="231">
        <f t="shared" si="746"/>
        <v>0</v>
      </c>
      <c r="U1182" s="232" t="str">
        <f t="shared" si="732"/>
        <v>t CO2-eq/ kg of protein</v>
      </c>
      <c r="V1182" s="28"/>
      <c r="W1182" s="28"/>
      <c r="Y1182" s="91"/>
      <c r="AO1182" s="91"/>
      <c r="AP1182" s="28"/>
      <c r="AQ1182" s="28"/>
      <c r="AR1182" s="233" t="str">
        <f t="shared" si="733"/>
        <v>t CO2-eq/ kg of protein</v>
      </c>
      <c r="AS1182" s="28"/>
      <c r="AT1182" s="304" t="str">
        <f t="shared" si="745"/>
        <v/>
      </c>
      <c r="AU1182" s="304" t="str">
        <f t="shared" si="745"/>
        <v/>
      </c>
      <c r="AV1182" s="28"/>
      <c r="AW1182" s="304" t="str">
        <f t="shared" si="736"/>
        <v/>
      </c>
      <c r="AX1182" s="304" t="str">
        <f t="shared" si="736"/>
        <v/>
      </c>
      <c r="AY1182" s="28"/>
      <c r="AZ1182" s="304" t="str">
        <f t="shared" si="737"/>
        <v/>
      </c>
      <c r="BA1182" s="304" t="str">
        <f t="shared" si="737"/>
        <v/>
      </c>
      <c r="BB1182" s="28"/>
      <c r="BC1182" s="304">
        <f t="shared" si="738"/>
        <v>2.4891954008946164E-2</v>
      </c>
      <c r="BD1182" s="304">
        <f t="shared" si="738"/>
        <v>2.4891954008946164E-2</v>
      </c>
      <c r="BE1182" s="28"/>
      <c r="BF1182" s="304" t="str">
        <f t="shared" si="739"/>
        <v/>
      </c>
      <c r="BG1182" s="304" t="str">
        <f t="shared" si="739"/>
        <v/>
      </c>
      <c r="BH1182" s="28"/>
      <c r="BI1182" s="304" t="str">
        <f t="shared" si="740"/>
        <v/>
      </c>
      <c r="BJ1182" s="304" t="str">
        <f t="shared" si="740"/>
        <v/>
      </c>
      <c r="BK1182" s="28"/>
      <c r="BL1182" s="304" t="str">
        <f t="shared" si="741"/>
        <v/>
      </c>
      <c r="BM1182" s="304" t="str">
        <f t="shared" si="741"/>
        <v/>
      </c>
      <c r="BN1182" s="28"/>
      <c r="BO1182" s="304" t="str">
        <f t="shared" si="742"/>
        <v/>
      </c>
      <c r="BP1182" s="304" t="str">
        <f t="shared" si="742"/>
        <v/>
      </c>
      <c r="BQ1182" s="28"/>
      <c r="BR1182" s="304" t="str">
        <f t="shared" si="743"/>
        <v/>
      </c>
      <c r="BS1182" s="304" t="str">
        <f t="shared" si="743"/>
        <v/>
      </c>
      <c r="BT1182" s="28"/>
      <c r="BU1182" s="304" t="str">
        <f t="shared" si="744"/>
        <v/>
      </c>
      <c r="BV1182" s="304" t="str">
        <f t="shared" si="744"/>
        <v/>
      </c>
      <c r="BW1182" s="28"/>
      <c r="BX1182" s="91"/>
    </row>
    <row r="1183" spans="1:76" s="55" customFormat="1" ht="12.95" customHeight="1" x14ac:dyDescent="0.25">
      <c r="A1183" s="359">
        <v>120</v>
      </c>
      <c r="B1183" s="216" t="str">
        <f t="shared" si="730"/>
        <v>Middle East and Africa: FAO. 2017. Global Livestock Environmental Assessment Model (GLEAM)</v>
      </c>
      <c r="C1183" s="219" t="s">
        <v>227</v>
      </c>
      <c r="D1183" s="219" t="s">
        <v>486</v>
      </c>
      <c r="E1183" s="219" t="s">
        <v>99</v>
      </c>
      <c r="F1183" s="373" t="s">
        <v>388</v>
      </c>
      <c r="G1183" s="220" t="s">
        <v>26</v>
      </c>
      <c r="H1183" s="221">
        <v>2010</v>
      </c>
      <c r="I1183" s="240"/>
      <c r="J1183" s="227">
        <v>2485221157.4244599</v>
      </c>
      <c r="K1183" s="226" t="s">
        <v>688</v>
      </c>
      <c r="L1183" s="334">
        <f>J1183/[1]GHGsources!$R$23*0.001</f>
        <v>7.1504730144927864E-3</v>
      </c>
      <c r="M1183" s="225" t="str">
        <f>CONCATENATE("t CO2-eq/ ",IF('[1]Advanced Controls'!$F$169="Implementation",AdoptionUnitOfMeasure,FunctionalUnitOfMeasure))</f>
        <v>t CO2-eq/ kg of protein</v>
      </c>
      <c r="N1183" s="227"/>
      <c r="O1183" s="227" t="s">
        <v>477</v>
      </c>
      <c r="P1183" s="122"/>
      <c r="Q1183" s="228"/>
      <c r="R1183" s="231">
        <f t="shared" si="735"/>
        <v>7.1504730144927864E-3</v>
      </c>
      <c r="S1183" s="230">
        <f t="shared" si="731"/>
        <v>7.1504730144927864E-3</v>
      </c>
      <c r="T1183" s="231">
        <f t="shared" si="746"/>
        <v>0</v>
      </c>
      <c r="U1183" s="232" t="str">
        <f t="shared" si="732"/>
        <v>t CO2-eq/ kg of protein</v>
      </c>
      <c r="V1183" s="28"/>
      <c r="W1183" s="28"/>
      <c r="Y1183" s="91"/>
      <c r="AO1183" s="91"/>
      <c r="AP1183" s="28"/>
      <c r="AQ1183" s="28"/>
      <c r="AR1183" s="233" t="str">
        <f t="shared" si="733"/>
        <v>t CO2-eq/ kg of protein</v>
      </c>
      <c r="AS1183" s="28"/>
      <c r="AT1183" s="304" t="str">
        <f t="shared" si="745"/>
        <v/>
      </c>
      <c r="AU1183" s="304" t="str">
        <f t="shared" si="745"/>
        <v/>
      </c>
      <c r="AV1183" s="28"/>
      <c r="AW1183" s="304" t="str">
        <f t="shared" si="736"/>
        <v/>
      </c>
      <c r="AX1183" s="304" t="str">
        <f t="shared" si="736"/>
        <v/>
      </c>
      <c r="AY1183" s="28"/>
      <c r="AZ1183" s="304" t="str">
        <f t="shared" si="737"/>
        <v/>
      </c>
      <c r="BA1183" s="304" t="str">
        <f t="shared" si="737"/>
        <v/>
      </c>
      <c r="BB1183" s="28"/>
      <c r="BC1183" s="304" t="str">
        <f t="shared" si="738"/>
        <v/>
      </c>
      <c r="BD1183" s="304" t="str">
        <f t="shared" si="738"/>
        <v/>
      </c>
      <c r="BE1183" s="28"/>
      <c r="BF1183" s="304">
        <f t="shared" si="739"/>
        <v>7.1504730144927864E-3</v>
      </c>
      <c r="BG1183" s="304">
        <f t="shared" si="739"/>
        <v>7.1504730144927864E-3</v>
      </c>
      <c r="BH1183" s="28"/>
      <c r="BI1183" s="304" t="str">
        <f t="shared" si="740"/>
        <v/>
      </c>
      <c r="BJ1183" s="304" t="str">
        <f t="shared" si="740"/>
        <v/>
      </c>
      <c r="BK1183" s="28"/>
      <c r="BL1183" s="304" t="str">
        <f t="shared" si="741"/>
        <v/>
      </c>
      <c r="BM1183" s="304" t="str">
        <f t="shared" si="741"/>
        <v/>
      </c>
      <c r="BN1183" s="28"/>
      <c r="BO1183" s="304" t="str">
        <f t="shared" si="742"/>
        <v/>
      </c>
      <c r="BP1183" s="304" t="str">
        <f t="shared" si="742"/>
        <v/>
      </c>
      <c r="BQ1183" s="28"/>
      <c r="BR1183" s="304" t="str">
        <f t="shared" si="743"/>
        <v/>
      </c>
      <c r="BS1183" s="304" t="str">
        <f t="shared" si="743"/>
        <v/>
      </c>
      <c r="BT1183" s="28"/>
      <c r="BU1183" s="304" t="str">
        <f t="shared" si="744"/>
        <v/>
      </c>
      <c r="BV1183" s="304" t="str">
        <f t="shared" si="744"/>
        <v/>
      </c>
      <c r="BW1183" s="28"/>
      <c r="BX1183" s="91"/>
    </row>
    <row r="1184" spans="1:76" s="55" customFormat="1" ht="12.95" customHeight="1" x14ac:dyDescent="0.25">
      <c r="A1184" s="359">
        <v>121</v>
      </c>
      <c r="B1184" s="216" t="str">
        <f t="shared" si="730"/>
        <v>OECD90: FAO. 2017. Global Livestock Environmental Assessment Model (GLEAM)</v>
      </c>
      <c r="C1184" s="219" t="s">
        <v>227</v>
      </c>
      <c r="D1184" s="219" t="s">
        <v>487</v>
      </c>
      <c r="E1184" s="219" t="s">
        <v>96</v>
      </c>
      <c r="F1184" s="373" t="s">
        <v>176</v>
      </c>
      <c r="G1184" s="220" t="s">
        <v>26</v>
      </c>
      <c r="H1184" s="221">
        <v>2010</v>
      </c>
      <c r="I1184" s="240"/>
      <c r="J1184" s="227">
        <v>36865820362.559998</v>
      </c>
      <c r="K1184" s="226" t="s">
        <v>688</v>
      </c>
      <c r="L1184" s="334">
        <f>J1184/[1]GHGsources!$R$24*0.001</f>
        <v>1.2451908730883679E-2</v>
      </c>
      <c r="M1184" s="225" t="str">
        <f>CONCATENATE("t CO2-eq/ ",IF('[1]Advanced Controls'!$F$169="Implementation",AdoptionUnitOfMeasure,FunctionalUnitOfMeasure))</f>
        <v>t CO2-eq/ kg of protein</v>
      </c>
      <c r="N1184" s="227"/>
      <c r="O1184" s="227" t="s">
        <v>477</v>
      </c>
      <c r="P1184" s="122"/>
      <c r="Q1184" s="228"/>
      <c r="R1184" s="231">
        <f t="shared" si="735"/>
        <v>1.2451908730883679E-2</v>
      </c>
      <c r="S1184" s="230">
        <f t="shared" si="731"/>
        <v>1.2451908730883679E-2</v>
      </c>
      <c r="T1184" s="231">
        <f t="shared" si="746"/>
        <v>0</v>
      </c>
      <c r="U1184" s="232" t="str">
        <f t="shared" si="732"/>
        <v>t CO2-eq/ kg of protein</v>
      </c>
      <c r="V1184" s="28"/>
      <c r="W1184" s="28"/>
      <c r="Y1184" s="91"/>
      <c r="AO1184" s="91"/>
      <c r="AP1184" s="28"/>
      <c r="AQ1184" s="28"/>
      <c r="AR1184" s="233" t="str">
        <f t="shared" si="733"/>
        <v>t CO2-eq/ kg of protein</v>
      </c>
      <c r="AS1184" s="28"/>
      <c r="AT1184" s="304" t="str">
        <f t="shared" si="745"/>
        <v/>
      </c>
      <c r="AU1184" s="304" t="str">
        <f t="shared" si="745"/>
        <v/>
      </c>
      <c r="AV1184" s="28"/>
      <c r="AW1184" s="304">
        <f t="shared" si="736"/>
        <v>1.2451908730883679E-2</v>
      </c>
      <c r="AX1184" s="304">
        <f t="shared" si="736"/>
        <v>1.2451908730883679E-2</v>
      </c>
      <c r="AY1184" s="28"/>
      <c r="AZ1184" s="304" t="str">
        <f t="shared" si="737"/>
        <v/>
      </c>
      <c r="BA1184" s="304" t="str">
        <f t="shared" si="737"/>
        <v/>
      </c>
      <c r="BB1184" s="28"/>
      <c r="BC1184" s="304" t="str">
        <f t="shared" si="738"/>
        <v/>
      </c>
      <c r="BD1184" s="304" t="str">
        <f t="shared" si="738"/>
        <v/>
      </c>
      <c r="BE1184" s="28"/>
      <c r="BF1184" s="304" t="str">
        <f t="shared" si="739"/>
        <v/>
      </c>
      <c r="BG1184" s="304" t="str">
        <f t="shared" si="739"/>
        <v/>
      </c>
      <c r="BH1184" s="28"/>
      <c r="BI1184" s="304" t="str">
        <f t="shared" si="740"/>
        <v/>
      </c>
      <c r="BJ1184" s="304" t="str">
        <f t="shared" si="740"/>
        <v/>
      </c>
      <c r="BK1184" s="28"/>
      <c r="BL1184" s="304" t="str">
        <f t="shared" si="741"/>
        <v/>
      </c>
      <c r="BM1184" s="304" t="str">
        <f t="shared" si="741"/>
        <v/>
      </c>
      <c r="BN1184" s="28"/>
      <c r="BO1184" s="304" t="str">
        <f t="shared" si="742"/>
        <v/>
      </c>
      <c r="BP1184" s="304" t="str">
        <f t="shared" si="742"/>
        <v/>
      </c>
      <c r="BQ1184" s="28"/>
      <c r="BR1184" s="304" t="str">
        <f t="shared" si="743"/>
        <v/>
      </c>
      <c r="BS1184" s="304" t="str">
        <f t="shared" si="743"/>
        <v/>
      </c>
      <c r="BT1184" s="28"/>
      <c r="BU1184" s="304" t="str">
        <f t="shared" si="744"/>
        <v/>
      </c>
      <c r="BV1184" s="304" t="str">
        <f t="shared" si="744"/>
        <v/>
      </c>
      <c r="BW1184" s="28"/>
      <c r="BX1184" s="91"/>
    </row>
    <row r="1185" spans="1:76" s="55" customFormat="1" ht="12.95" customHeight="1" x14ac:dyDescent="0.25">
      <c r="A1185" s="359">
        <v>122</v>
      </c>
      <c r="B1185" s="216" t="str">
        <f t="shared" si="730"/>
        <v xml:space="preserve">: </v>
      </c>
      <c r="C1185" s="219"/>
      <c r="D1185" s="219"/>
      <c r="E1185" s="219"/>
      <c r="F1185" s="219"/>
      <c r="G1185" s="220"/>
      <c r="H1185" s="221"/>
      <c r="I1185" s="220"/>
      <c r="J1185" s="227"/>
      <c r="K1185" s="226"/>
      <c r="L1185" s="241"/>
      <c r="M1185" s="225" t="str">
        <f>CONCATENATE("t CO2-eq/ ",IF('[1]Advanced Controls'!$F$169="Implementation",AdoptionUnitOfMeasure,FunctionalUnitOfMeasure))</f>
        <v>t CO2-eq/ kg of protein</v>
      </c>
      <c r="N1185" s="227"/>
      <c r="O1185" s="241"/>
      <c r="P1185" s="122"/>
      <c r="Q1185" s="228"/>
      <c r="R1185" s="231" t="str">
        <f t="shared" si="735"/>
        <v/>
      </c>
      <c r="S1185" s="230" t="str">
        <f t="shared" si="731"/>
        <v/>
      </c>
      <c r="T1185" s="231" t="str">
        <f t="shared" si="746"/>
        <v/>
      </c>
      <c r="U1185" s="232" t="str">
        <f t="shared" si="732"/>
        <v>t CO2-eq/ kg of protein</v>
      </c>
      <c r="V1185" s="28"/>
      <c r="W1185" s="28"/>
      <c r="Y1185" s="91"/>
      <c r="AO1185" s="91"/>
      <c r="AP1185" s="28"/>
      <c r="AQ1185" s="28"/>
      <c r="AR1185" s="233" t="str">
        <f t="shared" si="733"/>
        <v>t CO2-eq/ kg of protein</v>
      </c>
      <c r="AS1185" s="28"/>
      <c r="AT1185" s="304" t="str">
        <f t="shared" si="745"/>
        <v/>
      </c>
      <c r="AU1185" s="304" t="str">
        <f t="shared" si="745"/>
        <v/>
      </c>
      <c r="AV1185" s="28"/>
      <c r="AW1185" s="304" t="str">
        <f t="shared" si="736"/>
        <v/>
      </c>
      <c r="AX1185" s="304" t="str">
        <f t="shared" si="736"/>
        <v/>
      </c>
      <c r="AY1185" s="28"/>
      <c r="AZ1185" s="304" t="str">
        <f t="shared" si="737"/>
        <v/>
      </c>
      <c r="BA1185" s="304" t="str">
        <f t="shared" si="737"/>
        <v/>
      </c>
      <c r="BB1185" s="28"/>
      <c r="BC1185" s="304" t="str">
        <f t="shared" si="738"/>
        <v/>
      </c>
      <c r="BD1185" s="304" t="str">
        <f t="shared" si="738"/>
        <v/>
      </c>
      <c r="BE1185" s="28"/>
      <c r="BF1185" s="304" t="str">
        <f t="shared" si="739"/>
        <v/>
      </c>
      <c r="BG1185" s="304" t="str">
        <f t="shared" si="739"/>
        <v/>
      </c>
      <c r="BH1185" s="28"/>
      <c r="BI1185" s="304" t="str">
        <f t="shared" si="740"/>
        <v/>
      </c>
      <c r="BJ1185" s="304" t="str">
        <f t="shared" si="740"/>
        <v/>
      </c>
      <c r="BK1185" s="28"/>
      <c r="BL1185" s="304" t="str">
        <f t="shared" si="741"/>
        <v/>
      </c>
      <c r="BM1185" s="304" t="str">
        <f t="shared" si="741"/>
        <v/>
      </c>
      <c r="BN1185" s="28"/>
      <c r="BO1185" s="304" t="str">
        <f t="shared" si="742"/>
        <v/>
      </c>
      <c r="BP1185" s="304" t="str">
        <f t="shared" si="742"/>
        <v/>
      </c>
      <c r="BQ1185" s="28"/>
      <c r="BR1185" s="304" t="str">
        <f t="shared" si="743"/>
        <v/>
      </c>
      <c r="BS1185" s="304" t="str">
        <f t="shared" si="743"/>
        <v/>
      </c>
      <c r="BT1185" s="28"/>
      <c r="BU1185" s="304" t="str">
        <f t="shared" si="744"/>
        <v/>
      </c>
      <c r="BV1185" s="304" t="str">
        <f t="shared" si="744"/>
        <v/>
      </c>
      <c r="BW1185" s="28"/>
      <c r="BX1185" s="91"/>
    </row>
    <row r="1186" spans="1:76" s="55" customFormat="1" ht="12.95" customHeight="1" x14ac:dyDescent="0.25">
      <c r="A1186" s="359">
        <v>123</v>
      </c>
      <c r="B1186" s="216" t="str">
        <f t="shared" si="730"/>
        <v xml:space="preserve">: </v>
      </c>
      <c r="C1186" s="219"/>
      <c r="D1186" s="219"/>
      <c r="E1186" s="219"/>
      <c r="F1186" s="219"/>
      <c r="G1186" s="220"/>
      <c r="H1186" s="221"/>
      <c r="I1186" s="220"/>
      <c r="J1186" s="227"/>
      <c r="K1186" s="226"/>
      <c r="L1186" s="241"/>
      <c r="M1186" s="225" t="str">
        <f>CONCATENATE("t CO2-eq/ ",IF('[1]Advanced Controls'!$F$169="Implementation",AdoptionUnitOfMeasure,FunctionalUnitOfMeasure))</f>
        <v>t CO2-eq/ kg of protein</v>
      </c>
      <c r="N1186" s="227"/>
      <c r="O1186" s="241"/>
      <c r="P1186" s="122"/>
      <c r="Q1186" s="228"/>
      <c r="R1186" s="231" t="str">
        <f t="shared" si="735"/>
        <v/>
      </c>
      <c r="S1186" s="230" t="str">
        <f t="shared" si="731"/>
        <v/>
      </c>
      <c r="T1186" s="231" t="str">
        <f t="shared" si="746"/>
        <v/>
      </c>
      <c r="U1186" s="232" t="str">
        <f t="shared" si="732"/>
        <v>t CO2-eq/ kg of protein</v>
      </c>
      <c r="V1186" s="28"/>
      <c r="W1186" s="28"/>
      <c r="Y1186" s="91"/>
      <c r="AO1186" s="91"/>
      <c r="AP1186" s="28"/>
      <c r="AQ1186" s="28"/>
      <c r="AR1186" s="233" t="str">
        <f t="shared" si="733"/>
        <v>t CO2-eq/ kg of protein</v>
      </c>
      <c r="AS1186" s="28"/>
      <c r="AT1186" s="304" t="str">
        <f t="shared" si="745"/>
        <v/>
      </c>
      <c r="AU1186" s="304" t="str">
        <f t="shared" si="745"/>
        <v/>
      </c>
      <c r="AV1186" s="28"/>
      <c r="AW1186" s="304" t="str">
        <f t="shared" si="736"/>
        <v/>
      </c>
      <c r="AX1186" s="304" t="str">
        <f t="shared" si="736"/>
        <v/>
      </c>
      <c r="AY1186" s="28"/>
      <c r="AZ1186" s="304" t="str">
        <f t="shared" si="737"/>
        <v/>
      </c>
      <c r="BA1186" s="304" t="str">
        <f t="shared" si="737"/>
        <v/>
      </c>
      <c r="BB1186" s="28"/>
      <c r="BC1186" s="304" t="str">
        <f t="shared" si="738"/>
        <v/>
      </c>
      <c r="BD1186" s="304" t="str">
        <f t="shared" si="738"/>
        <v/>
      </c>
      <c r="BE1186" s="28"/>
      <c r="BF1186" s="304" t="str">
        <f t="shared" si="739"/>
        <v/>
      </c>
      <c r="BG1186" s="304" t="str">
        <f t="shared" si="739"/>
        <v/>
      </c>
      <c r="BH1186" s="28"/>
      <c r="BI1186" s="304" t="str">
        <f t="shared" si="740"/>
        <v/>
      </c>
      <c r="BJ1186" s="304" t="str">
        <f t="shared" si="740"/>
        <v/>
      </c>
      <c r="BK1186" s="28"/>
      <c r="BL1186" s="304" t="str">
        <f t="shared" si="741"/>
        <v/>
      </c>
      <c r="BM1186" s="304" t="str">
        <f t="shared" si="741"/>
        <v/>
      </c>
      <c r="BN1186" s="28"/>
      <c r="BO1186" s="304" t="str">
        <f t="shared" si="742"/>
        <v/>
      </c>
      <c r="BP1186" s="304" t="str">
        <f t="shared" si="742"/>
        <v/>
      </c>
      <c r="BQ1186" s="28"/>
      <c r="BR1186" s="304" t="str">
        <f t="shared" si="743"/>
        <v/>
      </c>
      <c r="BS1186" s="304" t="str">
        <f t="shared" si="743"/>
        <v/>
      </c>
      <c r="BT1186" s="28"/>
      <c r="BU1186" s="304" t="str">
        <f t="shared" si="744"/>
        <v/>
      </c>
      <c r="BV1186" s="304" t="str">
        <f t="shared" si="744"/>
        <v/>
      </c>
      <c r="BW1186" s="28"/>
      <c r="BX1186" s="91"/>
    </row>
    <row r="1187" spans="1:76" s="55" customFormat="1" ht="12.95" customHeight="1" x14ac:dyDescent="0.25">
      <c r="A1187" s="359">
        <v>124</v>
      </c>
      <c r="B1187" s="216" t="str">
        <f t="shared" si="730"/>
        <v xml:space="preserve">: </v>
      </c>
      <c r="C1187" s="219"/>
      <c r="D1187" s="219"/>
      <c r="E1187" s="219"/>
      <c r="F1187" s="219"/>
      <c r="G1187" s="220"/>
      <c r="H1187" s="221"/>
      <c r="I1187" s="220"/>
      <c r="J1187" s="227"/>
      <c r="K1187" s="226"/>
      <c r="L1187" s="241"/>
      <c r="M1187" s="225" t="str">
        <f>CONCATENATE("t CO2-eq/ ",IF('[1]Advanced Controls'!$F$169="Implementation",AdoptionUnitOfMeasure,FunctionalUnitOfMeasure))</f>
        <v>t CO2-eq/ kg of protein</v>
      </c>
      <c r="N1187" s="227"/>
      <c r="O1187" s="241"/>
      <c r="P1187" s="122"/>
      <c r="Q1187" s="228"/>
      <c r="R1187" s="231" t="str">
        <f t="shared" si="735"/>
        <v/>
      </c>
      <c r="S1187" s="230" t="str">
        <f t="shared" si="731"/>
        <v/>
      </c>
      <c r="T1187" s="231" t="str">
        <f t="shared" si="746"/>
        <v/>
      </c>
      <c r="U1187" s="232" t="str">
        <f t="shared" si="732"/>
        <v>t CO2-eq/ kg of protein</v>
      </c>
      <c r="V1187" s="28"/>
      <c r="W1187" s="28"/>
      <c r="Y1187" s="91"/>
      <c r="AO1187" s="91"/>
      <c r="AP1187" s="28"/>
      <c r="AQ1187" s="28"/>
      <c r="AR1187" s="233" t="str">
        <f t="shared" si="733"/>
        <v>t CO2-eq/ kg of protein</v>
      </c>
      <c r="AS1187" s="28"/>
      <c r="AT1187" s="304" t="str">
        <f t="shared" si="745"/>
        <v/>
      </c>
      <c r="AU1187" s="304" t="str">
        <f t="shared" si="745"/>
        <v/>
      </c>
      <c r="AV1187" s="28"/>
      <c r="AW1187" s="304" t="str">
        <f t="shared" si="736"/>
        <v/>
      </c>
      <c r="AX1187" s="304" t="str">
        <f t="shared" si="736"/>
        <v/>
      </c>
      <c r="AY1187" s="28"/>
      <c r="AZ1187" s="304" t="str">
        <f t="shared" si="737"/>
        <v/>
      </c>
      <c r="BA1187" s="304" t="str">
        <f t="shared" si="737"/>
        <v/>
      </c>
      <c r="BB1187" s="28"/>
      <c r="BC1187" s="304" t="str">
        <f t="shared" si="738"/>
        <v/>
      </c>
      <c r="BD1187" s="304" t="str">
        <f t="shared" si="738"/>
        <v/>
      </c>
      <c r="BE1187" s="28"/>
      <c r="BF1187" s="304" t="str">
        <f t="shared" si="739"/>
        <v/>
      </c>
      <c r="BG1187" s="304" t="str">
        <f t="shared" si="739"/>
        <v/>
      </c>
      <c r="BH1187" s="28"/>
      <c r="BI1187" s="304" t="str">
        <f t="shared" si="740"/>
        <v/>
      </c>
      <c r="BJ1187" s="304" t="str">
        <f t="shared" si="740"/>
        <v/>
      </c>
      <c r="BK1187" s="28"/>
      <c r="BL1187" s="304" t="str">
        <f t="shared" si="741"/>
        <v/>
      </c>
      <c r="BM1187" s="304" t="str">
        <f t="shared" si="741"/>
        <v/>
      </c>
      <c r="BN1187" s="28"/>
      <c r="BO1187" s="304" t="str">
        <f t="shared" si="742"/>
        <v/>
      </c>
      <c r="BP1187" s="304" t="str">
        <f t="shared" si="742"/>
        <v/>
      </c>
      <c r="BQ1187" s="28"/>
      <c r="BR1187" s="304" t="str">
        <f t="shared" si="743"/>
        <v/>
      </c>
      <c r="BS1187" s="304" t="str">
        <f t="shared" si="743"/>
        <v/>
      </c>
      <c r="BT1187" s="28"/>
      <c r="BU1187" s="304" t="str">
        <f t="shared" si="744"/>
        <v/>
      </c>
      <c r="BV1187" s="304" t="str">
        <f t="shared" si="744"/>
        <v/>
      </c>
      <c r="BW1187" s="28"/>
      <c r="BX1187" s="91"/>
    </row>
    <row r="1188" spans="1:76" s="55" customFormat="1" ht="12.95" customHeight="1" x14ac:dyDescent="0.25">
      <c r="A1188" s="359">
        <v>125</v>
      </c>
      <c r="B1188" s="216" t="str">
        <f t="shared" si="730"/>
        <v xml:space="preserve">: </v>
      </c>
      <c r="C1188" s="219"/>
      <c r="D1188" s="219"/>
      <c r="E1188" s="219"/>
      <c r="F1188" s="219"/>
      <c r="G1188" s="220"/>
      <c r="H1188" s="221"/>
      <c r="I1188" s="220"/>
      <c r="J1188" s="227"/>
      <c r="K1188" s="226"/>
      <c r="L1188" s="241"/>
      <c r="M1188" s="225" t="str">
        <f>CONCATENATE("t CO2-eq/ ",IF('[1]Advanced Controls'!$F$169="Implementation",AdoptionUnitOfMeasure,FunctionalUnitOfMeasure))</f>
        <v>t CO2-eq/ kg of protein</v>
      </c>
      <c r="N1188" s="227"/>
      <c r="O1188" s="241"/>
      <c r="P1188" s="122"/>
      <c r="Q1188" s="228"/>
      <c r="R1188" s="231" t="str">
        <f t="shared" si="735"/>
        <v/>
      </c>
      <c r="S1188" s="230" t="str">
        <f t="shared" si="731"/>
        <v/>
      </c>
      <c r="T1188" s="231" t="str">
        <f t="shared" si="746"/>
        <v/>
      </c>
      <c r="U1188" s="232" t="str">
        <f t="shared" si="732"/>
        <v>t CO2-eq/ kg of protein</v>
      </c>
      <c r="V1188" s="28"/>
      <c r="W1188" s="28"/>
      <c r="Y1188" s="91"/>
      <c r="AO1188" s="91"/>
      <c r="AP1188" s="28"/>
      <c r="AQ1188" s="28"/>
      <c r="AR1188" s="233" t="str">
        <f t="shared" si="733"/>
        <v>t CO2-eq/ kg of protein</v>
      </c>
      <c r="AS1188" s="28"/>
      <c r="AT1188" s="304" t="str">
        <f t="shared" si="745"/>
        <v/>
      </c>
      <c r="AU1188" s="304" t="str">
        <f t="shared" si="745"/>
        <v/>
      </c>
      <c r="AV1188" s="28"/>
      <c r="AW1188" s="304" t="str">
        <f t="shared" si="736"/>
        <v/>
      </c>
      <c r="AX1188" s="304" t="str">
        <f t="shared" si="736"/>
        <v/>
      </c>
      <c r="AY1188" s="28"/>
      <c r="AZ1188" s="304" t="str">
        <f t="shared" si="737"/>
        <v/>
      </c>
      <c r="BA1188" s="304" t="str">
        <f t="shared" si="737"/>
        <v/>
      </c>
      <c r="BB1188" s="28"/>
      <c r="BC1188" s="304" t="str">
        <f t="shared" si="738"/>
        <v/>
      </c>
      <c r="BD1188" s="304" t="str">
        <f t="shared" si="738"/>
        <v/>
      </c>
      <c r="BE1188" s="28"/>
      <c r="BF1188" s="304" t="str">
        <f t="shared" si="739"/>
        <v/>
      </c>
      <c r="BG1188" s="304" t="str">
        <f t="shared" si="739"/>
        <v/>
      </c>
      <c r="BH1188" s="28"/>
      <c r="BI1188" s="304" t="str">
        <f t="shared" si="740"/>
        <v/>
      </c>
      <c r="BJ1188" s="304" t="str">
        <f t="shared" si="740"/>
        <v/>
      </c>
      <c r="BK1188" s="28"/>
      <c r="BL1188" s="304" t="str">
        <f t="shared" si="741"/>
        <v/>
      </c>
      <c r="BM1188" s="304" t="str">
        <f t="shared" si="741"/>
        <v/>
      </c>
      <c r="BN1188" s="28"/>
      <c r="BO1188" s="304" t="str">
        <f t="shared" si="742"/>
        <v/>
      </c>
      <c r="BP1188" s="304" t="str">
        <f t="shared" si="742"/>
        <v/>
      </c>
      <c r="BQ1188" s="28"/>
      <c r="BR1188" s="304" t="str">
        <f t="shared" si="743"/>
        <v/>
      </c>
      <c r="BS1188" s="304" t="str">
        <f t="shared" si="743"/>
        <v/>
      </c>
      <c r="BT1188" s="28"/>
      <c r="BU1188" s="304" t="str">
        <f t="shared" si="744"/>
        <v/>
      </c>
      <c r="BV1188" s="304" t="str">
        <f t="shared" si="744"/>
        <v/>
      </c>
      <c r="BW1188" s="28"/>
      <c r="BX1188" s="91"/>
    </row>
    <row r="1189" spans="1:76" s="55" customFormat="1" ht="12.95" customHeight="1" x14ac:dyDescent="0.25">
      <c r="A1189" s="359">
        <v>126</v>
      </c>
      <c r="B1189" s="216" t="str">
        <f t="shared" si="730"/>
        <v xml:space="preserve">: </v>
      </c>
      <c r="C1189" s="219"/>
      <c r="D1189" s="219"/>
      <c r="E1189" s="219"/>
      <c r="F1189" s="219"/>
      <c r="G1189" s="220"/>
      <c r="H1189" s="221"/>
      <c r="I1189" s="220"/>
      <c r="J1189" s="227"/>
      <c r="K1189" s="226"/>
      <c r="L1189" s="241"/>
      <c r="M1189" s="225" t="str">
        <f>CONCATENATE("t CO2-eq/ ",IF('[1]Advanced Controls'!$F$169="Implementation",AdoptionUnitOfMeasure,FunctionalUnitOfMeasure))</f>
        <v>t CO2-eq/ kg of protein</v>
      </c>
      <c r="N1189" s="227"/>
      <c r="O1189" s="241"/>
      <c r="P1189" s="122"/>
      <c r="Q1189" s="228"/>
      <c r="R1189" s="231" t="str">
        <f t="shared" si="735"/>
        <v/>
      </c>
      <c r="S1189" s="230" t="str">
        <f t="shared" si="731"/>
        <v/>
      </c>
      <c r="T1189" s="231" t="str">
        <f t="shared" si="746"/>
        <v/>
      </c>
      <c r="U1189" s="232" t="str">
        <f t="shared" si="732"/>
        <v>t CO2-eq/ kg of protein</v>
      </c>
      <c r="V1189" s="28"/>
      <c r="W1189" s="28"/>
      <c r="Y1189" s="91"/>
      <c r="AO1189" s="91"/>
      <c r="AP1189" s="28"/>
      <c r="AQ1189" s="28"/>
      <c r="AR1189" s="233" t="str">
        <f t="shared" si="733"/>
        <v>t CO2-eq/ kg of protein</v>
      </c>
      <c r="AS1189" s="28"/>
      <c r="AT1189" s="304" t="str">
        <f t="shared" si="745"/>
        <v/>
      </c>
      <c r="AU1189" s="304" t="str">
        <f t="shared" si="745"/>
        <v/>
      </c>
      <c r="AV1189" s="28"/>
      <c r="AW1189" s="304" t="str">
        <f t="shared" si="736"/>
        <v/>
      </c>
      <c r="AX1189" s="304" t="str">
        <f t="shared" si="736"/>
        <v/>
      </c>
      <c r="AY1189" s="28"/>
      <c r="AZ1189" s="304" t="str">
        <f t="shared" si="737"/>
        <v/>
      </c>
      <c r="BA1189" s="304" t="str">
        <f t="shared" si="737"/>
        <v/>
      </c>
      <c r="BB1189" s="28"/>
      <c r="BC1189" s="304" t="str">
        <f t="shared" si="738"/>
        <v/>
      </c>
      <c r="BD1189" s="304" t="str">
        <f t="shared" si="738"/>
        <v/>
      </c>
      <c r="BE1189" s="28"/>
      <c r="BF1189" s="304" t="str">
        <f t="shared" si="739"/>
        <v/>
      </c>
      <c r="BG1189" s="304" t="str">
        <f t="shared" si="739"/>
        <v/>
      </c>
      <c r="BH1189" s="28"/>
      <c r="BI1189" s="304" t="str">
        <f t="shared" si="740"/>
        <v/>
      </c>
      <c r="BJ1189" s="304" t="str">
        <f t="shared" si="740"/>
        <v/>
      </c>
      <c r="BK1189" s="28"/>
      <c r="BL1189" s="304" t="str">
        <f t="shared" si="741"/>
        <v/>
      </c>
      <c r="BM1189" s="304" t="str">
        <f t="shared" si="741"/>
        <v/>
      </c>
      <c r="BN1189" s="28"/>
      <c r="BO1189" s="304" t="str">
        <f t="shared" si="742"/>
        <v/>
      </c>
      <c r="BP1189" s="304" t="str">
        <f t="shared" si="742"/>
        <v/>
      </c>
      <c r="BQ1189" s="28"/>
      <c r="BR1189" s="304" t="str">
        <f t="shared" si="743"/>
        <v/>
      </c>
      <c r="BS1189" s="304" t="str">
        <f t="shared" si="743"/>
        <v/>
      </c>
      <c r="BT1189" s="28"/>
      <c r="BU1189" s="304" t="str">
        <f t="shared" si="744"/>
        <v/>
      </c>
      <c r="BV1189" s="304" t="str">
        <f t="shared" si="744"/>
        <v/>
      </c>
      <c r="BW1189" s="28"/>
      <c r="BX1189" s="91"/>
    </row>
    <row r="1190" spans="1:76" s="55" customFormat="1" ht="12.95" customHeight="1" x14ac:dyDescent="0.25">
      <c r="A1190" s="359">
        <v>127</v>
      </c>
      <c r="B1190" s="216" t="str">
        <f t="shared" si="730"/>
        <v xml:space="preserve">: </v>
      </c>
      <c r="C1190" s="219"/>
      <c r="D1190" s="219"/>
      <c r="E1190" s="219"/>
      <c r="F1190" s="219"/>
      <c r="G1190" s="220"/>
      <c r="H1190" s="221"/>
      <c r="I1190" s="220"/>
      <c r="J1190" s="227"/>
      <c r="K1190" s="226"/>
      <c r="L1190" s="241"/>
      <c r="M1190" s="225" t="str">
        <f>CONCATENATE("t CO2-eq/ ",IF('[1]Advanced Controls'!$F$169="Implementation",AdoptionUnitOfMeasure,FunctionalUnitOfMeasure))</f>
        <v>t CO2-eq/ kg of protein</v>
      </c>
      <c r="N1190" s="227"/>
      <c r="O1190" s="241"/>
      <c r="P1190" s="122"/>
      <c r="Q1190" s="228"/>
      <c r="R1190" s="231" t="str">
        <f t="shared" si="735"/>
        <v/>
      </c>
      <c r="S1190" s="230" t="str">
        <f t="shared" si="731"/>
        <v/>
      </c>
      <c r="T1190" s="231" t="str">
        <f t="shared" si="746"/>
        <v/>
      </c>
      <c r="U1190" s="232" t="str">
        <f t="shared" si="732"/>
        <v>t CO2-eq/ kg of protein</v>
      </c>
      <c r="V1190" s="28"/>
      <c r="W1190" s="28"/>
      <c r="Y1190" s="91"/>
      <c r="AO1190" s="91"/>
      <c r="AP1190" s="28"/>
      <c r="AQ1190" s="28"/>
      <c r="AR1190" s="233" t="str">
        <f t="shared" si="733"/>
        <v>t CO2-eq/ kg of protein</v>
      </c>
      <c r="AS1190" s="28"/>
      <c r="AT1190" s="304" t="str">
        <f t="shared" si="745"/>
        <v/>
      </c>
      <c r="AU1190" s="304" t="str">
        <f t="shared" si="745"/>
        <v/>
      </c>
      <c r="AV1190" s="28"/>
      <c r="AW1190" s="304" t="str">
        <f t="shared" si="736"/>
        <v/>
      </c>
      <c r="AX1190" s="304" t="str">
        <f t="shared" si="736"/>
        <v/>
      </c>
      <c r="AY1190" s="28"/>
      <c r="AZ1190" s="304" t="str">
        <f t="shared" si="737"/>
        <v/>
      </c>
      <c r="BA1190" s="304" t="str">
        <f t="shared" si="737"/>
        <v/>
      </c>
      <c r="BB1190" s="28"/>
      <c r="BC1190" s="304" t="str">
        <f t="shared" si="738"/>
        <v/>
      </c>
      <c r="BD1190" s="304" t="str">
        <f t="shared" si="738"/>
        <v/>
      </c>
      <c r="BE1190" s="28"/>
      <c r="BF1190" s="304" t="str">
        <f t="shared" si="739"/>
        <v/>
      </c>
      <c r="BG1190" s="304" t="str">
        <f t="shared" si="739"/>
        <v/>
      </c>
      <c r="BH1190" s="28"/>
      <c r="BI1190" s="304" t="str">
        <f t="shared" si="740"/>
        <v/>
      </c>
      <c r="BJ1190" s="304" t="str">
        <f t="shared" si="740"/>
        <v/>
      </c>
      <c r="BK1190" s="28"/>
      <c r="BL1190" s="304" t="str">
        <f t="shared" si="741"/>
        <v/>
      </c>
      <c r="BM1190" s="304" t="str">
        <f t="shared" si="741"/>
        <v/>
      </c>
      <c r="BN1190" s="28"/>
      <c r="BO1190" s="304" t="str">
        <f t="shared" si="742"/>
        <v/>
      </c>
      <c r="BP1190" s="304" t="str">
        <f t="shared" si="742"/>
        <v/>
      </c>
      <c r="BQ1190" s="28"/>
      <c r="BR1190" s="304" t="str">
        <f t="shared" si="743"/>
        <v/>
      </c>
      <c r="BS1190" s="304" t="str">
        <f t="shared" si="743"/>
        <v/>
      </c>
      <c r="BT1190" s="28"/>
      <c r="BU1190" s="304" t="str">
        <f t="shared" si="744"/>
        <v/>
      </c>
      <c r="BV1190" s="304" t="str">
        <f t="shared" si="744"/>
        <v/>
      </c>
      <c r="BW1190" s="28"/>
      <c r="BX1190" s="91"/>
    </row>
    <row r="1191" spans="1:76" s="55" customFormat="1" ht="12.95" customHeight="1" x14ac:dyDescent="0.25">
      <c r="A1191" s="359">
        <v>128</v>
      </c>
      <c r="B1191" s="216" t="str">
        <f t="shared" si="730"/>
        <v xml:space="preserve">: </v>
      </c>
      <c r="C1191" s="219"/>
      <c r="D1191" s="219"/>
      <c r="E1191" s="219"/>
      <c r="F1191" s="219"/>
      <c r="G1191" s="220"/>
      <c r="H1191" s="221"/>
      <c r="I1191" s="220"/>
      <c r="J1191" s="227"/>
      <c r="K1191" s="226"/>
      <c r="L1191" s="241"/>
      <c r="M1191" s="225" t="str">
        <f>CONCATENATE("t CO2-eq/ ",IF('[1]Advanced Controls'!$F$169="Implementation",AdoptionUnitOfMeasure,FunctionalUnitOfMeasure))</f>
        <v>t CO2-eq/ kg of protein</v>
      </c>
      <c r="N1191" s="227"/>
      <c r="O1191" s="241"/>
      <c r="P1191" s="122"/>
      <c r="Q1191" s="228"/>
      <c r="R1191" s="231" t="str">
        <f t="shared" si="735"/>
        <v/>
      </c>
      <c r="S1191" s="230" t="str">
        <f t="shared" si="731"/>
        <v/>
      </c>
      <c r="T1191" s="231" t="str">
        <f t="shared" si="746"/>
        <v/>
      </c>
      <c r="U1191" s="232" t="str">
        <f t="shared" si="732"/>
        <v>t CO2-eq/ kg of protein</v>
      </c>
      <c r="V1191" s="28"/>
      <c r="W1191" s="28"/>
      <c r="Y1191" s="91"/>
      <c r="AO1191" s="91"/>
      <c r="AP1191" s="28"/>
      <c r="AQ1191" s="28"/>
      <c r="AR1191" s="233" t="str">
        <f t="shared" si="733"/>
        <v>t CO2-eq/ kg of protein</v>
      </c>
      <c r="AS1191" s="28"/>
      <c r="AT1191" s="304" t="str">
        <f t="shared" si="745"/>
        <v/>
      </c>
      <c r="AU1191" s="304" t="str">
        <f t="shared" si="745"/>
        <v/>
      </c>
      <c r="AV1191" s="28"/>
      <c r="AW1191" s="304" t="str">
        <f t="shared" si="736"/>
        <v/>
      </c>
      <c r="AX1191" s="304" t="str">
        <f t="shared" si="736"/>
        <v/>
      </c>
      <c r="AY1191" s="28"/>
      <c r="AZ1191" s="304" t="str">
        <f t="shared" si="737"/>
        <v/>
      </c>
      <c r="BA1191" s="304" t="str">
        <f t="shared" si="737"/>
        <v/>
      </c>
      <c r="BB1191" s="28"/>
      <c r="BC1191" s="304" t="str">
        <f t="shared" si="738"/>
        <v/>
      </c>
      <c r="BD1191" s="304" t="str">
        <f t="shared" si="738"/>
        <v/>
      </c>
      <c r="BE1191" s="28"/>
      <c r="BF1191" s="304" t="str">
        <f t="shared" si="739"/>
        <v/>
      </c>
      <c r="BG1191" s="304" t="str">
        <f t="shared" si="739"/>
        <v/>
      </c>
      <c r="BH1191" s="28"/>
      <c r="BI1191" s="304" t="str">
        <f t="shared" si="740"/>
        <v/>
      </c>
      <c r="BJ1191" s="304" t="str">
        <f t="shared" si="740"/>
        <v/>
      </c>
      <c r="BK1191" s="28"/>
      <c r="BL1191" s="304" t="str">
        <f t="shared" si="741"/>
        <v/>
      </c>
      <c r="BM1191" s="304" t="str">
        <f t="shared" si="741"/>
        <v/>
      </c>
      <c r="BN1191" s="28"/>
      <c r="BO1191" s="304" t="str">
        <f t="shared" si="742"/>
        <v/>
      </c>
      <c r="BP1191" s="304" t="str">
        <f t="shared" si="742"/>
        <v/>
      </c>
      <c r="BQ1191" s="28"/>
      <c r="BR1191" s="304" t="str">
        <f t="shared" si="743"/>
        <v/>
      </c>
      <c r="BS1191" s="304" t="str">
        <f t="shared" si="743"/>
        <v/>
      </c>
      <c r="BT1191" s="28"/>
      <c r="BU1191" s="304" t="str">
        <f t="shared" si="744"/>
        <v/>
      </c>
      <c r="BV1191" s="304" t="str">
        <f t="shared" si="744"/>
        <v/>
      </c>
      <c r="BW1191" s="28"/>
      <c r="BX1191" s="91"/>
    </row>
    <row r="1192" spans="1:76" s="55" customFormat="1" ht="12.95" customHeight="1" x14ac:dyDescent="0.25">
      <c r="A1192" s="359">
        <v>129</v>
      </c>
      <c r="B1192" s="216" t="str">
        <f t="shared" ref="B1192:B1255" si="747">CONCATENATE(E1192,": ",C1192)</f>
        <v xml:space="preserve">: </v>
      </c>
      <c r="C1192" s="219"/>
      <c r="D1192" s="219"/>
      <c r="E1192" s="219"/>
      <c r="F1192" s="219"/>
      <c r="G1192" s="220"/>
      <c r="H1192" s="221"/>
      <c r="I1192" s="220"/>
      <c r="J1192" s="227"/>
      <c r="K1192" s="226"/>
      <c r="L1192" s="241"/>
      <c r="M1192" s="225" t="str">
        <f>CONCATENATE("t CO2-eq/ ",IF('[1]Advanced Controls'!$F$169="Implementation",AdoptionUnitOfMeasure,FunctionalUnitOfMeasure))</f>
        <v>t CO2-eq/ kg of protein</v>
      </c>
      <c r="N1192" s="227"/>
      <c r="O1192" s="241"/>
      <c r="P1192" s="122"/>
      <c r="Q1192" s="228"/>
      <c r="R1192" s="231" t="str">
        <f t="shared" si="735"/>
        <v/>
      </c>
      <c r="S1192" s="230" t="str">
        <f t="shared" ref="S1192:S1209" si="748">IF(R1192="","",IF($R$1218="Y",T1192,IF(R1192&gt;=$R$1210-$AA$35*$R$1214,IF(R1192&lt;=$R$1210+$AA$35*$R$1214,R1192,""),"")))</f>
        <v/>
      </c>
      <c r="T1192" s="231" t="str">
        <f t="shared" si="746"/>
        <v/>
      </c>
      <c r="U1192" s="232" t="str">
        <f t="shared" ref="U1192:U1255" si="749">IF(AND(M1192="",K1192=""),"",IF(M1192="",K1192,M1192))</f>
        <v>t CO2-eq/ kg of protein</v>
      </c>
      <c r="V1192" s="28"/>
      <c r="W1192" s="28"/>
      <c r="Y1192" s="91"/>
      <c r="AO1192" s="91"/>
      <c r="AP1192" s="28"/>
      <c r="AQ1192" s="28"/>
      <c r="AR1192" s="233" t="str">
        <f t="shared" si="733"/>
        <v>t CO2-eq/ kg of protein</v>
      </c>
      <c r="AS1192" s="28"/>
      <c r="AT1192" s="304" t="str">
        <f t="shared" si="745"/>
        <v/>
      </c>
      <c r="AU1192" s="304" t="str">
        <f t="shared" si="745"/>
        <v/>
      </c>
      <c r="AV1192" s="28"/>
      <c r="AW1192" s="304" t="str">
        <f t="shared" si="736"/>
        <v/>
      </c>
      <c r="AX1192" s="304" t="str">
        <f t="shared" si="736"/>
        <v/>
      </c>
      <c r="AY1192" s="28"/>
      <c r="AZ1192" s="304" t="str">
        <f t="shared" si="737"/>
        <v/>
      </c>
      <c r="BA1192" s="304" t="str">
        <f t="shared" si="737"/>
        <v/>
      </c>
      <c r="BB1192" s="28"/>
      <c r="BC1192" s="304" t="str">
        <f t="shared" si="738"/>
        <v/>
      </c>
      <c r="BD1192" s="304" t="str">
        <f t="shared" si="738"/>
        <v/>
      </c>
      <c r="BE1192" s="28"/>
      <c r="BF1192" s="304" t="str">
        <f t="shared" si="739"/>
        <v/>
      </c>
      <c r="BG1192" s="304" t="str">
        <f t="shared" si="739"/>
        <v/>
      </c>
      <c r="BH1192" s="28"/>
      <c r="BI1192" s="304" t="str">
        <f t="shared" si="740"/>
        <v/>
      </c>
      <c r="BJ1192" s="304" t="str">
        <f t="shared" si="740"/>
        <v/>
      </c>
      <c r="BK1192" s="28"/>
      <c r="BL1192" s="304" t="str">
        <f t="shared" si="741"/>
        <v/>
      </c>
      <c r="BM1192" s="304" t="str">
        <f t="shared" si="741"/>
        <v/>
      </c>
      <c r="BN1192" s="28"/>
      <c r="BO1192" s="304" t="str">
        <f t="shared" si="742"/>
        <v/>
      </c>
      <c r="BP1192" s="304" t="str">
        <f t="shared" si="742"/>
        <v/>
      </c>
      <c r="BQ1192" s="28"/>
      <c r="BR1192" s="304" t="str">
        <f t="shared" si="743"/>
        <v/>
      </c>
      <c r="BS1192" s="304" t="str">
        <f t="shared" si="743"/>
        <v/>
      </c>
      <c r="BT1192" s="28"/>
      <c r="BU1192" s="304" t="str">
        <f t="shared" si="744"/>
        <v/>
      </c>
      <c r="BV1192" s="304" t="str">
        <f t="shared" si="744"/>
        <v/>
      </c>
      <c r="BW1192" s="28"/>
      <c r="BX1192" s="91"/>
    </row>
    <row r="1193" spans="1:76" s="55" customFormat="1" ht="12.95" customHeight="1" x14ac:dyDescent="0.25">
      <c r="A1193" s="359">
        <v>130</v>
      </c>
      <c r="B1193" s="216" t="str">
        <f t="shared" si="747"/>
        <v xml:space="preserve">: </v>
      </c>
      <c r="C1193" s="219"/>
      <c r="D1193" s="219"/>
      <c r="E1193" s="219"/>
      <c r="F1193" s="219"/>
      <c r="G1193" s="220"/>
      <c r="H1193" s="221"/>
      <c r="I1193" s="220"/>
      <c r="J1193" s="227"/>
      <c r="K1193" s="226"/>
      <c r="L1193" s="241"/>
      <c r="M1193" s="225" t="str">
        <f>CONCATENATE("t CO2-eq/ ",IF('[1]Advanced Controls'!$F$169="Implementation",AdoptionUnitOfMeasure,FunctionalUnitOfMeasure))</f>
        <v>t CO2-eq/ kg of protein</v>
      </c>
      <c r="N1193" s="227"/>
      <c r="O1193" s="241"/>
      <c r="P1193" s="122"/>
      <c r="Q1193" s="228"/>
      <c r="R1193" s="231" t="str">
        <f t="shared" si="735"/>
        <v/>
      </c>
      <c r="S1193" s="230" t="str">
        <f t="shared" si="748"/>
        <v/>
      </c>
      <c r="T1193" s="231" t="str">
        <f t="shared" si="746"/>
        <v/>
      </c>
      <c r="U1193" s="232" t="str">
        <f t="shared" si="749"/>
        <v>t CO2-eq/ kg of protein</v>
      </c>
      <c r="V1193" s="28"/>
      <c r="W1193" s="28"/>
      <c r="Y1193" s="91"/>
      <c r="AO1193" s="91"/>
      <c r="AP1193" s="28"/>
      <c r="AQ1193" s="28"/>
      <c r="AR1193" s="233" t="str">
        <f t="shared" si="733"/>
        <v>t CO2-eq/ kg of protein</v>
      </c>
      <c r="AS1193" s="28"/>
      <c r="AT1193" s="304" t="str">
        <f t="shared" si="745"/>
        <v/>
      </c>
      <c r="AU1193" s="304" t="str">
        <f t="shared" si="745"/>
        <v/>
      </c>
      <c r="AV1193" s="28"/>
      <c r="AW1193" s="304" t="str">
        <f t="shared" si="736"/>
        <v/>
      </c>
      <c r="AX1193" s="304" t="str">
        <f t="shared" si="736"/>
        <v/>
      </c>
      <c r="AY1193" s="28"/>
      <c r="AZ1193" s="304" t="str">
        <f t="shared" si="737"/>
        <v/>
      </c>
      <c r="BA1193" s="304" t="str">
        <f t="shared" si="737"/>
        <v/>
      </c>
      <c r="BB1193" s="28"/>
      <c r="BC1193" s="304" t="str">
        <f t="shared" si="738"/>
        <v/>
      </c>
      <c r="BD1193" s="304" t="str">
        <f t="shared" si="738"/>
        <v/>
      </c>
      <c r="BE1193" s="28"/>
      <c r="BF1193" s="304" t="str">
        <f t="shared" si="739"/>
        <v/>
      </c>
      <c r="BG1193" s="304" t="str">
        <f t="shared" si="739"/>
        <v/>
      </c>
      <c r="BH1193" s="28"/>
      <c r="BI1193" s="304" t="str">
        <f t="shared" si="740"/>
        <v/>
      </c>
      <c r="BJ1193" s="304" t="str">
        <f t="shared" si="740"/>
        <v/>
      </c>
      <c r="BK1193" s="28"/>
      <c r="BL1193" s="304" t="str">
        <f t="shared" si="741"/>
        <v/>
      </c>
      <c r="BM1193" s="304" t="str">
        <f t="shared" si="741"/>
        <v/>
      </c>
      <c r="BN1193" s="28"/>
      <c r="BO1193" s="304" t="str">
        <f t="shared" si="742"/>
        <v/>
      </c>
      <c r="BP1193" s="304" t="str">
        <f t="shared" si="742"/>
        <v/>
      </c>
      <c r="BQ1193" s="28"/>
      <c r="BR1193" s="304" t="str">
        <f t="shared" si="743"/>
        <v/>
      </c>
      <c r="BS1193" s="304" t="str">
        <f t="shared" si="743"/>
        <v/>
      </c>
      <c r="BT1193" s="28"/>
      <c r="BU1193" s="304" t="str">
        <f t="shared" si="744"/>
        <v/>
      </c>
      <c r="BV1193" s="304" t="str">
        <f t="shared" si="744"/>
        <v/>
      </c>
      <c r="BW1193" s="28"/>
      <c r="BX1193" s="91"/>
    </row>
    <row r="1194" spans="1:76" s="55" customFormat="1" ht="12.95" customHeight="1" x14ac:dyDescent="0.25">
      <c r="A1194" s="359">
        <v>131</v>
      </c>
      <c r="B1194" s="216" t="str">
        <f t="shared" si="747"/>
        <v xml:space="preserve">: </v>
      </c>
      <c r="C1194" s="219"/>
      <c r="D1194" s="219"/>
      <c r="E1194" s="219"/>
      <c r="F1194" s="219"/>
      <c r="G1194" s="220"/>
      <c r="H1194" s="221"/>
      <c r="I1194" s="220"/>
      <c r="J1194" s="227"/>
      <c r="K1194" s="226"/>
      <c r="L1194" s="241"/>
      <c r="M1194" s="225" t="str">
        <f>CONCATENATE("t CO2-eq/ ",IF('[1]Advanced Controls'!$F$169="Implementation",AdoptionUnitOfMeasure,FunctionalUnitOfMeasure))</f>
        <v>t CO2-eq/ kg of protein</v>
      </c>
      <c r="N1194" s="227"/>
      <c r="O1194" s="241"/>
      <c r="P1194" s="122"/>
      <c r="Q1194" s="228"/>
      <c r="R1194" s="231" t="str">
        <f t="shared" ref="R1194:R1257" si="750">IF(Q1194="Y","",IF(AND(L1194="",J1194=""),"",IF(L1194="",J1194,L1194)))</f>
        <v/>
      </c>
      <c r="S1194" s="230" t="str">
        <f t="shared" si="748"/>
        <v/>
      </c>
      <c r="T1194" s="231" t="str">
        <f t="shared" si="746"/>
        <v/>
      </c>
      <c r="U1194" s="232" t="str">
        <f t="shared" si="749"/>
        <v>t CO2-eq/ kg of protein</v>
      </c>
      <c r="V1194" s="28"/>
      <c r="W1194" s="28"/>
      <c r="Y1194" s="91"/>
      <c r="AO1194" s="91"/>
      <c r="AP1194" s="28"/>
      <c r="AQ1194" s="28"/>
      <c r="AR1194" s="233" t="str">
        <f t="shared" si="733"/>
        <v>t CO2-eq/ kg of protein</v>
      </c>
      <c r="AS1194" s="28"/>
      <c r="AT1194" s="304" t="str">
        <f t="shared" si="745"/>
        <v/>
      </c>
      <c r="AU1194" s="304" t="str">
        <f t="shared" si="745"/>
        <v/>
      </c>
      <c r="AV1194" s="28"/>
      <c r="AW1194" s="304" t="str">
        <f t="shared" si="736"/>
        <v/>
      </c>
      <c r="AX1194" s="304" t="str">
        <f t="shared" si="736"/>
        <v/>
      </c>
      <c r="AY1194" s="28"/>
      <c r="AZ1194" s="304" t="str">
        <f t="shared" si="737"/>
        <v/>
      </c>
      <c r="BA1194" s="304" t="str">
        <f t="shared" si="737"/>
        <v/>
      </c>
      <c r="BB1194" s="28"/>
      <c r="BC1194" s="304" t="str">
        <f t="shared" si="738"/>
        <v/>
      </c>
      <c r="BD1194" s="304" t="str">
        <f t="shared" si="738"/>
        <v/>
      </c>
      <c r="BE1194" s="28"/>
      <c r="BF1194" s="304" t="str">
        <f t="shared" si="739"/>
        <v/>
      </c>
      <c r="BG1194" s="304" t="str">
        <f t="shared" si="739"/>
        <v/>
      </c>
      <c r="BH1194" s="28"/>
      <c r="BI1194" s="304" t="str">
        <f t="shared" si="740"/>
        <v/>
      </c>
      <c r="BJ1194" s="304" t="str">
        <f t="shared" si="740"/>
        <v/>
      </c>
      <c r="BK1194" s="28"/>
      <c r="BL1194" s="304" t="str">
        <f t="shared" si="741"/>
        <v/>
      </c>
      <c r="BM1194" s="304" t="str">
        <f t="shared" si="741"/>
        <v/>
      </c>
      <c r="BN1194" s="28"/>
      <c r="BO1194" s="304" t="str">
        <f t="shared" si="742"/>
        <v/>
      </c>
      <c r="BP1194" s="304" t="str">
        <f t="shared" si="742"/>
        <v/>
      </c>
      <c r="BQ1194" s="28"/>
      <c r="BR1194" s="304" t="str">
        <f t="shared" si="743"/>
        <v/>
      </c>
      <c r="BS1194" s="304" t="str">
        <f t="shared" si="743"/>
        <v/>
      </c>
      <c r="BT1194" s="28"/>
      <c r="BU1194" s="304" t="str">
        <f t="shared" si="744"/>
        <v/>
      </c>
      <c r="BV1194" s="304" t="str">
        <f t="shared" si="744"/>
        <v/>
      </c>
      <c r="BW1194" s="28"/>
      <c r="BX1194" s="91"/>
    </row>
    <row r="1195" spans="1:76" s="55" customFormat="1" ht="12.95" customHeight="1" x14ac:dyDescent="0.25">
      <c r="A1195" s="359">
        <v>132</v>
      </c>
      <c r="B1195" s="216" t="str">
        <f t="shared" si="747"/>
        <v xml:space="preserve">: </v>
      </c>
      <c r="C1195" s="219"/>
      <c r="D1195" s="219"/>
      <c r="E1195" s="219"/>
      <c r="F1195" s="219"/>
      <c r="G1195" s="220"/>
      <c r="H1195" s="221"/>
      <c r="I1195" s="220"/>
      <c r="J1195" s="227"/>
      <c r="K1195" s="226"/>
      <c r="L1195" s="241"/>
      <c r="M1195" s="225" t="str">
        <f>CONCATENATE("t CO2-eq/ ",IF('[1]Advanced Controls'!$F$169="Implementation",AdoptionUnitOfMeasure,FunctionalUnitOfMeasure))</f>
        <v>t CO2-eq/ kg of protein</v>
      </c>
      <c r="N1195" s="227"/>
      <c r="O1195" s="241"/>
      <c r="P1195" s="122"/>
      <c r="Q1195" s="228"/>
      <c r="R1195" s="231" t="str">
        <f t="shared" si="750"/>
        <v/>
      </c>
      <c r="S1195" s="230" t="str">
        <f t="shared" si="748"/>
        <v/>
      </c>
      <c r="T1195" s="231" t="str">
        <f t="shared" si="746"/>
        <v/>
      </c>
      <c r="U1195" s="232" t="str">
        <f t="shared" si="749"/>
        <v>t CO2-eq/ kg of protein</v>
      </c>
      <c r="V1195" s="28"/>
      <c r="W1195" s="28"/>
      <c r="Y1195" s="91"/>
      <c r="AO1195" s="91"/>
      <c r="AP1195" s="28"/>
      <c r="AQ1195" s="28"/>
      <c r="AR1195" s="233" t="str">
        <f t="shared" si="733"/>
        <v>t CO2-eq/ kg of protein</v>
      </c>
      <c r="AS1195" s="28"/>
      <c r="AT1195" s="304" t="str">
        <f t="shared" si="745"/>
        <v/>
      </c>
      <c r="AU1195" s="304" t="str">
        <f t="shared" si="745"/>
        <v/>
      </c>
      <c r="AV1195" s="28"/>
      <c r="AW1195" s="304" t="str">
        <f t="shared" si="736"/>
        <v/>
      </c>
      <c r="AX1195" s="304" t="str">
        <f t="shared" si="736"/>
        <v/>
      </c>
      <c r="AY1195" s="28"/>
      <c r="AZ1195" s="304" t="str">
        <f t="shared" si="737"/>
        <v/>
      </c>
      <c r="BA1195" s="304" t="str">
        <f t="shared" si="737"/>
        <v/>
      </c>
      <c r="BB1195" s="28"/>
      <c r="BC1195" s="304" t="str">
        <f t="shared" si="738"/>
        <v/>
      </c>
      <c r="BD1195" s="304" t="str">
        <f t="shared" si="738"/>
        <v/>
      </c>
      <c r="BE1195" s="28"/>
      <c r="BF1195" s="304" t="str">
        <f t="shared" si="739"/>
        <v/>
      </c>
      <c r="BG1195" s="304" t="str">
        <f t="shared" si="739"/>
        <v/>
      </c>
      <c r="BH1195" s="28"/>
      <c r="BI1195" s="304" t="str">
        <f t="shared" si="740"/>
        <v/>
      </c>
      <c r="BJ1195" s="304" t="str">
        <f t="shared" si="740"/>
        <v/>
      </c>
      <c r="BK1195" s="28"/>
      <c r="BL1195" s="304" t="str">
        <f t="shared" si="741"/>
        <v/>
      </c>
      <c r="BM1195" s="304" t="str">
        <f t="shared" si="741"/>
        <v/>
      </c>
      <c r="BN1195" s="28"/>
      <c r="BO1195" s="304" t="str">
        <f t="shared" si="742"/>
        <v/>
      </c>
      <c r="BP1195" s="304" t="str">
        <f t="shared" si="742"/>
        <v/>
      </c>
      <c r="BQ1195" s="28"/>
      <c r="BR1195" s="304" t="str">
        <f t="shared" si="743"/>
        <v/>
      </c>
      <c r="BS1195" s="304" t="str">
        <f t="shared" si="743"/>
        <v/>
      </c>
      <c r="BT1195" s="28"/>
      <c r="BU1195" s="304" t="str">
        <f t="shared" si="744"/>
        <v/>
      </c>
      <c r="BV1195" s="304" t="str">
        <f t="shared" si="744"/>
        <v/>
      </c>
      <c r="BW1195" s="28"/>
      <c r="BX1195" s="91"/>
    </row>
    <row r="1196" spans="1:76" s="55" customFormat="1" ht="12.95" customHeight="1" x14ac:dyDescent="0.25">
      <c r="A1196" s="359">
        <v>133</v>
      </c>
      <c r="B1196" s="216" t="str">
        <f t="shared" si="747"/>
        <v xml:space="preserve">: </v>
      </c>
      <c r="C1196" s="219"/>
      <c r="D1196" s="219"/>
      <c r="E1196" s="219"/>
      <c r="F1196" s="219"/>
      <c r="G1196" s="220"/>
      <c r="H1196" s="221"/>
      <c r="I1196" s="220"/>
      <c r="J1196" s="227"/>
      <c r="K1196" s="226"/>
      <c r="L1196" s="241"/>
      <c r="M1196" s="225" t="str">
        <f>CONCATENATE("t CO2-eq/ ",IF('[1]Advanced Controls'!$F$169="Implementation",AdoptionUnitOfMeasure,FunctionalUnitOfMeasure))</f>
        <v>t CO2-eq/ kg of protein</v>
      </c>
      <c r="N1196" s="227"/>
      <c r="O1196" s="241"/>
      <c r="P1196" s="122"/>
      <c r="Q1196" s="228"/>
      <c r="R1196" s="231" t="str">
        <f t="shared" si="750"/>
        <v/>
      </c>
      <c r="S1196" s="230" t="str">
        <f t="shared" si="748"/>
        <v/>
      </c>
      <c r="T1196" s="231" t="str">
        <f t="shared" si="746"/>
        <v/>
      </c>
      <c r="U1196" s="232" t="str">
        <f t="shared" si="749"/>
        <v>t CO2-eq/ kg of protein</v>
      </c>
      <c r="V1196" s="28"/>
      <c r="W1196" s="28"/>
      <c r="Y1196" s="91"/>
      <c r="AO1196" s="91"/>
      <c r="AP1196" s="28"/>
      <c r="AQ1196" s="28"/>
      <c r="AR1196" s="233" t="str">
        <f t="shared" si="733"/>
        <v>t CO2-eq/ kg of protein</v>
      </c>
      <c r="AS1196" s="28"/>
      <c r="AT1196" s="304" t="str">
        <f t="shared" si="745"/>
        <v/>
      </c>
      <c r="AU1196" s="304" t="str">
        <f t="shared" si="745"/>
        <v/>
      </c>
      <c r="AV1196" s="28"/>
      <c r="AW1196" s="304" t="str">
        <f t="shared" si="736"/>
        <v/>
      </c>
      <c r="AX1196" s="304" t="str">
        <f t="shared" si="736"/>
        <v/>
      </c>
      <c r="AY1196" s="28"/>
      <c r="AZ1196" s="304" t="str">
        <f t="shared" si="737"/>
        <v/>
      </c>
      <c r="BA1196" s="304" t="str">
        <f t="shared" si="737"/>
        <v/>
      </c>
      <c r="BB1196" s="28"/>
      <c r="BC1196" s="304" t="str">
        <f t="shared" si="738"/>
        <v/>
      </c>
      <c r="BD1196" s="304" t="str">
        <f t="shared" si="738"/>
        <v/>
      </c>
      <c r="BE1196" s="28"/>
      <c r="BF1196" s="304" t="str">
        <f t="shared" si="739"/>
        <v/>
      </c>
      <c r="BG1196" s="304" t="str">
        <f t="shared" si="739"/>
        <v/>
      </c>
      <c r="BH1196" s="28"/>
      <c r="BI1196" s="304" t="str">
        <f t="shared" si="740"/>
        <v/>
      </c>
      <c r="BJ1196" s="304" t="str">
        <f t="shared" si="740"/>
        <v/>
      </c>
      <c r="BK1196" s="28"/>
      <c r="BL1196" s="304" t="str">
        <f t="shared" si="741"/>
        <v/>
      </c>
      <c r="BM1196" s="304" t="str">
        <f t="shared" si="741"/>
        <v/>
      </c>
      <c r="BN1196" s="28"/>
      <c r="BO1196" s="304" t="str">
        <f t="shared" si="742"/>
        <v/>
      </c>
      <c r="BP1196" s="304" t="str">
        <f t="shared" si="742"/>
        <v/>
      </c>
      <c r="BQ1196" s="28"/>
      <c r="BR1196" s="304" t="str">
        <f t="shared" si="743"/>
        <v/>
      </c>
      <c r="BS1196" s="304" t="str">
        <f t="shared" si="743"/>
        <v/>
      </c>
      <c r="BT1196" s="28"/>
      <c r="BU1196" s="304" t="str">
        <f t="shared" si="744"/>
        <v/>
      </c>
      <c r="BV1196" s="304" t="str">
        <f t="shared" si="744"/>
        <v/>
      </c>
      <c r="BW1196" s="28"/>
      <c r="BX1196" s="91"/>
    </row>
    <row r="1197" spans="1:76" s="55" customFormat="1" ht="12.95" customHeight="1" x14ac:dyDescent="0.25">
      <c r="A1197" s="359">
        <v>134</v>
      </c>
      <c r="B1197" s="216" t="str">
        <f t="shared" si="747"/>
        <v xml:space="preserve">: </v>
      </c>
      <c r="C1197" s="219"/>
      <c r="D1197" s="219"/>
      <c r="E1197" s="219"/>
      <c r="F1197" s="219"/>
      <c r="G1197" s="220"/>
      <c r="H1197" s="221"/>
      <c r="I1197" s="220"/>
      <c r="J1197" s="227"/>
      <c r="K1197" s="226"/>
      <c r="L1197" s="241"/>
      <c r="M1197" s="225" t="str">
        <f>CONCATENATE("t CO2-eq/ ",IF('[1]Advanced Controls'!$F$169="Implementation",AdoptionUnitOfMeasure,FunctionalUnitOfMeasure))</f>
        <v>t CO2-eq/ kg of protein</v>
      </c>
      <c r="N1197" s="227"/>
      <c r="O1197" s="241"/>
      <c r="P1197" s="122"/>
      <c r="Q1197" s="228"/>
      <c r="R1197" s="231" t="str">
        <f t="shared" si="750"/>
        <v/>
      </c>
      <c r="S1197" s="230" t="str">
        <f t="shared" si="748"/>
        <v/>
      </c>
      <c r="T1197" s="231" t="str">
        <f t="shared" si="746"/>
        <v/>
      </c>
      <c r="U1197" s="232" t="str">
        <f t="shared" si="749"/>
        <v>t CO2-eq/ kg of protein</v>
      </c>
      <c r="V1197" s="28"/>
      <c r="W1197" s="28"/>
      <c r="Y1197" s="91"/>
      <c r="AO1197" s="91"/>
      <c r="AP1197" s="28"/>
      <c r="AQ1197" s="28"/>
      <c r="AR1197" s="233" t="str">
        <f t="shared" si="733"/>
        <v>t CO2-eq/ kg of protein</v>
      </c>
      <c r="AS1197" s="28"/>
      <c r="AT1197" s="304" t="str">
        <f t="shared" si="745"/>
        <v/>
      </c>
      <c r="AU1197" s="304" t="str">
        <f t="shared" si="745"/>
        <v/>
      </c>
      <c r="AV1197" s="28"/>
      <c r="AW1197" s="304" t="str">
        <f t="shared" si="736"/>
        <v/>
      </c>
      <c r="AX1197" s="304" t="str">
        <f t="shared" si="736"/>
        <v/>
      </c>
      <c r="AY1197" s="28"/>
      <c r="AZ1197" s="304" t="str">
        <f t="shared" si="737"/>
        <v/>
      </c>
      <c r="BA1197" s="304" t="str">
        <f t="shared" si="737"/>
        <v/>
      </c>
      <c r="BB1197" s="28"/>
      <c r="BC1197" s="304" t="str">
        <f t="shared" si="738"/>
        <v/>
      </c>
      <c r="BD1197" s="304" t="str">
        <f t="shared" si="738"/>
        <v/>
      </c>
      <c r="BE1197" s="28"/>
      <c r="BF1197" s="304" t="str">
        <f t="shared" si="739"/>
        <v/>
      </c>
      <c r="BG1197" s="304" t="str">
        <f t="shared" si="739"/>
        <v/>
      </c>
      <c r="BH1197" s="28"/>
      <c r="BI1197" s="304" t="str">
        <f t="shared" si="740"/>
        <v/>
      </c>
      <c r="BJ1197" s="304" t="str">
        <f t="shared" si="740"/>
        <v/>
      </c>
      <c r="BK1197" s="28"/>
      <c r="BL1197" s="304" t="str">
        <f t="shared" si="741"/>
        <v/>
      </c>
      <c r="BM1197" s="304" t="str">
        <f t="shared" si="741"/>
        <v/>
      </c>
      <c r="BN1197" s="28"/>
      <c r="BO1197" s="304" t="str">
        <f t="shared" si="742"/>
        <v/>
      </c>
      <c r="BP1197" s="304" t="str">
        <f t="shared" si="742"/>
        <v/>
      </c>
      <c r="BQ1197" s="28"/>
      <c r="BR1197" s="304" t="str">
        <f t="shared" si="743"/>
        <v/>
      </c>
      <c r="BS1197" s="304" t="str">
        <f t="shared" si="743"/>
        <v/>
      </c>
      <c r="BT1197" s="28"/>
      <c r="BU1197" s="304" t="str">
        <f t="shared" si="744"/>
        <v/>
      </c>
      <c r="BV1197" s="304" t="str">
        <f t="shared" si="744"/>
        <v/>
      </c>
      <c r="BW1197" s="28"/>
      <c r="BX1197" s="91"/>
    </row>
    <row r="1198" spans="1:76" s="55" customFormat="1" ht="12.95" customHeight="1" x14ac:dyDescent="0.25">
      <c r="A1198" s="359">
        <v>135</v>
      </c>
      <c r="B1198" s="216" t="str">
        <f t="shared" si="747"/>
        <v xml:space="preserve">: </v>
      </c>
      <c r="C1198" s="219"/>
      <c r="D1198" s="219"/>
      <c r="E1198" s="219"/>
      <c r="F1198" s="219"/>
      <c r="G1198" s="220"/>
      <c r="H1198" s="221"/>
      <c r="I1198" s="220"/>
      <c r="J1198" s="227"/>
      <c r="K1198" s="226"/>
      <c r="L1198" s="241"/>
      <c r="M1198" s="225" t="str">
        <f>CONCATENATE("t CO2-eq/ ",IF('[1]Advanced Controls'!$F$169="Implementation",AdoptionUnitOfMeasure,FunctionalUnitOfMeasure))</f>
        <v>t CO2-eq/ kg of protein</v>
      </c>
      <c r="N1198" s="227"/>
      <c r="O1198" s="241"/>
      <c r="P1198" s="122"/>
      <c r="Q1198" s="228"/>
      <c r="R1198" s="231" t="str">
        <f t="shared" si="750"/>
        <v/>
      </c>
      <c r="S1198" s="230" t="str">
        <f t="shared" si="748"/>
        <v/>
      </c>
      <c r="T1198" s="231" t="str">
        <f t="shared" si="746"/>
        <v/>
      </c>
      <c r="U1198" s="232" t="str">
        <f t="shared" si="749"/>
        <v>t CO2-eq/ kg of protein</v>
      </c>
      <c r="V1198" s="28"/>
      <c r="W1198" s="28"/>
      <c r="Y1198" s="91"/>
      <c r="AO1198" s="91"/>
      <c r="AP1198" s="28"/>
      <c r="AQ1198" s="28"/>
      <c r="AR1198" s="233" t="str">
        <f t="shared" si="733"/>
        <v>t CO2-eq/ kg of protein</v>
      </c>
      <c r="AS1198" s="28"/>
      <c r="AT1198" s="304" t="str">
        <f t="shared" si="745"/>
        <v/>
      </c>
      <c r="AU1198" s="304" t="str">
        <f t="shared" si="745"/>
        <v/>
      </c>
      <c r="AV1198" s="28"/>
      <c r="AW1198" s="304" t="str">
        <f t="shared" si="736"/>
        <v/>
      </c>
      <c r="AX1198" s="304" t="str">
        <f t="shared" si="736"/>
        <v/>
      </c>
      <c r="AY1198" s="28"/>
      <c r="AZ1198" s="304" t="str">
        <f t="shared" si="737"/>
        <v/>
      </c>
      <c r="BA1198" s="304" t="str">
        <f t="shared" si="737"/>
        <v/>
      </c>
      <c r="BB1198" s="28"/>
      <c r="BC1198" s="304" t="str">
        <f t="shared" si="738"/>
        <v/>
      </c>
      <c r="BD1198" s="304" t="str">
        <f t="shared" si="738"/>
        <v/>
      </c>
      <c r="BE1198" s="28"/>
      <c r="BF1198" s="304" t="str">
        <f t="shared" si="739"/>
        <v/>
      </c>
      <c r="BG1198" s="304" t="str">
        <f t="shared" si="739"/>
        <v/>
      </c>
      <c r="BH1198" s="28"/>
      <c r="BI1198" s="304" t="str">
        <f t="shared" si="740"/>
        <v/>
      </c>
      <c r="BJ1198" s="304" t="str">
        <f t="shared" si="740"/>
        <v/>
      </c>
      <c r="BK1198" s="28"/>
      <c r="BL1198" s="304" t="str">
        <f t="shared" si="741"/>
        <v/>
      </c>
      <c r="BM1198" s="304" t="str">
        <f t="shared" si="741"/>
        <v/>
      </c>
      <c r="BN1198" s="28"/>
      <c r="BO1198" s="304" t="str">
        <f t="shared" si="742"/>
        <v/>
      </c>
      <c r="BP1198" s="304" t="str">
        <f t="shared" si="742"/>
        <v/>
      </c>
      <c r="BQ1198" s="28"/>
      <c r="BR1198" s="304" t="str">
        <f t="shared" si="743"/>
        <v/>
      </c>
      <c r="BS1198" s="304" t="str">
        <f t="shared" si="743"/>
        <v/>
      </c>
      <c r="BT1198" s="28"/>
      <c r="BU1198" s="304" t="str">
        <f t="shared" si="744"/>
        <v/>
      </c>
      <c r="BV1198" s="304" t="str">
        <f t="shared" si="744"/>
        <v/>
      </c>
      <c r="BW1198" s="28"/>
      <c r="BX1198" s="91"/>
    </row>
    <row r="1199" spans="1:76" s="55" customFormat="1" ht="12.95" customHeight="1" x14ac:dyDescent="0.25">
      <c r="A1199" s="359">
        <v>136</v>
      </c>
      <c r="B1199" s="216" t="str">
        <f t="shared" si="747"/>
        <v xml:space="preserve">: </v>
      </c>
      <c r="C1199" s="219"/>
      <c r="D1199" s="219"/>
      <c r="E1199" s="219"/>
      <c r="F1199" s="219"/>
      <c r="G1199" s="220"/>
      <c r="H1199" s="221"/>
      <c r="I1199" s="220"/>
      <c r="J1199" s="227"/>
      <c r="K1199" s="226"/>
      <c r="L1199" s="241"/>
      <c r="M1199" s="225" t="str">
        <f>CONCATENATE("t CO2-eq/ ",IF('[1]Advanced Controls'!$F$169="Implementation",AdoptionUnitOfMeasure,FunctionalUnitOfMeasure))</f>
        <v>t CO2-eq/ kg of protein</v>
      </c>
      <c r="N1199" s="227"/>
      <c r="O1199" s="241"/>
      <c r="P1199" s="122"/>
      <c r="Q1199" s="228"/>
      <c r="R1199" s="231" t="str">
        <f t="shared" si="750"/>
        <v/>
      </c>
      <c r="S1199" s="230" t="str">
        <f t="shared" si="748"/>
        <v/>
      </c>
      <c r="T1199" s="231" t="str">
        <f t="shared" si="746"/>
        <v/>
      </c>
      <c r="U1199" s="232" t="str">
        <f t="shared" si="749"/>
        <v>t CO2-eq/ kg of protein</v>
      </c>
      <c r="V1199" s="28"/>
      <c r="W1199" s="28"/>
      <c r="Y1199" s="91"/>
      <c r="AO1199" s="91"/>
      <c r="AP1199" s="28"/>
      <c r="AQ1199" s="28"/>
      <c r="AR1199" s="233" t="str">
        <f t="shared" si="733"/>
        <v>t CO2-eq/ kg of protein</v>
      </c>
      <c r="AS1199" s="28"/>
      <c r="AT1199" s="304" t="str">
        <f t="shared" si="745"/>
        <v/>
      </c>
      <c r="AU1199" s="304" t="str">
        <f t="shared" si="745"/>
        <v/>
      </c>
      <c r="AV1199" s="28"/>
      <c r="AW1199" s="304" t="str">
        <f t="shared" si="736"/>
        <v/>
      </c>
      <c r="AX1199" s="304" t="str">
        <f t="shared" si="736"/>
        <v/>
      </c>
      <c r="AY1199" s="28"/>
      <c r="AZ1199" s="304" t="str">
        <f t="shared" si="737"/>
        <v/>
      </c>
      <c r="BA1199" s="304" t="str">
        <f t="shared" si="737"/>
        <v/>
      </c>
      <c r="BB1199" s="28"/>
      <c r="BC1199" s="304" t="str">
        <f t="shared" si="738"/>
        <v/>
      </c>
      <c r="BD1199" s="304" t="str">
        <f t="shared" si="738"/>
        <v/>
      </c>
      <c r="BE1199" s="28"/>
      <c r="BF1199" s="304" t="str">
        <f t="shared" si="739"/>
        <v/>
      </c>
      <c r="BG1199" s="304" t="str">
        <f t="shared" si="739"/>
        <v/>
      </c>
      <c r="BH1199" s="28"/>
      <c r="BI1199" s="304" t="str">
        <f t="shared" si="740"/>
        <v/>
      </c>
      <c r="BJ1199" s="304" t="str">
        <f t="shared" si="740"/>
        <v/>
      </c>
      <c r="BK1199" s="28"/>
      <c r="BL1199" s="304" t="str">
        <f t="shared" si="741"/>
        <v/>
      </c>
      <c r="BM1199" s="304" t="str">
        <f t="shared" si="741"/>
        <v/>
      </c>
      <c r="BN1199" s="28"/>
      <c r="BO1199" s="304" t="str">
        <f t="shared" si="742"/>
        <v/>
      </c>
      <c r="BP1199" s="304" t="str">
        <f t="shared" si="742"/>
        <v/>
      </c>
      <c r="BQ1199" s="28"/>
      <c r="BR1199" s="304" t="str">
        <f t="shared" si="743"/>
        <v/>
      </c>
      <c r="BS1199" s="304" t="str">
        <f t="shared" si="743"/>
        <v/>
      </c>
      <c r="BT1199" s="28"/>
      <c r="BU1199" s="304" t="str">
        <f t="shared" si="744"/>
        <v/>
      </c>
      <c r="BV1199" s="304" t="str">
        <f t="shared" si="744"/>
        <v/>
      </c>
      <c r="BW1199" s="28"/>
      <c r="BX1199" s="91"/>
    </row>
    <row r="1200" spans="1:76" s="55" customFormat="1" ht="12.95" customHeight="1" x14ac:dyDescent="0.25">
      <c r="A1200" s="359">
        <v>137</v>
      </c>
      <c r="B1200" s="216" t="str">
        <f t="shared" si="747"/>
        <v xml:space="preserve">: </v>
      </c>
      <c r="C1200" s="219"/>
      <c r="D1200" s="219"/>
      <c r="E1200" s="219"/>
      <c r="F1200" s="219"/>
      <c r="G1200" s="220"/>
      <c r="H1200" s="221"/>
      <c r="I1200" s="220"/>
      <c r="J1200" s="227"/>
      <c r="K1200" s="226"/>
      <c r="L1200" s="241"/>
      <c r="M1200" s="225" t="str">
        <f>CONCATENATE("t CO2-eq/ ",IF('[1]Advanced Controls'!$F$169="Implementation",AdoptionUnitOfMeasure,FunctionalUnitOfMeasure))</f>
        <v>t CO2-eq/ kg of protein</v>
      </c>
      <c r="N1200" s="227"/>
      <c r="O1200" s="241"/>
      <c r="P1200" s="122"/>
      <c r="Q1200" s="228"/>
      <c r="R1200" s="231" t="str">
        <f t="shared" si="750"/>
        <v/>
      </c>
      <c r="S1200" s="230" t="str">
        <f t="shared" si="748"/>
        <v/>
      </c>
      <c r="T1200" s="231" t="str">
        <f t="shared" si="746"/>
        <v/>
      </c>
      <c r="U1200" s="232" t="str">
        <f t="shared" si="749"/>
        <v>t CO2-eq/ kg of protein</v>
      </c>
      <c r="V1200" s="28"/>
      <c r="W1200" s="28"/>
      <c r="Y1200" s="91"/>
      <c r="AO1200" s="91"/>
      <c r="AP1200" s="28"/>
      <c r="AQ1200" s="28"/>
      <c r="AR1200" s="233" t="str">
        <f t="shared" si="733"/>
        <v>t CO2-eq/ kg of protein</v>
      </c>
      <c r="AS1200" s="28"/>
      <c r="AT1200" s="304" t="str">
        <f t="shared" si="745"/>
        <v/>
      </c>
      <c r="AU1200" s="304" t="str">
        <f t="shared" si="745"/>
        <v/>
      </c>
      <c r="AV1200" s="28"/>
      <c r="AW1200" s="304" t="str">
        <f t="shared" si="736"/>
        <v/>
      </c>
      <c r="AX1200" s="304" t="str">
        <f t="shared" si="736"/>
        <v/>
      </c>
      <c r="AY1200" s="28"/>
      <c r="AZ1200" s="304" t="str">
        <f t="shared" si="737"/>
        <v/>
      </c>
      <c r="BA1200" s="304" t="str">
        <f t="shared" si="737"/>
        <v/>
      </c>
      <c r="BB1200" s="28"/>
      <c r="BC1200" s="304" t="str">
        <f t="shared" si="738"/>
        <v/>
      </c>
      <c r="BD1200" s="304" t="str">
        <f t="shared" si="738"/>
        <v/>
      </c>
      <c r="BE1200" s="28"/>
      <c r="BF1200" s="304" t="str">
        <f t="shared" si="739"/>
        <v/>
      </c>
      <c r="BG1200" s="304" t="str">
        <f t="shared" si="739"/>
        <v/>
      </c>
      <c r="BH1200" s="28"/>
      <c r="BI1200" s="304" t="str">
        <f t="shared" si="740"/>
        <v/>
      </c>
      <c r="BJ1200" s="304" t="str">
        <f t="shared" si="740"/>
        <v/>
      </c>
      <c r="BK1200" s="28"/>
      <c r="BL1200" s="304" t="str">
        <f t="shared" si="741"/>
        <v/>
      </c>
      <c r="BM1200" s="304" t="str">
        <f t="shared" si="741"/>
        <v/>
      </c>
      <c r="BN1200" s="28"/>
      <c r="BO1200" s="304" t="str">
        <f t="shared" si="742"/>
        <v/>
      </c>
      <c r="BP1200" s="304" t="str">
        <f t="shared" si="742"/>
        <v/>
      </c>
      <c r="BQ1200" s="28"/>
      <c r="BR1200" s="304" t="str">
        <f t="shared" si="743"/>
        <v/>
      </c>
      <c r="BS1200" s="304" t="str">
        <f t="shared" si="743"/>
        <v/>
      </c>
      <c r="BT1200" s="28"/>
      <c r="BU1200" s="304" t="str">
        <f t="shared" si="744"/>
        <v/>
      </c>
      <c r="BV1200" s="304" t="str">
        <f t="shared" si="744"/>
        <v/>
      </c>
      <c r="BW1200" s="28"/>
      <c r="BX1200" s="91"/>
    </row>
    <row r="1201" spans="1:76" s="55" customFormat="1" ht="12.95" customHeight="1" x14ac:dyDescent="0.25">
      <c r="A1201" s="359">
        <v>138</v>
      </c>
      <c r="B1201" s="216" t="str">
        <f t="shared" si="747"/>
        <v xml:space="preserve">: </v>
      </c>
      <c r="C1201" s="219"/>
      <c r="D1201" s="219"/>
      <c r="E1201" s="219"/>
      <c r="F1201" s="219"/>
      <c r="G1201" s="220"/>
      <c r="H1201" s="221"/>
      <c r="I1201" s="220"/>
      <c r="J1201" s="227"/>
      <c r="K1201" s="226"/>
      <c r="L1201" s="241"/>
      <c r="M1201" s="225" t="str">
        <f>CONCATENATE("t CO2-eq/ ",IF('[1]Advanced Controls'!$F$169="Implementation",AdoptionUnitOfMeasure,FunctionalUnitOfMeasure))</f>
        <v>t CO2-eq/ kg of protein</v>
      </c>
      <c r="N1201" s="227"/>
      <c r="O1201" s="241"/>
      <c r="P1201" s="122"/>
      <c r="Q1201" s="228"/>
      <c r="R1201" s="231" t="str">
        <f t="shared" si="750"/>
        <v/>
      </c>
      <c r="S1201" s="230" t="str">
        <f t="shared" si="748"/>
        <v/>
      </c>
      <c r="T1201" s="231" t="str">
        <f t="shared" si="746"/>
        <v/>
      </c>
      <c r="U1201" s="232" t="str">
        <f t="shared" si="749"/>
        <v>t CO2-eq/ kg of protein</v>
      </c>
      <c r="V1201" s="28"/>
      <c r="W1201" s="28"/>
      <c r="Y1201" s="91"/>
      <c r="AO1201" s="91"/>
      <c r="AP1201" s="28"/>
      <c r="AQ1201" s="28"/>
      <c r="AR1201" s="233" t="str">
        <f t="shared" si="733"/>
        <v>t CO2-eq/ kg of protein</v>
      </c>
      <c r="AS1201" s="28"/>
      <c r="AT1201" s="304" t="str">
        <f t="shared" si="745"/>
        <v/>
      </c>
      <c r="AU1201" s="304" t="str">
        <f t="shared" si="745"/>
        <v/>
      </c>
      <c r="AV1201" s="28"/>
      <c r="AW1201" s="304" t="str">
        <f t="shared" si="736"/>
        <v/>
      </c>
      <c r="AX1201" s="304" t="str">
        <f t="shared" si="736"/>
        <v/>
      </c>
      <c r="AY1201" s="28"/>
      <c r="AZ1201" s="304" t="str">
        <f t="shared" si="737"/>
        <v/>
      </c>
      <c r="BA1201" s="304" t="str">
        <f t="shared" si="737"/>
        <v/>
      </c>
      <c r="BB1201" s="28"/>
      <c r="BC1201" s="304" t="str">
        <f t="shared" si="738"/>
        <v/>
      </c>
      <c r="BD1201" s="304" t="str">
        <f t="shared" si="738"/>
        <v/>
      </c>
      <c r="BE1201" s="28"/>
      <c r="BF1201" s="304" t="str">
        <f t="shared" si="739"/>
        <v/>
      </c>
      <c r="BG1201" s="304" t="str">
        <f t="shared" si="739"/>
        <v/>
      </c>
      <c r="BH1201" s="28"/>
      <c r="BI1201" s="304" t="str">
        <f t="shared" si="740"/>
        <v/>
      </c>
      <c r="BJ1201" s="304" t="str">
        <f t="shared" si="740"/>
        <v/>
      </c>
      <c r="BK1201" s="28"/>
      <c r="BL1201" s="304" t="str">
        <f t="shared" si="741"/>
        <v/>
      </c>
      <c r="BM1201" s="304" t="str">
        <f t="shared" si="741"/>
        <v/>
      </c>
      <c r="BN1201" s="28"/>
      <c r="BO1201" s="304" t="str">
        <f t="shared" si="742"/>
        <v/>
      </c>
      <c r="BP1201" s="304" t="str">
        <f t="shared" si="742"/>
        <v/>
      </c>
      <c r="BQ1201" s="28"/>
      <c r="BR1201" s="304" t="str">
        <f t="shared" si="743"/>
        <v/>
      </c>
      <c r="BS1201" s="304" t="str">
        <f t="shared" si="743"/>
        <v/>
      </c>
      <c r="BT1201" s="28"/>
      <c r="BU1201" s="304" t="str">
        <f t="shared" si="744"/>
        <v/>
      </c>
      <c r="BV1201" s="304" t="str">
        <f t="shared" si="744"/>
        <v/>
      </c>
      <c r="BW1201" s="28"/>
      <c r="BX1201" s="91"/>
    </row>
    <row r="1202" spans="1:76" s="55" customFormat="1" ht="12.95" customHeight="1" x14ac:dyDescent="0.25">
      <c r="A1202" s="359">
        <v>139</v>
      </c>
      <c r="B1202" s="216" t="str">
        <f t="shared" si="747"/>
        <v xml:space="preserve">: </v>
      </c>
      <c r="C1202" s="219"/>
      <c r="D1202" s="219"/>
      <c r="E1202" s="219"/>
      <c r="F1202" s="219"/>
      <c r="G1202" s="220"/>
      <c r="H1202" s="221"/>
      <c r="I1202" s="220"/>
      <c r="J1202" s="227"/>
      <c r="K1202" s="226"/>
      <c r="L1202" s="241"/>
      <c r="M1202" s="225" t="str">
        <f>CONCATENATE("t CO2-eq/ ",IF('[1]Advanced Controls'!$F$169="Implementation",AdoptionUnitOfMeasure,FunctionalUnitOfMeasure))</f>
        <v>t CO2-eq/ kg of protein</v>
      </c>
      <c r="N1202" s="227"/>
      <c r="O1202" s="241"/>
      <c r="P1202" s="122"/>
      <c r="Q1202" s="228"/>
      <c r="R1202" s="231" t="str">
        <f t="shared" si="750"/>
        <v/>
      </c>
      <c r="S1202" s="230" t="str">
        <f t="shared" si="748"/>
        <v/>
      </c>
      <c r="T1202" s="231" t="str">
        <f t="shared" si="746"/>
        <v/>
      </c>
      <c r="U1202" s="232" t="str">
        <f t="shared" si="749"/>
        <v>t CO2-eq/ kg of protein</v>
      </c>
      <c r="V1202" s="28"/>
      <c r="W1202" s="28"/>
      <c r="Y1202" s="91"/>
      <c r="AO1202" s="91"/>
      <c r="AP1202" s="28"/>
      <c r="AQ1202" s="28"/>
      <c r="AR1202" s="233" t="str">
        <f t="shared" si="733"/>
        <v>t CO2-eq/ kg of protein</v>
      </c>
      <c r="AS1202" s="28"/>
      <c r="AT1202" s="304" t="str">
        <f t="shared" si="745"/>
        <v/>
      </c>
      <c r="AU1202" s="304" t="str">
        <f t="shared" si="745"/>
        <v/>
      </c>
      <c r="AV1202" s="28"/>
      <c r="AW1202" s="304" t="str">
        <f t="shared" si="736"/>
        <v/>
      </c>
      <c r="AX1202" s="304" t="str">
        <f t="shared" si="736"/>
        <v/>
      </c>
      <c r="AY1202" s="28"/>
      <c r="AZ1202" s="304" t="str">
        <f t="shared" si="737"/>
        <v/>
      </c>
      <c r="BA1202" s="304" t="str">
        <f t="shared" si="737"/>
        <v/>
      </c>
      <c r="BB1202" s="28"/>
      <c r="BC1202" s="304" t="str">
        <f t="shared" si="738"/>
        <v/>
      </c>
      <c r="BD1202" s="304" t="str">
        <f t="shared" si="738"/>
        <v/>
      </c>
      <c r="BE1202" s="28"/>
      <c r="BF1202" s="304" t="str">
        <f t="shared" si="739"/>
        <v/>
      </c>
      <c r="BG1202" s="304" t="str">
        <f t="shared" si="739"/>
        <v/>
      </c>
      <c r="BH1202" s="28"/>
      <c r="BI1202" s="304" t="str">
        <f t="shared" si="740"/>
        <v/>
      </c>
      <c r="BJ1202" s="304" t="str">
        <f t="shared" si="740"/>
        <v/>
      </c>
      <c r="BK1202" s="28"/>
      <c r="BL1202" s="304" t="str">
        <f t="shared" si="741"/>
        <v/>
      </c>
      <c r="BM1202" s="304" t="str">
        <f t="shared" si="741"/>
        <v/>
      </c>
      <c r="BN1202" s="28"/>
      <c r="BO1202" s="304" t="str">
        <f t="shared" si="742"/>
        <v/>
      </c>
      <c r="BP1202" s="304" t="str">
        <f t="shared" si="742"/>
        <v/>
      </c>
      <c r="BQ1202" s="28"/>
      <c r="BR1202" s="304" t="str">
        <f t="shared" si="743"/>
        <v/>
      </c>
      <c r="BS1202" s="304" t="str">
        <f t="shared" si="743"/>
        <v/>
      </c>
      <c r="BT1202" s="28"/>
      <c r="BU1202" s="304" t="str">
        <f t="shared" si="744"/>
        <v/>
      </c>
      <c r="BV1202" s="304" t="str">
        <f t="shared" si="744"/>
        <v/>
      </c>
      <c r="BW1202" s="28"/>
      <c r="BX1202" s="91"/>
    </row>
    <row r="1203" spans="1:76" s="55" customFormat="1" ht="12.95" customHeight="1" x14ac:dyDescent="0.25">
      <c r="A1203" s="359">
        <v>140</v>
      </c>
      <c r="B1203" s="216" t="str">
        <f t="shared" si="747"/>
        <v xml:space="preserve">: </v>
      </c>
      <c r="C1203" s="219"/>
      <c r="D1203" s="219"/>
      <c r="E1203" s="219"/>
      <c r="F1203" s="219"/>
      <c r="G1203" s="220"/>
      <c r="H1203" s="221"/>
      <c r="I1203" s="220"/>
      <c r="J1203" s="227"/>
      <c r="K1203" s="226"/>
      <c r="L1203" s="241"/>
      <c r="M1203" s="225" t="str">
        <f>CONCATENATE("t CO2-eq/ ",IF('[1]Advanced Controls'!$F$169="Implementation",AdoptionUnitOfMeasure,FunctionalUnitOfMeasure))</f>
        <v>t CO2-eq/ kg of protein</v>
      </c>
      <c r="N1203" s="227"/>
      <c r="O1203" s="241"/>
      <c r="P1203" s="122"/>
      <c r="Q1203" s="228"/>
      <c r="R1203" s="231" t="str">
        <f t="shared" si="750"/>
        <v/>
      </c>
      <c r="S1203" s="230" t="str">
        <f t="shared" si="748"/>
        <v/>
      </c>
      <c r="T1203" s="231" t="str">
        <f t="shared" si="746"/>
        <v/>
      </c>
      <c r="U1203" s="232" t="str">
        <f t="shared" si="749"/>
        <v>t CO2-eq/ kg of protein</v>
      </c>
      <c r="V1203" s="28"/>
      <c r="W1203" s="28"/>
      <c r="Y1203" s="91"/>
      <c r="AO1203" s="91"/>
      <c r="AP1203" s="28"/>
      <c r="AQ1203" s="28"/>
      <c r="AR1203" s="233" t="str">
        <f t="shared" si="733"/>
        <v>t CO2-eq/ kg of protein</v>
      </c>
      <c r="AS1203" s="28"/>
      <c r="AT1203" s="304" t="str">
        <f t="shared" si="745"/>
        <v/>
      </c>
      <c r="AU1203" s="304" t="str">
        <f t="shared" si="745"/>
        <v/>
      </c>
      <c r="AV1203" s="28"/>
      <c r="AW1203" s="304" t="str">
        <f t="shared" si="736"/>
        <v/>
      </c>
      <c r="AX1203" s="304" t="str">
        <f t="shared" si="736"/>
        <v/>
      </c>
      <c r="AY1203" s="28"/>
      <c r="AZ1203" s="304" t="str">
        <f t="shared" si="737"/>
        <v/>
      </c>
      <c r="BA1203" s="304" t="str">
        <f t="shared" si="737"/>
        <v/>
      </c>
      <c r="BB1203" s="28"/>
      <c r="BC1203" s="304" t="str">
        <f t="shared" si="738"/>
        <v/>
      </c>
      <c r="BD1203" s="304" t="str">
        <f t="shared" si="738"/>
        <v/>
      </c>
      <c r="BE1203" s="28"/>
      <c r="BF1203" s="304" t="str">
        <f t="shared" si="739"/>
        <v/>
      </c>
      <c r="BG1203" s="304" t="str">
        <f t="shared" si="739"/>
        <v/>
      </c>
      <c r="BH1203" s="28"/>
      <c r="BI1203" s="304" t="str">
        <f t="shared" si="740"/>
        <v/>
      </c>
      <c r="BJ1203" s="304" t="str">
        <f t="shared" si="740"/>
        <v/>
      </c>
      <c r="BK1203" s="28"/>
      <c r="BL1203" s="304" t="str">
        <f t="shared" si="741"/>
        <v/>
      </c>
      <c r="BM1203" s="304" t="str">
        <f t="shared" si="741"/>
        <v/>
      </c>
      <c r="BN1203" s="28"/>
      <c r="BO1203" s="304" t="str">
        <f t="shared" si="742"/>
        <v/>
      </c>
      <c r="BP1203" s="304" t="str">
        <f t="shared" si="742"/>
        <v/>
      </c>
      <c r="BQ1203" s="28"/>
      <c r="BR1203" s="304" t="str">
        <f t="shared" si="743"/>
        <v/>
      </c>
      <c r="BS1203" s="304" t="str">
        <f t="shared" si="743"/>
        <v/>
      </c>
      <c r="BT1203" s="28"/>
      <c r="BU1203" s="304" t="str">
        <f t="shared" si="744"/>
        <v/>
      </c>
      <c r="BV1203" s="304" t="str">
        <f t="shared" si="744"/>
        <v/>
      </c>
      <c r="BW1203" s="28"/>
      <c r="BX1203" s="91"/>
    </row>
    <row r="1204" spans="1:76" s="55" customFormat="1" ht="12.95" customHeight="1" x14ac:dyDescent="0.25">
      <c r="A1204" s="359">
        <v>141</v>
      </c>
      <c r="B1204" s="216" t="str">
        <f t="shared" si="747"/>
        <v xml:space="preserve">: </v>
      </c>
      <c r="C1204" s="219"/>
      <c r="D1204" s="219"/>
      <c r="E1204" s="219"/>
      <c r="F1204" s="219"/>
      <c r="G1204" s="220"/>
      <c r="H1204" s="221"/>
      <c r="I1204" s="220"/>
      <c r="J1204" s="227"/>
      <c r="K1204" s="226"/>
      <c r="L1204" s="241"/>
      <c r="M1204" s="225" t="str">
        <f>CONCATENATE("t CO2-eq/ ",IF('[1]Advanced Controls'!$F$169="Implementation",AdoptionUnitOfMeasure,FunctionalUnitOfMeasure))</f>
        <v>t CO2-eq/ kg of protein</v>
      </c>
      <c r="N1204" s="227"/>
      <c r="O1204" s="241"/>
      <c r="P1204" s="122"/>
      <c r="Q1204" s="228"/>
      <c r="R1204" s="231" t="str">
        <f t="shared" si="750"/>
        <v/>
      </c>
      <c r="S1204" s="230" t="str">
        <f t="shared" si="748"/>
        <v/>
      </c>
      <c r="T1204" s="231" t="str">
        <f t="shared" si="746"/>
        <v/>
      </c>
      <c r="U1204" s="232" t="str">
        <f t="shared" si="749"/>
        <v>t CO2-eq/ kg of protein</v>
      </c>
      <c r="V1204" s="28"/>
      <c r="W1204" s="28"/>
      <c r="Y1204" s="91"/>
      <c r="AO1204" s="91"/>
      <c r="AP1204" s="28"/>
      <c r="AQ1204" s="28"/>
      <c r="AR1204" s="233" t="str">
        <f t="shared" si="733"/>
        <v>t CO2-eq/ kg of protein</v>
      </c>
      <c r="AS1204" s="28"/>
      <c r="AT1204" s="304" t="str">
        <f t="shared" si="745"/>
        <v/>
      </c>
      <c r="AU1204" s="304" t="str">
        <f t="shared" si="745"/>
        <v/>
      </c>
      <c r="AV1204" s="28"/>
      <c r="AW1204" s="304" t="str">
        <f t="shared" si="736"/>
        <v/>
      </c>
      <c r="AX1204" s="304" t="str">
        <f t="shared" si="736"/>
        <v/>
      </c>
      <c r="AY1204" s="28"/>
      <c r="AZ1204" s="304" t="str">
        <f t="shared" si="737"/>
        <v/>
      </c>
      <c r="BA1204" s="304" t="str">
        <f t="shared" si="737"/>
        <v/>
      </c>
      <c r="BB1204" s="28"/>
      <c r="BC1204" s="304" t="str">
        <f t="shared" si="738"/>
        <v/>
      </c>
      <c r="BD1204" s="304" t="str">
        <f t="shared" si="738"/>
        <v/>
      </c>
      <c r="BE1204" s="28"/>
      <c r="BF1204" s="304" t="str">
        <f t="shared" si="739"/>
        <v/>
      </c>
      <c r="BG1204" s="304" t="str">
        <f t="shared" si="739"/>
        <v/>
      </c>
      <c r="BH1204" s="28"/>
      <c r="BI1204" s="304" t="str">
        <f t="shared" si="740"/>
        <v/>
      </c>
      <c r="BJ1204" s="304" t="str">
        <f t="shared" si="740"/>
        <v/>
      </c>
      <c r="BK1204" s="28"/>
      <c r="BL1204" s="304" t="str">
        <f t="shared" si="741"/>
        <v/>
      </c>
      <c r="BM1204" s="304" t="str">
        <f t="shared" si="741"/>
        <v/>
      </c>
      <c r="BN1204" s="28"/>
      <c r="BO1204" s="304" t="str">
        <f t="shared" si="742"/>
        <v/>
      </c>
      <c r="BP1204" s="304" t="str">
        <f t="shared" si="742"/>
        <v/>
      </c>
      <c r="BQ1204" s="28"/>
      <c r="BR1204" s="304" t="str">
        <f t="shared" si="743"/>
        <v/>
      </c>
      <c r="BS1204" s="304" t="str">
        <f t="shared" si="743"/>
        <v/>
      </c>
      <c r="BT1204" s="28"/>
      <c r="BU1204" s="304" t="str">
        <f t="shared" si="744"/>
        <v/>
      </c>
      <c r="BV1204" s="304" t="str">
        <f t="shared" si="744"/>
        <v/>
      </c>
      <c r="BW1204" s="28"/>
      <c r="BX1204" s="91"/>
    </row>
    <row r="1205" spans="1:76" s="55" customFormat="1" x14ac:dyDescent="0.25">
      <c r="A1205" s="359">
        <v>142</v>
      </c>
      <c r="B1205" s="216" t="str">
        <f t="shared" si="747"/>
        <v xml:space="preserve">: </v>
      </c>
      <c r="C1205" s="219"/>
      <c r="D1205" s="219"/>
      <c r="E1205" s="219"/>
      <c r="F1205" s="219"/>
      <c r="G1205" s="220"/>
      <c r="H1205" s="221"/>
      <c r="I1205" s="220"/>
      <c r="J1205" s="227"/>
      <c r="K1205" s="226"/>
      <c r="L1205" s="241"/>
      <c r="M1205" s="225" t="str">
        <f>CONCATENATE("t CO2-eq/ ",IF('[1]Advanced Controls'!$F$169="Implementation",AdoptionUnitOfMeasure,FunctionalUnitOfMeasure))</f>
        <v>t CO2-eq/ kg of protein</v>
      </c>
      <c r="N1205" s="227"/>
      <c r="O1205" s="241"/>
      <c r="P1205" s="122"/>
      <c r="Q1205" s="228"/>
      <c r="R1205" s="231" t="str">
        <f t="shared" si="750"/>
        <v/>
      </c>
      <c r="S1205" s="230" t="str">
        <f t="shared" si="748"/>
        <v/>
      </c>
      <c r="T1205" s="231" t="str">
        <f t="shared" si="746"/>
        <v/>
      </c>
      <c r="U1205" s="232" t="str">
        <f t="shared" si="749"/>
        <v>t CO2-eq/ kg of protein</v>
      </c>
      <c r="V1205" s="28"/>
      <c r="W1205" s="28"/>
      <c r="Y1205" s="91"/>
      <c r="AO1205" s="91"/>
      <c r="AP1205" s="28"/>
      <c r="AQ1205" s="28"/>
      <c r="AR1205" s="233" t="str">
        <f t="shared" si="733"/>
        <v>t CO2-eq/ kg of protein</v>
      </c>
      <c r="AS1205" s="28"/>
      <c r="AT1205" s="304" t="str">
        <f t="shared" si="745"/>
        <v/>
      </c>
      <c r="AU1205" s="304" t="str">
        <f t="shared" si="745"/>
        <v/>
      </c>
      <c r="AV1205" s="28"/>
      <c r="AW1205" s="304" t="str">
        <f t="shared" si="736"/>
        <v/>
      </c>
      <c r="AX1205" s="304" t="str">
        <f t="shared" si="736"/>
        <v/>
      </c>
      <c r="AY1205" s="28"/>
      <c r="AZ1205" s="304" t="str">
        <f t="shared" si="737"/>
        <v/>
      </c>
      <c r="BA1205" s="304" t="str">
        <f t="shared" si="737"/>
        <v/>
      </c>
      <c r="BB1205" s="28"/>
      <c r="BC1205" s="304" t="str">
        <f t="shared" si="738"/>
        <v/>
      </c>
      <c r="BD1205" s="304" t="str">
        <f t="shared" si="738"/>
        <v/>
      </c>
      <c r="BE1205" s="28"/>
      <c r="BF1205" s="304" t="str">
        <f t="shared" si="739"/>
        <v/>
      </c>
      <c r="BG1205" s="304" t="str">
        <f t="shared" si="739"/>
        <v/>
      </c>
      <c r="BH1205" s="28"/>
      <c r="BI1205" s="304" t="str">
        <f t="shared" si="740"/>
        <v/>
      </c>
      <c r="BJ1205" s="304" t="str">
        <f t="shared" si="740"/>
        <v/>
      </c>
      <c r="BK1205" s="28"/>
      <c r="BL1205" s="304" t="str">
        <f t="shared" si="741"/>
        <v/>
      </c>
      <c r="BM1205" s="304" t="str">
        <f t="shared" si="741"/>
        <v/>
      </c>
      <c r="BN1205" s="28"/>
      <c r="BO1205" s="304" t="str">
        <f t="shared" si="742"/>
        <v/>
      </c>
      <c r="BP1205" s="304" t="str">
        <f t="shared" si="742"/>
        <v/>
      </c>
      <c r="BQ1205" s="28"/>
      <c r="BR1205" s="304" t="str">
        <f t="shared" si="743"/>
        <v/>
      </c>
      <c r="BS1205" s="304" t="str">
        <f t="shared" si="743"/>
        <v/>
      </c>
      <c r="BT1205" s="28"/>
      <c r="BU1205" s="304" t="str">
        <f t="shared" si="744"/>
        <v/>
      </c>
      <c r="BV1205" s="304" t="str">
        <f t="shared" si="744"/>
        <v/>
      </c>
      <c r="BW1205" s="28"/>
      <c r="BX1205" s="91"/>
    </row>
    <row r="1206" spans="1:76" s="55" customFormat="1" x14ac:dyDescent="0.25">
      <c r="A1206" s="359">
        <v>143</v>
      </c>
      <c r="B1206" s="216" t="str">
        <f t="shared" si="747"/>
        <v xml:space="preserve">: </v>
      </c>
      <c r="C1206" s="219"/>
      <c r="D1206" s="219"/>
      <c r="E1206" s="219"/>
      <c r="F1206" s="219"/>
      <c r="G1206" s="220"/>
      <c r="H1206" s="221"/>
      <c r="I1206" s="220"/>
      <c r="J1206" s="227"/>
      <c r="K1206" s="226"/>
      <c r="L1206" s="241"/>
      <c r="M1206" s="225" t="str">
        <f>CONCATENATE("t CO2-eq/ ",IF('[1]Advanced Controls'!$F$169="Implementation",AdoptionUnitOfMeasure,FunctionalUnitOfMeasure))</f>
        <v>t CO2-eq/ kg of protein</v>
      </c>
      <c r="N1206" s="227"/>
      <c r="O1206" s="241"/>
      <c r="P1206" s="122"/>
      <c r="Q1206" s="228"/>
      <c r="R1206" s="231" t="str">
        <f t="shared" si="750"/>
        <v/>
      </c>
      <c r="S1206" s="230" t="str">
        <f t="shared" si="748"/>
        <v/>
      </c>
      <c r="T1206" s="231" t="str">
        <f t="shared" si="746"/>
        <v/>
      </c>
      <c r="U1206" s="232" t="str">
        <f t="shared" si="749"/>
        <v>t CO2-eq/ kg of protein</v>
      </c>
      <c r="V1206" s="28"/>
      <c r="W1206" s="28"/>
      <c r="Y1206" s="91"/>
      <c r="AO1206" s="91"/>
      <c r="AP1206" s="28"/>
      <c r="AQ1206" s="28"/>
      <c r="AR1206" s="233" t="str">
        <f t="shared" si="733"/>
        <v>t CO2-eq/ kg of protein</v>
      </c>
      <c r="AS1206" s="28"/>
      <c r="AT1206" s="304" t="str">
        <f t="shared" si="745"/>
        <v/>
      </c>
      <c r="AU1206" s="304" t="str">
        <f t="shared" si="745"/>
        <v/>
      </c>
      <c r="AV1206" s="28"/>
      <c r="AW1206" s="304" t="str">
        <f t="shared" si="736"/>
        <v/>
      </c>
      <c r="AX1206" s="304" t="str">
        <f t="shared" si="736"/>
        <v/>
      </c>
      <c r="AY1206" s="28"/>
      <c r="AZ1206" s="304" t="str">
        <f t="shared" si="737"/>
        <v/>
      </c>
      <c r="BA1206" s="304" t="str">
        <f t="shared" si="737"/>
        <v/>
      </c>
      <c r="BB1206" s="28"/>
      <c r="BC1206" s="304" t="str">
        <f t="shared" si="738"/>
        <v/>
      </c>
      <c r="BD1206" s="304" t="str">
        <f t="shared" si="738"/>
        <v/>
      </c>
      <c r="BE1206" s="28"/>
      <c r="BF1206" s="304" t="str">
        <f t="shared" si="739"/>
        <v/>
      </c>
      <c r="BG1206" s="304" t="str">
        <f t="shared" si="739"/>
        <v/>
      </c>
      <c r="BH1206" s="28"/>
      <c r="BI1206" s="304" t="str">
        <f t="shared" si="740"/>
        <v/>
      </c>
      <c r="BJ1206" s="304" t="str">
        <f t="shared" si="740"/>
        <v/>
      </c>
      <c r="BK1206" s="28"/>
      <c r="BL1206" s="304" t="str">
        <f t="shared" si="741"/>
        <v/>
      </c>
      <c r="BM1206" s="304" t="str">
        <f t="shared" si="741"/>
        <v/>
      </c>
      <c r="BN1206" s="28"/>
      <c r="BO1206" s="304" t="str">
        <f t="shared" si="742"/>
        <v/>
      </c>
      <c r="BP1206" s="304" t="str">
        <f t="shared" si="742"/>
        <v/>
      </c>
      <c r="BQ1206" s="28"/>
      <c r="BR1206" s="304" t="str">
        <f t="shared" si="743"/>
        <v/>
      </c>
      <c r="BS1206" s="304" t="str">
        <f t="shared" si="743"/>
        <v/>
      </c>
      <c r="BT1206" s="28"/>
      <c r="BU1206" s="304" t="str">
        <f t="shared" si="744"/>
        <v/>
      </c>
      <c r="BV1206" s="304" t="str">
        <f t="shared" si="744"/>
        <v/>
      </c>
      <c r="BW1206" s="28"/>
      <c r="BX1206" s="91"/>
    </row>
    <row r="1207" spans="1:76" s="55" customFormat="1" x14ac:dyDescent="0.25">
      <c r="A1207" s="359">
        <v>144</v>
      </c>
      <c r="B1207" s="216" t="str">
        <f t="shared" si="747"/>
        <v xml:space="preserve">: </v>
      </c>
      <c r="C1207" s="219"/>
      <c r="D1207" s="219"/>
      <c r="E1207" s="219"/>
      <c r="F1207" s="219"/>
      <c r="G1207" s="220"/>
      <c r="H1207" s="221"/>
      <c r="I1207" s="220"/>
      <c r="J1207" s="227"/>
      <c r="K1207" s="226"/>
      <c r="L1207" s="241"/>
      <c r="M1207" s="225" t="str">
        <f>CONCATENATE("t CO2-eq/ ",IF('[1]Advanced Controls'!$F$169="Implementation",AdoptionUnitOfMeasure,FunctionalUnitOfMeasure))</f>
        <v>t CO2-eq/ kg of protein</v>
      </c>
      <c r="N1207" s="227"/>
      <c r="O1207" s="241"/>
      <c r="P1207" s="122"/>
      <c r="Q1207" s="228"/>
      <c r="R1207" s="231" t="str">
        <f t="shared" si="750"/>
        <v/>
      </c>
      <c r="S1207" s="230" t="str">
        <f t="shared" si="748"/>
        <v/>
      </c>
      <c r="T1207" s="231" t="str">
        <f t="shared" si="746"/>
        <v/>
      </c>
      <c r="U1207" s="232" t="str">
        <f t="shared" si="749"/>
        <v>t CO2-eq/ kg of protein</v>
      </c>
      <c r="V1207" s="28"/>
      <c r="W1207" s="28"/>
      <c r="Y1207" s="91"/>
      <c r="AO1207" s="91"/>
      <c r="AP1207" s="28"/>
      <c r="AQ1207" s="28"/>
      <c r="AR1207" s="233" t="str">
        <f t="shared" si="733"/>
        <v>t CO2-eq/ kg of protein</v>
      </c>
      <c r="AS1207" s="28"/>
      <c r="AT1207" s="304" t="str">
        <f t="shared" si="745"/>
        <v/>
      </c>
      <c r="AU1207" s="304" t="str">
        <f t="shared" si="745"/>
        <v/>
      </c>
      <c r="AV1207" s="28"/>
      <c r="AW1207" s="304" t="str">
        <f t="shared" si="736"/>
        <v/>
      </c>
      <c r="AX1207" s="304" t="str">
        <f t="shared" si="736"/>
        <v/>
      </c>
      <c r="AY1207" s="28"/>
      <c r="AZ1207" s="304" t="str">
        <f t="shared" si="737"/>
        <v/>
      </c>
      <c r="BA1207" s="304" t="str">
        <f t="shared" si="737"/>
        <v/>
      </c>
      <c r="BB1207" s="28"/>
      <c r="BC1207" s="304" t="str">
        <f t="shared" si="738"/>
        <v/>
      </c>
      <c r="BD1207" s="304" t="str">
        <f t="shared" si="738"/>
        <v/>
      </c>
      <c r="BE1207" s="28"/>
      <c r="BF1207" s="304" t="str">
        <f t="shared" si="739"/>
        <v/>
      </c>
      <c r="BG1207" s="304" t="str">
        <f t="shared" si="739"/>
        <v/>
      </c>
      <c r="BH1207" s="28"/>
      <c r="BI1207" s="304" t="str">
        <f t="shared" si="740"/>
        <v/>
      </c>
      <c r="BJ1207" s="304" t="str">
        <f t="shared" si="740"/>
        <v/>
      </c>
      <c r="BK1207" s="28"/>
      <c r="BL1207" s="304" t="str">
        <f t="shared" si="741"/>
        <v/>
      </c>
      <c r="BM1207" s="304" t="str">
        <f t="shared" si="741"/>
        <v/>
      </c>
      <c r="BN1207" s="28"/>
      <c r="BO1207" s="304" t="str">
        <f t="shared" si="742"/>
        <v/>
      </c>
      <c r="BP1207" s="304" t="str">
        <f t="shared" si="742"/>
        <v/>
      </c>
      <c r="BQ1207" s="28"/>
      <c r="BR1207" s="304" t="str">
        <f t="shared" si="743"/>
        <v/>
      </c>
      <c r="BS1207" s="304" t="str">
        <f t="shared" si="743"/>
        <v/>
      </c>
      <c r="BT1207" s="28"/>
      <c r="BU1207" s="304" t="str">
        <f t="shared" si="744"/>
        <v/>
      </c>
      <c r="BV1207" s="304" t="str">
        <f t="shared" si="744"/>
        <v/>
      </c>
      <c r="BW1207" s="28"/>
      <c r="BX1207" s="91"/>
    </row>
    <row r="1208" spans="1:76" s="55" customFormat="1" x14ac:dyDescent="0.25">
      <c r="A1208" s="359">
        <v>145</v>
      </c>
      <c r="B1208" s="216" t="str">
        <f t="shared" si="747"/>
        <v xml:space="preserve">: </v>
      </c>
      <c r="C1208" s="219"/>
      <c r="D1208" s="219"/>
      <c r="E1208" s="219"/>
      <c r="F1208" s="219"/>
      <c r="G1208" s="220"/>
      <c r="H1208" s="221"/>
      <c r="I1208" s="220"/>
      <c r="J1208" s="227"/>
      <c r="K1208" s="226"/>
      <c r="L1208" s="241"/>
      <c r="M1208" s="225" t="str">
        <f>CONCATENATE("t CO2-eq/ ",IF('[1]Advanced Controls'!$F$169="Implementation",AdoptionUnitOfMeasure,FunctionalUnitOfMeasure))</f>
        <v>t CO2-eq/ kg of protein</v>
      </c>
      <c r="N1208" s="227"/>
      <c r="O1208" s="241"/>
      <c r="P1208" s="122"/>
      <c r="Q1208" s="228"/>
      <c r="R1208" s="231" t="str">
        <f t="shared" si="750"/>
        <v/>
      </c>
      <c r="S1208" s="230" t="str">
        <f t="shared" si="748"/>
        <v/>
      </c>
      <c r="T1208" s="231" t="str">
        <f t="shared" si="746"/>
        <v/>
      </c>
      <c r="U1208" s="232" t="str">
        <f t="shared" si="749"/>
        <v>t CO2-eq/ kg of protein</v>
      </c>
      <c r="V1208" s="28"/>
      <c r="W1208" s="28"/>
      <c r="Y1208" s="91"/>
      <c r="AO1208" s="91"/>
      <c r="AP1208" s="28"/>
      <c r="AQ1208" s="28"/>
      <c r="AR1208" s="233" t="str">
        <f t="shared" si="733"/>
        <v>t CO2-eq/ kg of protein</v>
      </c>
      <c r="AS1208" s="28"/>
      <c r="AT1208" s="304" t="str">
        <f t="shared" si="745"/>
        <v/>
      </c>
      <c r="AU1208" s="304" t="str">
        <f t="shared" si="745"/>
        <v/>
      </c>
      <c r="AV1208" s="28"/>
      <c r="AW1208" s="304" t="str">
        <f t="shared" ref="AW1208:AX1220" si="751">IF($E1208=$AW$83,R1208,"")</f>
        <v/>
      </c>
      <c r="AX1208" s="304" t="str">
        <f t="shared" si="751"/>
        <v/>
      </c>
      <c r="AY1208" s="28"/>
      <c r="AZ1208" s="304" t="str">
        <f t="shared" ref="AZ1208:BA1220" si="752">IF($E1208=$AZ$83,R1208,"")</f>
        <v/>
      </c>
      <c r="BA1208" s="304" t="str">
        <f t="shared" si="752"/>
        <v/>
      </c>
      <c r="BB1208" s="28"/>
      <c r="BC1208" s="304" t="str">
        <f t="shared" ref="BC1208:BD1220" si="753">IF($E1208=$BC$83,R1208,"")</f>
        <v/>
      </c>
      <c r="BD1208" s="304" t="str">
        <f t="shared" si="753"/>
        <v/>
      </c>
      <c r="BE1208" s="28"/>
      <c r="BF1208" s="304" t="str">
        <f t="shared" ref="BF1208:BG1220" si="754">IF($E1208=$BF$83,R1208,"")</f>
        <v/>
      </c>
      <c r="BG1208" s="304" t="str">
        <f t="shared" si="754"/>
        <v/>
      </c>
      <c r="BH1208" s="28"/>
      <c r="BI1208" s="304" t="str">
        <f t="shared" ref="BI1208:BJ1220" si="755">IF($E1208=$BI$83,R1208,"")</f>
        <v/>
      </c>
      <c r="BJ1208" s="304" t="str">
        <f t="shared" si="755"/>
        <v/>
      </c>
      <c r="BK1208" s="28"/>
      <c r="BL1208" s="304" t="str">
        <f t="shared" ref="BL1208:BM1220" si="756">IF($E1208=$BL$83,R1208,"")</f>
        <v/>
      </c>
      <c r="BM1208" s="304" t="str">
        <f t="shared" si="756"/>
        <v/>
      </c>
      <c r="BN1208" s="28"/>
      <c r="BO1208" s="304" t="str">
        <f t="shared" ref="BO1208:BP1220" si="757">IF($E1208=$BO$83,R1208,"")</f>
        <v/>
      </c>
      <c r="BP1208" s="304" t="str">
        <f t="shared" si="757"/>
        <v/>
      </c>
      <c r="BQ1208" s="28"/>
      <c r="BR1208" s="304" t="str">
        <f t="shared" ref="BR1208:BS1220" si="758">IF($E1208=$BR$83,R1208,"")</f>
        <v/>
      </c>
      <c r="BS1208" s="304" t="str">
        <f t="shared" si="758"/>
        <v/>
      </c>
      <c r="BT1208" s="28"/>
      <c r="BU1208" s="304" t="str">
        <f t="shared" ref="BU1208:BV1220" si="759">IF($E1208=$BU$83,R1208,"")</f>
        <v/>
      </c>
      <c r="BV1208" s="304" t="str">
        <f t="shared" si="759"/>
        <v/>
      </c>
      <c r="BW1208" s="28"/>
      <c r="BX1208" s="91"/>
    </row>
    <row r="1209" spans="1:76" s="55" customFormat="1" x14ac:dyDescent="0.25">
      <c r="A1209" s="359">
        <v>146</v>
      </c>
      <c r="B1209" s="216" t="str">
        <f t="shared" si="747"/>
        <v xml:space="preserve">: </v>
      </c>
      <c r="C1209" s="219"/>
      <c r="D1209" s="219"/>
      <c r="E1209" s="219"/>
      <c r="F1209" s="219"/>
      <c r="G1209" s="220"/>
      <c r="H1209" s="221"/>
      <c r="I1209" s="220"/>
      <c r="J1209" s="227"/>
      <c r="K1209" s="226"/>
      <c r="L1209" s="241"/>
      <c r="M1209" s="225" t="str">
        <f>CONCATENATE("t CO2-eq/ ",IF('[1]Advanced Controls'!$F$169="Implementation",AdoptionUnitOfMeasure,FunctionalUnitOfMeasure))</f>
        <v>t CO2-eq/ kg of protein</v>
      </c>
      <c r="N1209" s="227"/>
      <c r="O1209" s="241"/>
      <c r="P1209" s="122"/>
      <c r="Q1209" s="228"/>
      <c r="R1209" s="231" t="str">
        <f t="shared" si="750"/>
        <v/>
      </c>
      <c r="S1209" s="230" t="str">
        <f t="shared" si="748"/>
        <v/>
      </c>
      <c r="T1209" s="231" t="str">
        <f t="shared" si="746"/>
        <v/>
      </c>
      <c r="U1209" s="232" t="str">
        <f t="shared" si="749"/>
        <v>t CO2-eq/ kg of protein</v>
      </c>
      <c r="V1209" s="28"/>
      <c r="W1209" s="28"/>
      <c r="Y1209" s="91"/>
      <c r="AO1209" s="91"/>
      <c r="AP1209" s="28"/>
      <c r="AQ1209" s="28"/>
      <c r="AR1209" s="233" t="str">
        <f t="shared" si="733"/>
        <v>t CO2-eq/ kg of protein</v>
      </c>
      <c r="AS1209" s="28"/>
      <c r="AT1209" s="304" t="str">
        <f t="shared" ref="AT1209:AU1221" si="760">IF($E1209=$AT$47,R1209,"")</f>
        <v/>
      </c>
      <c r="AU1209" s="304" t="str">
        <f t="shared" si="760"/>
        <v/>
      </c>
      <c r="AV1209" s="28"/>
      <c r="AW1209" s="304" t="str">
        <f t="shared" si="751"/>
        <v/>
      </c>
      <c r="AX1209" s="304" t="str">
        <f t="shared" si="751"/>
        <v/>
      </c>
      <c r="AY1209" s="28"/>
      <c r="AZ1209" s="304" t="str">
        <f t="shared" si="752"/>
        <v/>
      </c>
      <c r="BA1209" s="304" t="str">
        <f t="shared" si="752"/>
        <v/>
      </c>
      <c r="BB1209" s="28"/>
      <c r="BC1209" s="304" t="str">
        <f t="shared" si="753"/>
        <v/>
      </c>
      <c r="BD1209" s="304" t="str">
        <f t="shared" si="753"/>
        <v/>
      </c>
      <c r="BE1209" s="28"/>
      <c r="BF1209" s="304" t="str">
        <f t="shared" si="754"/>
        <v/>
      </c>
      <c r="BG1209" s="304" t="str">
        <f t="shared" si="754"/>
        <v/>
      </c>
      <c r="BH1209" s="28"/>
      <c r="BI1209" s="304" t="str">
        <f t="shared" si="755"/>
        <v/>
      </c>
      <c r="BJ1209" s="304" t="str">
        <f t="shared" si="755"/>
        <v/>
      </c>
      <c r="BK1209" s="28"/>
      <c r="BL1209" s="304" t="str">
        <f t="shared" si="756"/>
        <v/>
      </c>
      <c r="BM1209" s="304" t="str">
        <f t="shared" si="756"/>
        <v/>
      </c>
      <c r="BN1209" s="28"/>
      <c r="BO1209" s="304" t="str">
        <f t="shared" si="757"/>
        <v/>
      </c>
      <c r="BP1209" s="304" t="str">
        <f t="shared" si="757"/>
        <v/>
      </c>
      <c r="BQ1209" s="28"/>
      <c r="BR1209" s="304" t="str">
        <f t="shared" si="758"/>
        <v/>
      </c>
      <c r="BS1209" s="304" t="str">
        <f t="shared" si="758"/>
        <v/>
      </c>
      <c r="BT1209" s="28"/>
      <c r="BU1209" s="304" t="str">
        <f t="shared" si="759"/>
        <v/>
      </c>
      <c r="BV1209" s="304" t="str">
        <f t="shared" si="759"/>
        <v/>
      </c>
      <c r="BW1209" s="28"/>
      <c r="BX1209" s="91"/>
    </row>
    <row r="1210" spans="1:76" s="55" customFormat="1" x14ac:dyDescent="0.25">
      <c r="A1210" s="359"/>
      <c r="B1210" s="244" t="s">
        <v>163</v>
      </c>
      <c r="C1210" s="392"/>
      <c r="D1210" s="392"/>
      <c r="E1210" s="392"/>
      <c r="F1210" s="392"/>
      <c r="G1210" s="122"/>
      <c r="H1210" s="28"/>
      <c r="I1210" s="245"/>
      <c r="J1210" s="122"/>
      <c r="K1210" s="122"/>
      <c r="L1210" s="122" t="s">
        <v>134</v>
      </c>
      <c r="M1210" s="122"/>
      <c r="N1210" s="122"/>
      <c r="O1210" s="122"/>
      <c r="P1210" s="122"/>
      <c r="Q1210" s="305" t="s">
        <v>136</v>
      </c>
      <c r="R1210" s="246">
        <f>AVERAGE(R1064:R1209)</f>
        <v>2.8102435108924129E-2</v>
      </c>
      <c r="S1210" s="247">
        <f>IF(R1218="Y",SUM(S1064:S1209)/SUMPRODUCT(N1064:N1209,--ISNUMBER(S1064:S1209)),AVERAGE(S1064:S1209))</f>
        <v>2.3905054123741214E-2</v>
      </c>
      <c r="T1210" s="248" t="e">
        <f>SUM(T1064:T1209)/SUMPRODUCT(N1064:N1209,--ISNUMBER(T1064:T1209))</f>
        <v>#DIV/0!</v>
      </c>
      <c r="U1210" s="28"/>
      <c r="V1210" s="28"/>
      <c r="W1210" s="28"/>
      <c r="Y1210" s="249"/>
      <c r="AO1210" s="91"/>
      <c r="AP1210" s="28"/>
      <c r="AQ1210" s="28"/>
      <c r="AR1210" s="28"/>
      <c r="AS1210" s="245" t="s">
        <v>136</v>
      </c>
      <c r="AT1210" s="307">
        <f>AVERAGE(AT1064:AT1209)</f>
        <v>3.8548639644065401E-2</v>
      </c>
      <c r="AU1210" s="307">
        <f>SUM(AU1064:AU1209)/COUNTIF(AU1064:AU1209,"&gt;0")</f>
        <v>3.8548639644065401E-2</v>
      </c>
      <c r="AV1210" s="245"/>
      <c r="AW1210" s="307">
        <f>AVERAGE(AW1064:AW1209)</f>
        <v>1.7382103719568144E-2</v>
      </c>
      <c r="AX1210" s="307">
        <f>SUM(AX1064:AX1209)/COUNTIF(AX1064:AX1209,"&gt;0")</f>
        <v>1.7382103719568144E-2</v>
      </c>
      <c r="AY1210" s="28"/>
      <c r="AZ1210" s="307">
        <f>AVERAGE(AZ1064:AZ1209)</f>
        <v>1.7057497559248652E-2</v>
      </c>
      <c r="BA1210" s="307">
        <f>SUM(BA1064:BA1209)/COUNTIF(BA1064:BA1209,"&gt;0")</f>
        <v>1.7057497559248652E-2</v>
      </c>
      <c r="BB1210" s="28"/>
      <c r="BC1210" s="307">
        <f>AVERAGE(BC1064:BC1209)</f>
        <v>3.7084120749688296E-2</v>
      </c>
      <c r="BD1210" s="307">
        <f>SUM(BD1064:BD1209)/COUNTIF(BD1064:BD1209,"&gt;0")</f>
        <v>3.7084120749688296E-2</v>
      </c>
      <c r="BE1210" s="28"/>
      <c r="BF1210" s="307">
        <f>AVERAGE(BF1064:BF1209)</f>
        <v>1.1739630834829972E-2</v>
      </c>
      <c r="BG1210" s="307">
        <f>SUM(BG1064:BG1209)/COUNTIF(BG1064:BG1209,"&gt;0")</f>
        <v>1.1739630834829972E-2</v>
      </c>
      <c r="BH1210" s="28"/>
      <c r="BI1210" s="307">
        <f>AVERAGE(BI1064:BI1209)</f>
        <v>8.1310974611010653E-2</v>
      </c>
      <c r="BJ1210" s="307">
        <f>SUM(BJ1064:BJ1209)/COUNTIF(BJ1064:BJ1209,"&gt;0")</f>
        <v>4.1367395683107301E-2</v>
      </c>
      <c r="BK1210" s="245"/>
      <c r="BL1210" s="307" t="e">
        <f>AVERAGE(BL1064:BL1209)</f>
        <v>#DIV/0!</v>
      </c>
      <c r="BM1210" s="307" t="e">
        <f>SUM(BM1064:BM1209)/COUNTIF(BM1064:BM1209,"&gt;0")</f>
        <v>#DIV/0!</v>
      </c>
      <c r="BN1210" s="28"/>
      <c r="BO1210" s="307" t="e">
        <f>AVERAGE(BO1064:BO1209)</f>
        <v>#DIV/0!</v>
      </c>
      <c r="BP1210" s="307" t="e">
        <f>SUM(BP1064:BP1209)/COUNTIF(BP1064:BP1209,"&gt;0")</f>
        <v>#DIV/0!</v>
      </c>
      <c r="BQ1210" s="28"/>
      <c r="BR1210" s="307" t="e">
        <f>AVERAGE(BR1064:BR1209)</f>
        <v>#DIV/0!</v>
      </c>
      <c r="BS1210" s="307" t="e">
        <f>SUM(BS1064:BS1209)/COUNTIF(BS1064:BS1209,"&gt;0")</f>
        <v>#DIV/0!</v>
      </c>
      <c r="BT1210" s="28"/>
      <c r="BU1210" s="307" t="e">
        <f>AVERAGE(BU1064:BU1209)</f>
        <v>#DIV/0!</v>
      </c>
      <c r="BV1210" s="307" t="e">
        <f>SUM(BV1064:BV1209)/COUNTIF(BV1064:BV1209,"&gt;0")</f>
        <v>#DIV/0!</v>
      </c>
      <c r="BW1210" s="28"/>
      <c r="BX1210" s="91"/>
    </row>
    <row r="1211" spans="1:76" s="55" customFormat="1" x14ac:dyDescent="0.25">
      <c r="A1211" s="359"/>
      <c r="B1211" s="244" t="s">
        <v>164</v>
      </c>
      <c r="C1211" s="199" t="s">
        <v>139</v>
      </c>
      <c r="D1211" s="252" t="s">
        <v>689</v>
      </c>
      <c r="E1211" s="253"/>
      <c r="F1211" s="253"/>
      <c r="G1211" s="253"/>
      <c r="H1211" s="253"/>
      <c r="I1211" s="253"/>
      <c r="J1211" s="254"/>
      <c r="K1211" s="122"/>
      <c r="L1211" s="122"/>
      <c r="M1211" s="122"/>
      <c r="N1211" s="122"/>
      <c r="O1211" s="122"/>
      <c r="P1211" s="122"/>
      <c r="Q1211" s="306" t="s">
        <v>144</v>
      </c>
      <c r="R1211" s="257">
        <f>R1210+U1211*R1214</f>
        <v>6.7213570481526264E-2</v>
      </c>
      <c r="S1211" s="257">
        <f>S1210+U1211*S1214</f>
        <v>4.5590934227105806E-2</v>
      </c>
      <c r="T1211" s="257" t="e">
        <f>T1210+U1211*T1214</f>
        <v>#DIV/0!</v>
      </c>
      <c r="U1211" s="258">
        <v>1</v>
      </c>
      <c r="V1211" s="122" t="s">
        <v>142</v>
      </c>
      <c r="W1211" s="28"/>
      <c r="X1211" s="259" t="s">
        <v>143</v>
      </c>
      <c r="Y1211" s="260"/>
      <c r="AO1211" s="91"/>
      <c r="AP1211" s="28"/>
      <c r="AQ1211" s="28"/>
      <c r="AR1211" s="28"/>
      <c r="AS1211" s="256" t="s">
        <v>144</v>
      </c>
      <c r="AT1211" s="261">
        <f>AT1210+(AT1216*AT1213)</f>
        <v>7.5725552481871877E-2</v>
      </c>
      <c r="AU1211" s="261">
        <f>AU1210+(AU1216*AT1213)</f>
        <v>7.5725552481871877E-2</v>
      </c>
      <c r="AV1211" s="256"/>
      <c r="AW1211" s="261">
        <f>AW1210+(AW1216*AW1213)</f>
        <v>2.2214688434095325E-2</v>
      </c>
      <c r="AX1211" s="261">
        <f>AX1210+(AX1216*AW1213)</f>
        <v>2.2214688434095325E-2</v>
      </c>
      <c r="AY1211" s="28"/>
      <c r="AZ1211" s="261">
        <f>AZ1210+(AZ1216*AZ1213)</f>
        <v>2.5620297001528125E-2</v>
      </c>
      <c r="BA1211" s="261">
        <f>BA1210+(BA1216*AZ1213)</f>
        <v>2.5620297001528125E-2</v>
      </c>
      <c r="BB1211" s="28"/>
      <c r="BC1211" s="261">
        <f>BC1210+(BC1216*BC1213)</f>
        <v>5.400724452173826E-2</v>
      </c>
      <c r="BD1211" s="261">
        <f>BD1210+(BD1216*BC1213)</f>
        <v>5.400724452173826E-2</v>
      </c>
      <c r="BE1211" s="28"/>
      <c r="BF1211" s="261">
        <f>BF1210+(BF1216*BF1213)</f>
        <v>1.8718720513912296E-2</v>
      </c>
      <c r="BG1211" s="261">
        <f>BG1210+(BG1216*BF1213)</f>
        <v>1.8718720513912296E-2</v>
      </c>
      <c r="BH1211" s="28"/>
      <c r="BI1211" s="261">
        <f>BI1210+(BI1216*BI1213)</f>
        <v>0.18321423380581997</v>
      </c>
      <c r="BJ1211" s="261">
        <f>BJ1210+(BJ1216*BI1213)</f>
        <v>8.5757140515959285E-2</v>
      </c>
      <c r="BK1211" s="256"/>
      <c r="BL1211" s="261" t="e">
        <f>BL1210+(BL1216*BL1213)</f>
        <v>#DIV/0!</v>
      </c>
      <c r="BM1211" s="261" t="e">
        <f>BM1210+(BM1216*BL1213)</f>
        <v>#DIV/0!</v>
      </c>
      <c r="BN1211" s="28"/>
      <c r="BO1211" s="261" t="e">
        <f>BO1210+(BO1216*BO1213)</f>
        <v>#DIV/0!</v>
      </c>
      <c r="BP1211" s="261" t="e">
        <f>BP1210+(BP1216*BO1213)</f>
        <v>#DIV/0!</v>
      </c>
      <c r="BQ1211" s="28"/>
      <c r="BR1211" s="261" t="e">
        <f>BR1210+(BR1216*BR1213)</f>
        <v>#DIV/0!</v>
      </c>
      <c r="BS1211" s="261" t="e">
        <f>BS1210+(BS1216*BR1213)</f>
        <v>#DIV/0!</v>
      </c>
      <c r="BT1211" s="28"/>
      <c r="BU1211" s="261" t="e">
        <f>BU1210+(BU1216*BU1213)</f>
        <v>#DIV/0!</v>
      </c>
      <c r="BV1211" s="261" t="e">
        <f>BV1210+(BV1216*BU1213)</f>
        <v>#DIV/0!</v>
      </c>
      <c r="BW1211" s="28"/>
      <c r="BX1211" s="91"/>
    </row>
    <row r="1212" spans="1:76" s="55" customFormat="1" x14ac:dyDescent="0.25">
      <c r="A1212" s="359"/>
      <c r="B1212" s="244" t="s">
        <v>165</v>
      </c>
      <c r="C1212" s="195"/>
      <c r="D1212" s="263"/>
      <c r="E1212" s="264"/>
      <c r="F1212" s="264"/>
      <c r="G1212" s="264"/>
      <c r="H1212" s="264"/>
      <c r="I1212" s="264"/>
      <c r="J1212" s="265"/>
      <c r="K1212" s="28"/>
      <c r="L1212" s="28"/>
      <c r="M1212" s="122"/>
      <c r="N1212" s="122"/>
      <c r="O1212" s="122"/>
      <c r="P1212" s="122"/>
      <c r="Q1212" s="306" t="s">
        <v>150</v>
      </c>
      <c r="R1212" s="257">
        <f>IF($X1212="Y",MIN(R1064:R1209),R1210-$U1212*R1214)</f>
        <v>-1.1008700263678006E-2</v>
      </c>
      <c r="S1212" s="257">
        <f t="shared" ref="S1212:T1212" si="761">IF($X1212="Y",MIN(S1064:S1209),S1210-$U1212*S1214)</f>
        <v>2.2191740203766214E-3</v>
      </c>
      <c r="T1212" s="257" t="e">
        <f t="shared" si="761"/>
        <v>#DIV/0!</v>
      </c>
      <c r="U1212" s="258">
        <v>1</v>
      </c>
      <c r="V1212" s="122" t="s">
        <v>148</v>
      </c>
      <c r="W1212" s="28"/>
      <c r="X1212" s="266" t="s">
        <v>149</v>
      </c>
      <c r="Y1212" s="260"/>
      <c r="AO1212" s="91"/>
      <c r="AP1212" s="28"/>
      <c r="AQ1212" s="28"/>
      <c r="AR1212" s="28"/>
      <c r="AS1212" s="256" t="s">
        <v>150</v>
      </c>
      <c r="AT1212" s="261">
        <f>AT1210-(AT1216*AT1214)</f>
        <v>1.3717268062589175E-3</v>
      </c>
      <c r="AU1212" s="261">
        <f>AU1210-(AU1216*AT1214)</f>
        <v>1.3717268062589175E-3</v>
      </c>
      <c r="AV1212" s="256"/>
      <c r="AW1212" s="261">
        <f>AW1210-(AW1216*AW1214)</f>
        <v>1.2549519005040963E-2</v>
      </c>
      <c r="AX1212" s="261">
        <f>AX1210-(AX1216*AW1214)</f>
        <v>1.2549519005040963E-2</v>
      </c>
      <c r="AY1212" s="28"/>
      <c r="AZ1212" s="261">
        <f>AZ1210-(AZ1216*AZ1214)</f>
        <v>8.4946981169691776E-3</v>
      </c>
      <c r="BA1212" s="261">
        <f>BA1210-(BA1216*AZ1214)</f>
        <v>8.4946981169691776E-3</v>
      </c>
      <c r="BB1212" s="28"/>
      <c r="BC1212" s="261">
        <f>BC1210-(BC1216*BC1214)</f>
        <v>2.0160996977638328E-2</v>
      </c>
      <c r="BD1212" s="261">
        <f>BD1210-(BD1216*BC1214)</f>
        <v>2.0160996977638328E-2</v>
      </c>
      <c r="BE1212" s="28"/>
      <c r="BF1212" s="261">
        <f>BF1210-(BF1216*BF1214)</f>
        <v>4.7605411557476484E-3</v>
      </c>
      <c r="BG1212" s="261">
        <f>BG1210-(BG1216*BF1214)</f>
        <v>4.7605411557476484E-3</v>
      </c>
      <c r="BH1212" s="28"/>
      <c r="BI1212" s="261">
        <f>BI1210-(BI1216*BI1214)</f>
        <v>-2.0592284583798665E-2</v>
      </c>
      <c r="BJ1212" s="261">
        <f>BJ1210-(BJ1216*BI1214)</f>
        <v>-3.0223491497446756E-3</v>
      </c>
      <c r="BK1212" s="256"/>
      <c r="BL1212" s="261" t="e">
        <f>BL1210-(BL1216*BL1214)</f>
        <v>#DIV/0!</v>
      </c>
      <c r="BM1212" s="261" t="e">
        <f>BM1210-(BM1216*BL1214)</f>
        <v>#DIV/0!</v>
      </c>
      <c r="BN1212" s="28"/>
      <c r="BO1212" s="261" t="e">
        <f>BO1210-(BO1216*BO1214)</f>
        <v>#DIV/0!</v>
      </c>
      <c r="BP1212" s="261" t="e">
        <f>BP1210-(BP1216*BO1214)</f>
        <v>#DIV/0!</v>
      </c>
      <c r="BQ1212" s="28"/>
      <c r="BR1212" s="261" t="e">
        <f>BR1210-(BR1216*BR1214)</f>
        <v>#DIV/0!</v>
      </c>
      <c r="BS1212" s="261" t="e">
        <f>BS1210-(BS1216*BR1214)</f>
        <v>#DIV/0!</v>
      </c>
      <c r="BT1212" s="28"/>
      <c r="BU1212" s="261" t="e">
        <f>BU1210-(BU1216*BU1214)</f>
        <v>#DIV/0!</v>
      </c>
      <c r="BV1212" s="261" t="e">
        <f>BV1210-(BV1216*BU1214)</f>
        <v>#DIV/0!</v>
      </c>
      <c r="BW1212" s="28"/>
      <c r="BX1212" s="91"/>
    </row>
    <row r="1213" spans="1:76" s="55" customFormat="1" ht="14.25" x14ac:dyDescent="0.2">
      <c r="A1213" s="359"/>
      <c r="B1213" s="389"/>
      <c r="C1213" s="195"/>
      <c r="D1213" s="263"/>
      <c r="E1213" s="264"/>
      <c r="F1213" s="264"/>
      <c r="G1213" s="264"/>
      <c r="H1213" s="264"/>
      <c r="I1213" s="264"/>
      <c r="J1213" s="265"/>
      <c r="K1213" s="122"/>
      <c r="L1213" s="122"/>
      <c r="M1213" s="122"/>
      <c r="N1213" s="122"/>
      <c r="O1213" s="122"/>
      <c r="P1213" s="122"/>
      <c r="Q1213" s="306" t="s">
        <v>151</v>
      </c>
      <c r="R1213" s="257" t="str">
        <f>IF((0.67*R1214)&gt;R1210,"no","yes")</f>
        <v>yes</v>
      </c>
      <c r="S1213" s="257" t="str">
        <f>IF((0.67*S1214)&gt;S1210,"no","yes")</f>
        <v>yes</v>
      </c>
      <c r="T1213" s="257" t="e">
        <f>IF((0.67*T1214)&gt;T1210,"no","yes")</f>
        <v>#DIV/0!</v>
      </c>
      <c r="U1213" s="122"/>
      <c r="V1213" s="122"/>
      <c r="W1213" s="122"/>
      <c r="Y1213" s="260"/>
      <c r="AO1213" s="91"/>
      <c r="AP1213" s="122"/>
      <c r="AQ1213" s="122"/>
      <c r="AR1213" s="267" t="s">
        <v>152</v>
      </c>
      <c r="AS1213" s="268"/>
      <c r="AT1213" s="258">
        <v>1</v>
      </c>
      <c r="AU1213" s="122"/>
      <c r="AV1213" s="308"/>
      <c r="AW1213" s="258">
        <v>1</v>
      </c>
      <c r="AX1213" s="122"/>
      <c r="AY1213" s="122"/>
      <c r="AZ1213" s="258">
        <v>1</v>
      </c>
      <c r="BA1213" s="122"/>
      <c r="BB1213" s="122"/>
      <c r="BC1213" s="258">
        <v>1</v>
      </c>
      <c r="BD1213" s="122"/>
      <c r="BE1213" s="122"/>
      <c r="BF1213" s="258">
        <v>1</v>
      </c>
      <c r="BG1213" s="122"/>
      <c r="BH1213" s="122"/>
      <c r="BI1213" s="258">
        <v>1</v>
      </c>
      <c r="BJ1213" s="122"/>
      <c r="BK1213" s="256"/>
      <c r="BL1213" s="258">
        <v>1</v>
      </c>
      <c r="BM1213" s="122"/>
      <c r="BN1213" s="122"/>
      <c r="BO1213" s="258">
        <v>1</v>
      </c>
      <c r="BP1213" s="122"/>
      <c r="BQ1213" s="122"/>
      <c r="BR1213" s="258">
        <v>1</v>
      </c>
      <c r="BS1213" s="122"/>
      <c r="BT1213" s="122"/>
      <c r="BU1213" s="258">
        <v>1</v>
      </c>
      <c r="BV1213" s="122"/>
      <c r="BW1213" s="122"/>
      <c r="BX1213" s="91"/>
    </row>
    <row r="1214" spans="1:76" s="55" customFormat="1" ht="28.5" x14ac:dyDescent="0.2">
      <c r="B1214" s="23"/>
      <c r="C1214" s="195"/>
      <c r="D1214" s="263"/>
      <c r="E1214" s="264"/>
      <c r="F1214" s="264"/>
      <c r="G1214" s="264"/>
      <c r="H1214" s="264"/>
      <c r="I1214" s="264"/>
      <c r="J1214" s="265"/>
      <c r="K1214" s="122"/>
      <c r="L1214" s="122"/>
      <c r="M1214" s="122"/>
      <c r="N1214" s="122"/>
      <c r="O1214" s="122"/>
      <c r="P1214" s="122"/>
      <c r="Q1214" s="306" t="s">
        <v>157</v>
      </c>
      <c r="R1214" s="257">
        <f>IF(COUNT(R1064:R1209)&gt;1,_xlfn.STDEV.S(R1064:R1209),0)</f>
        <v>3.9111135372602135E-2</v>
      </c>
      <c r="S1214" s="257">
        <f t="array" ref="S1214">IF(R1218="Y",SQRT(SUM(IFERROR(N1064:N1209*(R1064:R1209-(S1210))^2,0))/((COUNT(S1064:S1209)-1)/COUNT(S1064:S1209)*SUMPRODUCT(N1064:N1209,--ISNUMBER(S1064:S1209)))),_xlfn.STDEV.S(S1064:S1209))</f>
        <v>2.1685880103364592E-2</v>
      </c>
      <c r="T1214" s="257" t="e">
        <f t="array" ref="T1214">SQRT(SUM(IFERROR(N1064:N1209*(R1064:R1209-(T1210))^2,0))/((COUNT(T1064:T1209)-1)/COUNT(T1064:T1209)*SUMPRODUCT(N1064:N1209,--ISNUMBER(T1064:T1209))))</f>
        <v>#DIV/0!</v>
      </c>
      <c r="U1214" s="122"/>
      <c r="V1214" s="122"/>
      <c r="W1214" s="122"/>
      <c r="Y1214" s="260"/>
      <c r="AO1214" s="91"/>
      <c r="AP1214" s="122"/>
      <c r="AQ1214" s="122"/>
      <c r="AR1214" s="267"/>
      <c r="AS1214" s="268"/>
      <c r="AT1214" s="258">
        <v>1</v>
      </c>
      <c r="AU1214" s="122"/>
      <c r="AV1214" s="308"/>
      <c r="AW1214" s="258">
        <v>1</v>
      </c>
      <c r="AX1214" s="122"/>
      <c r="AY1214" s="122"/>
      <c r="AZ1214" s="258">
        <v>1</v>
      </c>
      <c r="BA1214" s="122"/>
      <c r="BB1214" s="122"/>
      <c r="BC1214" s="258">
        <v>1</v>
      </c>
      <c r="BD1214" s="122"/>
      <c r="BE1214" s="122"/>
      <c r="BF1214" s="258">
        <v>1</v>
      </c>
      <c r="BG1214" s="122"/>
      <c r="BH1214" s="122"/>
      <c r="BI1214" s="258">
        <v>1</v>
      </c>
      <c r="BJ1214" s="122"/>
      <c r="BK1214" s="256"/>
      <c r="BL1214" s="258">
        <v>1</v>
      </c>
      <c r="BM1214" s="122"/>
      <c r="BN1214" s="122"/>
      <c r="BO1214" s="258">
        <v>1</v>
      </c>
      <c r="BP1214" s="122"/>
      <c r="BQ1214" s="122"/>
      <c r="BR1214" s="258">
        <v>1</v>
      </c>
      <c r="BS1214" s="122"/>
      <c r="BT1214" s="122"/>
      <c r="BU1214" s="258">
        <v>1</v>
      </c>
      <c r="BV1214" s="122"/>
      <c r="BW1214" s="122"/>
      <c r="BX1214" s="91"/>
    </row>
    <row r="1215" spans="1:76" s="55" customFormat="1" ht="15" customHeight="1" x14ac:dyDescent="0.25">
      <c r="B1215" s="23"/>
      <c r="C1215" s="195"/>
      <c r="D1215" s="263"/>
      <c r="E1215" s="264"/>
      <c r="F1215" s="264"/>
      <c r="G1215" s="264"/>
      <c r="H1215" s="264"/>
      <c r="I1215" s="264"/>
      <c r="J1215" s="265"/>
      <c r="K1215" s="122"/>
      <c r="L1215" s="122"/>
      <c r="M1215" s="122"/>
      <c r="N1215" s="122"/>
      <c r="O1215" s="122"/>
      <c r="P1215" s="122"/>
      <c r="Q1215" s="309" t="s">
        <v>159</v>
      </c>
      <c r="R1215" s="310">
        <f>COUNT(R1064:R1209)</f>
        <v>113</v>
      </c>
      <c r="S1215" s="310">
        <f>COUNT(S1064:S1209)</f>
        <v>111</v>
      </c>
      <c r="T1215" s="118"/>
      <c r="U1215" s="273" t="s">
        <v>155</v>
      </c>
      <c r="V1215" s="122"/>
      <c r="W1215" s="122"/>
      <c r="Y1215" s="91"/>
      <c r="AO1215" s="91"/>
      <c r="AP1215" s="122"/>
      <c r="AQ1215" s="122"/>
      <c r="AR1215" s="122"/>
      <c r="AS1215" s="256" t="s">
        <v>151</v>
      </c>
      <c r="AT1215" s="261" t="str">
        <f>IF((0.67*AT1216)&gt;AT1210,"no","yes")</f>
        <v>yes</v>
      </c>
      <c r="AU1215" s="261" t="str">
        <f>IF((0.67*AU1216)&gt;AU1210,"no","yes")</f>
        <v>yes</v>
      </c>
      <c r="AV1215" s="256"/>
      <c r="AW1215" s="261" t="str">
        <f>IF((0.67*AW1216)&gt;AW1210,"no","yes")</f>
        <v>yes</v>
      </c>
      <c r="AX1215" s="261" t="str">
        <f>IF((0.67*AX1216)&gt;AX1210,"no","yes")</f>
        <v>yes</v>
      </c>
      <c r="AY1215" s="122"/>
      <c r="AZ1215" s="261" t="str">
        <f>IF((0.67*AZ1216)&gt;AZ1210,"no","yes")</f>
        <v>yes</v>
      </c>
      <c r="BA1215" s="261" t="str">
        <f>IF((0.67*BA1216)&gt;BA1210,"no","yes")</f>
        <v>yes</v>
      </c>
      <c r="BB1215" s="122"/>
      <c r="BC1215" s="261" t="str">
        <f>IF((0.67*BC1216)&gt;BC1210,"no","yes")</f>
        <v>yes</v>
      </c>
      <c r="BD1215" s="261" t="str">
        <f>IF((0.67*BD1216)&gt;BD1210,"no","yes")</f>
        <v>yes</v>
      </c>
      <c r="BE1215" s="122"/>
      <c r="BF1215" s="261" t="str">
        <f>IF((0.67*BF1216)&gt;BF1210,"no","yes")</f>
        <v>yes</v>
      </c>
      <c r="BG1215" s="261" t="str">
        <f>IF((0.67*BG1216)&gt;BG1210,"no","yes")</f>
        <v>yes</v>
      </c>
      <c r="BH1215" s="122"/>
      <c r="BI1215" s="261" t="str">
        <f>IF((0.67*BI1216)&gt;BI1210,"no","yes")</f>
        <v>yes</v>
      </c>
      <c r="BJ1215" s="261" t="str">
        <f>IF((0.67*BJ1216)&gt;BJ1210,"no","yes")</f>
        <v>yes</v>
      </c>
      <c r="BK1215" s="133"/>
      <c r="BL1215" s="261" t="e">
        <f>IF((0.67*BL1216)&gt;BL1210,"no","yes")</f>
        <v>#DIV/0!</v>
      </c>
      <c r="BM1215" s="261" t="e">
        <f>IF((0.67*BM1216)&gt;BM1210,"no","yes")</f>
        <v>#DIV/0!</v>
      </c>
      <c r="BN1215" s="122"/>
      <c r="BO1215" s="261" t="e">
        <f>IF((0.67*BO1216)&gt;BO1210,"no","yes")</f>
        <v>#DIV/0!</v>
      </c>
      <c r="BP1215" s="261" t="e">
        <f>IF((0.67*BP1216)&gt;BP1210,"no","yes")</f>
        <v>#DIV/0!</v>
      </c>
      <c r="BQ1215" s="122"/>
      <c r="BR1215" s="261" t="e">
        <f>IF((0.67*BR1216)&gt;BR1210,"no","yes")</f>
        <v>#DIV/0!</v>
      </c>
      <c r="BS1215" s="261" t="e">
        <f>IF((0.67*BS1216)&gt;BS1210,"no","yes")</f>
        <v>#DIV/0!</v>
      </c>
      <c r="BT1215" s="122"/>
      <c r="BU1215" s="261" t="e">
        <f>IF((0.67*BU1216)&gt;BU1210,"no","yes")</f>
        <v>#DIV/0!</v>
      </c>
      <c r="BV1215" s="261" t="e">
        <f>IF((0.67*BV1216)&gt;BV1210,"no","yes")</f>
        <v>#DIV/0!</v>
      </c>
      <c r="BW1215" s="122"/>
      <c r="BX1215" s="91"/>
    </row>
    <row r="1216" spans="1:76" s="55" customFormat="1" ht="14.25" x14ac:dyDescent="0.2">
      <c r="B1216" s="23"/>
      <c r="C1216" s="195"/>
      <c r="D1216" s="263"/>
      <c r="E1216" s="264"/>
      <c r="F1216" s="264"/>
      <c r="G1216" s="264"/>
      <c r="H1216" s="264"/>
      <c r="I1216" s="264"/>
      <c r="J1216" s="265"/>
      <c r="K1216" s="122"/>
      <c r="L1216" s="122"/>
      <c r="M1216" s="122"/>
      <c r="N1216" s="122"/>
      <c r="O1216" s="122"/>
      <c r="P1216" s="122"/>
      <c r="Q1216" s="311"/>
      <c r="R1216" s="122"/>
      <c r="S1216" s="122"/>
      <c r="T1216" s="122"/>
      <c r="U1216" s="274"/>
      <c r="V1216" s="275"/>
      <c r="W1216" s="276"/>
      <c r="Y1216" s="91"/>
      <c r="AO1216" s="91"/>
      <c r="AP1216" s="122"/>
      <c r="AQ1216" s="122"/>
      <c r="AR1216" s="122"/>
      <c r="AS1216" s="256" t="s">
        <v>157</v>
      </c>
      <c r="AT1216" s="261">
        <f>IF(AT1217&gt;1,_xlfn.STDEV.S(AT1064:AT1209),0)</f>
        <v>3.7176912837806483E-2</v>
      </c>
      <c r="AU1216" s="261">
        <f>IF(AU1217&gt;1,_xlfn.STDEV.S(AU1064:AU1209),0)</f>
        <v>3.7176912837806483E-2</v>
      </c>
      <c r="AV1216" s="122"/>
      <c r="AW1216" s="261">
        <f t="shared" ref="AW1216:AX1216" si="762">IF(AW1217&gt;1,_xlfn.STDEV.S(AW1064:AW1209),0)</f>
        <v>4.8325847145271814E-3</v>
      </c>
      <c r="AX1216" s="261">
        <f t="shared" si="762"/>
        <v>4.8325847145271814E-3</v>
      </c>
      <c r="AY1216" s="122"/>
      <c r="AZ1216" s="261">
        <f t="shared" ref="AZ1216:BA1216" si="763">IF(AZ1217&gt;1,_xlfn.STDEV.S(AZ1064:AZ1209),0)</f>
        <v>8.5627994422794746E-3</v>
      </c>
      <c r="BA1216" s="261">
        <f t="shared" si="763"/>
        <v>8.5627994422794746E-3</v>
      </c>
      <c r="BB1216" s="122"/>
      <c r="BC1216" s="261">
        <f t="shared" ref="BC1216:BD1216" si="764">IF(BC1217&gt;1,_xlfn.STDEV.S(BC1064:BC1209),0)</f>
        <v>1.6923123772049967E-2</v>
      </c>
      <c r="BD1216" s="261">
        <f t="shared" si="764"/>
        <v>1.6923123772049967E-2</v>
      </c>
      <c r="BE1216" s="122"/>
      <c r="BF1216" s="261">
        <f t="shared" ref="BF1216:BG1216" si="765">IF(BF1217&gt;1,_xlfn.STDEV.S(BF1064:BF1209),0)</f>
        <v>6.9790896790823233E-3</v>
      </c>
      <c r="BG1216" s="261">
        <f t="shared" si="765"/>
        <v>6.9790896790823233E-3</v>
      </c>
      <c r="BH1216" s="122"/>
      <c r="BI1216" s="261">
        <f t="shared" ref="BI1216:BJ1216" si="766">IF(BI1217&gt;1,_xlfn.STDEV.S(BI1064:BI1209),0)</f>
        <v>0.10190325919480932</v>
      </c>
      <c r="BJ1216" s="261">
        <f t="shared" si="766"/>
        <v>4.4389744832851977E-2</v>
      </c>
      <c r="BK1216" s="122"/>
      <c r="BL1216" s="261">
        <f t="shared" ref="BL1216:BM1216" si="767">IF(BL1217&gt;1,_xlfn.STDEV.S(BL1064:BL1209),0)</f>
        <v>0</v>
      </c>
      <c r="BM1216" s="261">
        <f t="shared" si="767"/>
        <v>0</v>
      </c>
      <c r="BN1216" s="122"/>
      <c r="BO1216" s="261">
        <f t="shared" ref="BO1216:BP1216" si="768">IF(BO1217&gt;1,_xlfn.STDEV.S(BO1064:BO1209),0)</f>
        <v>0</v>
      </c>
      <c r="BP1216" s="261">
        <f t="shared" si="768"/>
        <v>0</v>
      </c>
      <c r="BQ1216" s="122"/>
      <c r="BR1216" s="261">
        <f t="shared" ref="BR1216:BS1216" si="769">IF(BR1217&gt;1,_xlfn.STDEV.S(BR1064:BR1209),0)</f>
        <v>0</v>
      </c>
      <c r="BS1216" s="261">
        <f t="shared" si="769"/>
        <v>0</v>
      </c>
      <c r="BT1216" s="122"/>
      <c r="BU1216" s="261">
        <f t="shared" ref="BU1216:BV1216" si="770">IF(BU1217&gt;1,_xlfn.STDEV.S(BU1064:BU1209),0)</f>
        <v>0</v>
      </c>
      <c r="BV1216" s="261">
        <f t="shared" si="770"/>
        <v>0</v>
      </c>
      <c r="BW1216" s="122"/>
      <c r="BX1216" s="91"/>
    </row>
    <row r="1217" spans="1:76" s="55" customFormat="1" x14ac:dyDescent="0.2">
      <c r="B1217" s="23"/>
      <c r="C1217" s="122"/>
      <c r="D1217" s="277"/>
      <c r="E1217" s="278"/>
      <c r="F1217" s="278"/>
      <c r="G1217" s="278"/>
      <c r="H1217" s="278"/>
      <c r="I1217" s="278"/>
      <c r="J1217" s="279"/>
      <c r="Q1217" s="81"/>
      <c r="R1217" s="280" t="s">
        <v>158</v>
      </c>
      <c r="T1217" s="122"/>
      <c r="U1217" s="281"/>
      <c r="V1217" s="282"/>
      <c r="W1217" s="283"/>
      <c r="Y1217" s="91"/>
      <c r="AO1217" s="91"/>
      <c r="AP1217" s="122"/>
      <c r="AQ1217" s="122"/>
      <c r="AR1217" s="122"/>
      <c r="AS1217" s="133" t="s">
        <v>159</v>
      </c>
      <c r="AT1217" s="284">
        <f>COUNT(AT1064:AT1209)</f>
        <v>11</v>
      </c>
      <c r="AU1217" s="284">
        <f>COUNT(AU1064:AU1209)</f>
        <v>11</v>
      </c>
      <c r="AV1217" s="122"/>
      <c r="AW1217" s="284">
        <f t="shared" ref="AW1217:AX1217" si="771">COUNT(AW1064:AW1209)</f>
        <v>33</v>
      </c>
      <c r="AX1217" s="284">
        <f t="shared" si="771"/>
        <v>33</v>
      </c>
      <c r="AY1217" s="122"/>
      <c r="AZ1217" s="284">
        <f t="shared" ref="AZ1217:BA1217" si="772">COUNT(AZ1064:AZ1209)</f>
        <v>18</v>
      </c>
      <c r="BA1217" s="284">
        <f t="shared" si="772"/>
        <v>18</v>
      </c>
      <c r="BB1217" s="122"/>
      <c r="BC1217" s="284">
        <f t="shared" ref="BC1217:BD1217" si="773">COUNT(BC1064:BC1209)</f>
        <v>20</v>
      </c>
      <c r="BD1217" s="284">
        <f t="shared" si="773"/>
        <v>20</v>
      </c>
      <c r="BE1217" s="122"/>
      <c r="BF1217" s="284">
        <f t="shared" ref="BF1217:BG1217" si="774">COUNT(BF1064:BF1209)</f>
        <v>20</v>
      </c>
      <c r="BG1217" s="284">
        <f t="shared" si="774"/>
        <v>20</v>
      </c>
      <c r="BH1217" s="122"/>
      <c r="BI1217" s="284">
        <f t="shared" ref="BI1217:BJ1217" si="775">COUNT(BI1064:BI1209)</f>
        <v>11</v>
      </c>
      <c r="BJ1217" s="284">
        <f t="shared" si="775"/>
        <v>9</v>
      </c>
      <c r="BK1217" s="122"/>
      <c r="BL1217" s="284">
        <f t="shared" ref="BL1217:BM1217" si="776">COUNT(BL1064:BL1209)</f>
        <v>0</v>
      </c>
      <c r="BM1217" s="284">
        <f t="shared" si="776"/>
        <v>0</v>
      </c>
      <c r="BN1217" s="122"/>
      <c r="BO1217" s="284">
        <f t="shared" ref="BO1217:BP1217" si="777">COUNT(BO1064:BO1209)</f>
        <v>0</v>
      </c>
      <c r="BP1217" s="284">
        <f t="shared" si="777"/>
        <v>0</v>
      </c>
      <c r="BQ1217" s="122"/>
      <c r="BR1217" s="284">
        <f t="shared" ref="BR1217:BS1217" si="778">COUNT(BR1064:BR1209)</f>
        <v>0</v>
      </c>
      <c r="BS1217" s="284">
        <f t="shared" si="778"/>
        <v>0</v>
      </c>
      <c r="BT1217" s="122"/>
      <c r="BU1217" s="284">
        <f t="shared" ref="BU1217:BV1217" si="779">COUNT(BU1064:BU1209)</f>
        <v>0</v>
      </c>
      <c r="BV1217" s="284">
        <f t="shared" si="779"/>
        <v>0</v>
      </c>
      <c r="BW1217" s="122"/>
      <c r="BX1217" s="91"/>
    </row>
    <row r="1218" spans="1:76" s="55" customFormat="1" ht="14.25" x14ac:dyDescent="0.2">
      <c r="B1218" s="23"/>
      <c r="C1218" s="122"/>
      <c r="D1218" s="314"/>
      <c r="E1218" s="314"/>
      <c r="F1218" s="314"/>
      <c r="G1218" s="314"/>
      <c r="H1218" s="314"/>
      <c r="I1218" s="314"/>
      <c r="J1218" s="314"/>
      <c r="Q1218" s="81"/>
      <c r="R1218" s="287" t="s">
        <v>149</v>
      </c>
      <c r="T1218" s="122"/>
      <c r="U1218" s="281"/>
      <c r="V1218" s="282"/>
      <c r="W1218" s="283"/>
      <c r="Y1218" s="91"/>
      <c r="AO1218" s="91"/>
      <c r="BX1218" s="91"/>
    </row>
    <row r="1219" spans="1:76" s="55" customFormat="1" ht="14.25" x14ac:dyDescent="0.2">
      <c r="B1219" s="23"/>
      <c r="C1219" s="122"/>
      <c r="D1219" s="314"/>
      <c r="E1219" s="314"/>
      <c r="F1219" s="314"/>
      <c r="G1219" s="314"/>
      <c r="H1219" s="314"/>
      <c r="I1219" s="314"/>
      <c r="J1219" s="314"/>
      <c r="Q1219" s="81"/>
      <c r="T1219" s="122"/>
      <c r="U1219" s="288"/>
      <c r="V1219" s="289"/>
      <c r="W1219" s="290"/>
      <c r="Y1219" s="91"/>
      <c r="AO1219" s="91"/>
      <c r="BX1219" s="91"/>
    </row>
    <row r="1220" spans="1:76" s="55" customFormat="1" ht="18" x14ac:dyDescent="0.25">
      <c r="B1220" s="23"/>
      <c r="C1220" s="122"/>
      <c r="D1220" s="314"/>
      <c r="E1220" s="314"/>
      <c r="F1220" s="314"/>
      <c r="G1220" s="314"/>
      <c r="H1220" s="314"/>
      <c r="I1220" s="314"/>
      <c r="J1220" s="314"/>
      <c r="Q1220" s="81"/>
      <c r="T1220" s="122"/>
      <c r="U1220" s="122"/>
      <c r="V1220" s="122"/>
      <c r="W1220" s="122"/>
      <c r="Y1220" s="91"/>
      <c r="AO1220" s="296"/>
      <c r="AP1220" s="345"/>
      <c r="AQ1220" s="345"/>
      <c r="AR1220" s="346"/>
      <c r="AS1220" s="346"/>
      <c r="AT1220" s="346"/>
      <c r="AU1220" s="346"/>
      <c r="AV1220" s="346"/>
      <c r="AW1220" s="346"/>
      <c r="AX1220" s="346"/>
      <c r="AY1220" s="346"/>
      <c r="AZ1220" s="346"/>
      <c r="BA1220" s="346"/>
      <c r="BB1220" s="346"/>
      <c r="BC1220" s="346"/>
      <c r="BD1220" s="346"/>
      <c r="BE1220" s="346"/>
      <c r="BF1220" s="346"/>
      <c r="BG1220" s="346"/>
      <c r="BH1220" s="346"/>
      <c r="BI1220" s="346"/>
      <c r="BJ1220" s="346"/>
      <c r="BK1220" s="346"/>
      <c r="BL1220" s="346"/>
      <c r="BM1220" s="346"/>
      <c r="BN1220" s="346"/>
      <c r="BO1220" s="346"/>
      <c r="BP1220" s="346"/>
      <c r="BQ1220" s="346"/>
      <c r="BR1220" s="346"/>
      <c r="BS1220" s="346"/>
      <c r="BT1220" s="346"/>
      <c r="BU1220" s="346"/>
      <c r="BV1220" s="346"/>
      <c r="BW1220" s="346"/>
      <c r="BX1220" s="296"/>
    </row>
    <row r="1221" spans="1:76" s="55" customFormat="1" ht="14.25" x14ac:dyDescent="0.2">
      <c r="B1221" s="23"/>
      <c r="C1221" s="122"/>
      <c r="D1221" s="314"/>
      <c r="E1221" s="314"/>
      <c r="F1221" s="314"/>
      <c r="G1221" s="314"/>
      <c r="H1221" s="314"/>
      <c r="I1221" s="314"/>
      <c r="J1221" s="314"/>
      <c r="Q1221" s="81"/>
      <c r="Y1221" s="91"/>
      <c r="AO1221" s="91"/>
      <c r="BT1221" s="359"/>
      <c r="BX1221" s="91"/>
    </row>
    <row r="1222" spans="1:76" s="55" customFormat="1" ht="14.25" x14ac:dyDescent="0.2">
      <c r="B1222" s="23"/>
      <c r="C1222" s="122"/>
      <c r="D1222" s="314"/>
      <c r="E1222" s="314"/>
      <c r="F1222" s="314"/>
      <c r="G1222" s="314"/>
      <c r="H1222" s="314"/>
      <c r="I1222" s="314"/>
      <c r="J1222" s="314"/>
      <c r="Q1222" s="81"/>
      <c r="Y1222" s="91"/>
      <c r="AO1222" s="91"/>
      <c r="BT1222" s="359"/>
      <c r="BX1222" s="91"/>
    </row>
    <row r="1223" spans="1:76" s="9" customFormat="1" ht="18" x14ac:dyDescent="0.25">
      <c r="A1223" s="188">
        <f>A1061+1</f>
        <v>20</v>
      </c>
      <c r="B1223" s="189"/>
      <c r="C1223" s="293" t="s">
        <v>690</v>
      </c>
      <c r="D1223" s="191"/>
      <c r="E1223" s="191"/>
      <c r="F1223" s="191"/>
      <c r="G1223" s="191"/>
      <c r="H1223" s="192"/>
      <c r="I1223" s="192"/>
      <c r="J1223" s="191"/>
      <c r="K1223" s="191"/>
      <c r="L1223" s="192"/>
      <c r="M1223" s="192"/>
      <c r="N1223" s="192"/>
      <c r="O1223" s="192"/>
      <c r="P1223" s="192"/>
      <c r="Q1223" s="294"/>
      <c r="R1223" s="194" t="s">
        <v>93</v>
      </c>
      <c r="S1223" s="194"/>
      <c r="T1223" s="194"/>
      <c r="U1223" s="194"/>
      <c r="V1223" s="192"/>
      <c r="W1223" s="192"/>
      <c r="AP1223" s="175">
        <f>A1223</f>
        <v>20</v>
      </c>
      <c r="AQ1223" s="175" t="str">
        <f>C1223</f>
        <v>Indirect CO2 Emissions per SOLUTION Implementation Unit (Select on Advanced Controls)</v>
      </c>
    </row>
    <row r="1224" spans="1:76" s="55" customFormat="1" x14ac:dyDescent="0.25">
      <c r="A1224" s="195"/>
      <c r="B1224" s="196"/>
      <c r="C1224" s="195"/>
      <c r="D1224" s="120"/>
      <c r="E1224" s="120"/>
      <c r="F1224" s="120"/>
      <c r="G1224" s="120"/>
      <c r="H1224" s="122"/>
      <c r="I1224" s="122"/>
      <c r="J1224" s="120"/>
      <c r="K1224" s="120"/>
      <c r="L1224" s="122"/>
      <c r="M1224" s="122"/>
      <c r="N1224" s="122"/>
      <c r="O1224" s="122"/>
      <c r="P1224" s="122"/>
      <c r="Q1224" s="311"/>
      <c r="R1224" s="122"/>
      <c r="S1224" s="122"/>
      <c r="T1224" s="122"/>
      <c r="U1224" s="122"/>
      <c r="V1224" s="122"/>
      <c r="W1224" s="122"/>
      <c r="Y1224" s="91"/>
      <c r="AO1224" s="91"/>
      <c r="AP1224" s="28"/>
      <c r="AQ1224" s="28"/>
      <c r="AR1224" s="28"/>
      <c r="AS1224" s="28"/>
      <c r="AT1224" s="198" t="s">
        <v>171</v>
      </c>
      <c r="AU1224" s="198"/>
      <c r="AV1224" s="28"/>
      <c r="AW1224" s="198" t="s">
        <v>96</v>
      </c>
      <c r="AX1224" s="198"/>
      <c r="AY1224" s="28"/>
      <c r="AZ1224" s="198" t="s">
        <v>97</v>
      </c>
      <c r="BA1224" s="198"/>
      <c r="BB1224" s="28"/>
      <c r="BC1224" s="198" t="s">
        <v>98</v>
      </c>
      <c r="BD1224" s="198"/>
      <c r="BE1224" s="28"/>
      <c r="BF1224" s="198" t="s">
        <v>99</v>
      </c>
      <c r="BG1224" s="198"/>
      <c r="BH1224" s="28"/>
      <c r="BI1224" s="198" t="s">
        <v>100</v>
      </c>
      <c r="BJ1224" s="198"/>
      <c r="BK1224" s="28"/>
      <c r="BL1224" s="198" t="s">
        <v>101</v>
      </c>
      <c r="BM1224" s="198"/>
      <c r="BN1224" s="28"/>
      <c r="BO1224" s="198" t="s">
        <v>102</v>
      </c>
      <c r="BP1224" s="198"/>
      <c r="BQ1224" s="28"/>
      <c r="BR1224" s="198" t="s">
        <v>103</v>
      </c>
      <c r="BS1224" s="198"/>
      <c r="BT1224" s="28"/>
      <c r="BU1224" s="198" t="s">
        <v>104</v>
      </c>
      <c r="BV1224" s="198"/>
      <c r="BW1224" s="28"/>
      <c r="BX1224" s="91"/>
    </row>
    <row r="1225" spans="1:76" s="55" customFormat="1" ht="30.75" thickBot="1" x14ac:dyDescent="0.3">
      <c r="A1225" s="199" t="s">
        <v>105</v>
      </c>
      <c r="B1225" s="200" t="s">
        <v>106</v>
      </c>
      <c r="C1225" s="201" t="s">
        <v>107</v>
      </c>
      <c r="D1225" s="202" t="s">
        <v>108</v>
      </c>
      <c r="E1225" s="202" t="s">
        <v>109</v>
      </c>
      <c r="F1225" s="201" t="s">
        <v>110</v>
      </c>
      <c r="G1225" s="201" t="s">
        <v>111</v>
      </c>
      <c r="H1225" s="202" t="s">
        <v>112</v>
      </c>
      <c r="I1225" s="203" t="s">
        <v>113</v>
      </c>
      <c r="J1225" s="204" t="s">
        <v>114</v>
      </c>
      <c r="K1225" s="205" t="s">
        <v>115</v>
      </c>
      <c r="L1225" s="206" t="s">
        <v>116</v>
      </c>
      <c r="M1225" s="207" t="s">
        <v>117</v>
      </c>
      <c r="N1225" s="208" t="s">
        <v>118</v>
      </c>
      <c r="O1225" s="207" t="s">
        <v>119</v>
      </c>
      <c r="P1225" s="210"/>
      <c r="Q1225" s="211" t="s">
        <v>120</v>
      </c>
      <c r="R1225" s="212" t="s">
        <v>121</v>
      </c>
      <c r="S1225" s="212" t="s">
        <v>122</v>
      </c>
      <c r="T1225" s="212" t="s">
        <v>123</v>
      </c>
      <c r="U1225" s="213" t="s">
        <v>124</v>
      </c>
      <c r="V1225" s="210"/>
      <c r="W1225" s="210"/>
      <c r="Y1225" s="91"/>
      <c r="AO1225" s="91"/>
      <c r="AP1225" s="210"/>
      <c r="AQ1225" s="210"/>
      <c r="AR1225" s="213" t="s">
        <v>125</v>
      </c>
      <c r="AS1225" s="210"/>
      <c r="AT1225" s="215" t="s">
        <v>121</v>
      </c>
      <c r="AU1225" s="215" t="s">
        <v>122</v>
      </c>
      <c r="AV1225" s="210"/>
      <c r="AW1225" s="215" t="s">
        <v>121</v>
      </c>
      <c r="AX1225" s="215" t="s">
        <v>122</v>
      </c>
      <c r="AY1225" s="210"/>
      <c r="AZ1225" s="215" t="s">
        <v>121</v>
      </c>
      <c r="BA1225" s="215" t="s">
        <v>122</v>
      </c>
      <c r="BB1225" s="210"/>
      <c r="BC1225" s="215" t="s">
        <v>121</v>
      </c>
      <c r="BD1225" s="215" t="s">
        <v>122</v>
      </c>
      <c r="BE1225" s="210"/>
      <c r="BF1225" s="215" t="s">
        <v>121</v>
      </c>
      <c r="BG1225" s="215" t="s">
        <v>122</v>
      </c>
      <c r="BH1225" s="210"/>
      <c r="BI1225" s="215" t="s">
        <v>121</v>
      </c>
      <c r="BJ1225" s="215" t="s">
        <v>122</v>
      </c>
      <c r="BK1225" s="210"/>
      <c r="BL1225" s="215" t="s">
        <v>121</v>
      </c>
      <c r="BM1225" s="215" t="s">
        <v>122</v>
      </c>
      <c r="BN1225" s="210"/>
      <c r="BO1225" s="215" t="s">
        <v>121</v>
      </c>
      <c r="BP1225" s="215" t="s">
        <v>122</v>
      </c>
      <c r="BQ1225" s="210"/>
      <c r="BR1225" s="215" t="s">
        <v>121</v>
      </c>
      <c r="BS1225" s="215" t="s">
        <v>122</v>
      </c>
      <c r="BT1225" s="210"/>
      <c r="BU1225" s="215" t="s">
        <v>121</v>
      </c>
      <c r="BV1225" s="215" t="s">
        <v>122</v>
      </c>
      <c r="BW1225" s="210"/>
      <c r="BX1225" s="91"/>
    </row>
    <row r="1226" spans="1:76" s="55" customFormat="1" ht="15.75" x14ac:dyDescent="0.25">
      <c r="A1226" s="195">
        <v>1</v>
      </c>
      <c r="B1226" s="216" t="str">
        <f t="shared" ref="B1226:B1227" si="780">CONCATENATE(E1226,": ",C1226)</f>
        <v>Asia (Sans Japan): FAO. 2017. Reducing Enteric Methane for improving food security and livelihoods</v>
      </c>
      <c r="C1226" s="219" t="s">
        <v>488</v>
      </c>
      <c r="D1226" s="381" t="s">
        <v>235</v>
      </c>
      <c r="E1226" s="219" t="s">
        <v>98</v>
      </c>
      <c r="F1226" s="330" t="s">
        <v>236</v>
      </c>
      <c r="G1226" s="220" t="s">
        <v>26</v>
      </c>
      <c r="H1226" s="221">
        <v>2017</v>
      </c>
      <c r="I1226" s="220"/>
      <c r="J1226" s="377">
        <v>12.7</v>
      </c>
      <c r="K1226" s="382" t="s">
        <v>489</v>
      </c>
      <c r="L1226" s="383">
        <f>(J1226*0.001*0.177)/0.032</f>
        <v>7.0246874999999986E-2</v>
      </c>
      <c r="M1226" s="225" t="str">
        <f>CONCATENATE("t CO2-eq/ ",IF('[1]Advanced Controls'!$F$169="Implementation",AdoptionUnitOfMeasure,FunctionalUnitOfMeasure))</f>
        <v>t CO2-eq/ kg of protein</v>
      </c>
      <c r="N1226" s="227"/>
      <c r="O1226" s="227" t="s">
        <v>691</v>
      </c>
      <c r="P1226" s="122"/>
      <c r="Q1226" s="228"/>
      <c r="R1226" s="231">
        <f>IF(Q1226="Y","",IF(AND(L1226="",J1226=""),"",IF(L1226="",J1226,L1226)))</f>
        <v>7.0246874999999986E-2</v>
      </c>
      <c r="S1226" s="230">
        <f t="shared" ref="S1226:S1289" si="781">IF(R1226="","",IF($R$1433="Y",T1226,IF(R1226&gt;=$R$1425-$AA$35*$R$1429,IF(R1226&lt;=$R$1425+$AA$35*$R$1429,R1226,""),"")))</f>
        <v>7.0246874999999986E-2</v>
      </c>
      <c r="T1226" s="231" t="str">
        <f>IF(OR(Q1226="Y",IFERROR(R1226&gt;R1321+R1325*$AA$35,0),IFERROR(R1226&lt;R1321-R1325*$AA$35,0)),"",IFERROR(R1226*N1226,""))</f>
        <v/>
      </c>
      <c r="U1226" s="232" t="str">
        <f t="shared" ref="U1226:U1289" si="782">IF(AND(M1226="",K1226=""),"",IF(M1226="",K1226,M1226))</f>
        <v>t CO2-eq/ kg of protein</v>
      </c>
      <c r="V1226" s="28"/>
      <c r="W1226" s="28"/>
      <c r="Y1226" s="91"/>
      <c r="AO1226" s="91"/>
      <c r="AP1226" s="28"/>
      <c r="AQ1226" s="28"/>
      <c r="AR1226" s="233" t="str">
        <f>$U1226</f>
        <v>t CO2-eq/ kg of protein</v>
      </c>
      <c r="AS1226" s="28"/>
      <c r="AT1226" s="304" t="str">
        <f>IF($E1226=$AT$47,R1226,"")</f>
        <v/>
      </c>
      <c r="AU1226" s="304" t="str">
        <f>IF($E1226=$AT$47,S1226,"")</f>
        <v/>
      </c>
      <c r="AV1226" s="28"/>
      <c r="AW1226" s="304" t="str">
        <f t="shared" ref="AW1226:AX1314" si="783">IF($E1226=$AW$83,R1226,"")</f>
        <v/>
      </c>
      <c r="AX1226" s="304" t="str">
        <f t="shared" si="783"/>
        <v/>
      </c>
      <c r="AY1226" s="28"/>
      <c r="AZ1226" s="304" t="str">
        <f t="shared" ref="AZ1226:BA1314" si="784">IF($E1226=$AZ$83,R1226,"")</f>
        <v/>
      </c>
      <c r="BA1226" s="304" t="str">
        <f t="shared" si="784"/>
        <v/>
      </c>
      <c r="BB1226" s="28"/>
      <c r="BC1226" s="304">
        <f t="shared" ref="BC1226:BD1314" si="785">IF($E1226=$BC$83,R1226,"")</f>
        <v>7.0246874999999986E-2</v>
      </c>
      <c r="BD1226" s="304">
        <f t="shared" si="785"/>
        <v>7.0246874999999986E-2</v>
      </c>
      <c r="BE1226" s="28"/>
      <c r="BF1226" s="304" t="str">
        <f t="shared" ref="BF1226:BG1314" si="786">IF($E1226=$BF$83,R1226,"")</f>
        <v/>
      </c>
      <c r="BG1226" s="304" t="str">
        <f t="shared" si="786"/>
        <v/>
      </c>
      <c r="BH1226" s="28"/>
      <c r="BI1226" s="304" t="str">
        <f t="shared" ref="BI1226:BJ1314" si="787">IF($E1226=$BI$83,R1226,"")</f>
        <v/>
      </c>
      <c r="BJ1226" s="304" t="str">
        <f t="shared" si="787"/>
        <v/>
      </c>
      <c r="BK1226" s="28"/>
      <c r="BL1226" s="304" t="str">
        <f t="shared" ref="BL1226:BM1314" si="788">IF($E1226=$BL$83,R1226,"")</f>
        <v/>
      </c>
      <c r="BM1226" s="304" t="str">
        <f t="shared" si="788"/>
        <v/>
      </c>
      <c r="BN1226" s="28"/>
      <c r="BO1226" s="304" t="str">
        <f t="shared" ref="BO1226:BP1314" si="789">IF($E1226=$BO$83,R1226,"")</f>
        <v/>
      </c>
      <c r="BP1226" s="304" t="str">
        <f t="shared" si="789"/>
        <v/>
      </c>
      <c r="BQ1226" s="28"/>
      <c r="BR1226" s="304" t="str">
        <f t="shared" ref="BR1226:BS1314" si="790">IF($E1226=$BR$83,R1226,"")</f>
        <v/>
      </c>
      <c r="BS1226" s="304" t="str">
        <f t="shared" si="790"/>
        <v/>
      </c>
      <c r="BT1226" s="28"/>
      <c r="BU1226" s="304" t="str">
        <f t="shared" ref="BU1226:BV1314" si="791">IF($E1226=$BU$83,R1226,"")</f>
        <v/>
      </c>
      <c r="BV1226" s="304" t="str">
        <f t="shared" si="791"/>
        <v/>
      </c>
      <c r="BW1226" s="28"/>
      <c r="BX1226" s="91"/>
    </row>
    <row r="1227" spans="1:76" s="55" customFormat="1" x14ac:dyDescent="0.25">
      <c r="A1227" s="195">
        <v>2</v>
      </c>
      <c r="B1227" s="216" t="str">
        <f t="shared" si="780"/>
        <v>Asia (Sans Japan): FAO. 2017. Reducing Enteric Methane for improving food security and livelihoods</v>
      </c>
      <c r="C1227" s="219" t="s">
        <v>488</v>
      </c>
      <c r="D1227" s="379" t="s">
        <v>235</v>
      </c>
      <c r="E1227" s="219" t="s">
        <v>98</v>
      </c>
      <c r="F1227" s="330" t="s">
        <v>236</v>
      </c>
      <c r="G1227" s="220" t="s">
        <v>26</v>
      </c>
      <c r="H1227" s="221">
        <v>2017</v>
      </c>
      <c r="I1227" s="220"/>
      <c r="J1227" s="377">
        <v>5.6</v>
      </c>
      <c r="K1227" s="382" t="s">
        <v>489</v>
      </c>
      <c r="L1227" s="383">
        <f t="shared" ref="L1227:L1229" si="792">(J1227*0.001*0.177)/0.032</f>
        <v>3.0974999999999999E-2</v>
      </c>
      <c r="M1227" s="225" t="str">
        <f>CONCATENATE("t CO2-eq/ ",IF('[1]Advanced Controls'!$F$169="Implementation",AdoptionUnitOfMeasure,FunctionalUnitOfMeasure))</f>
        <v>t CO2-eq/ kg of protein</v>
      </c>
      <c r="N1227" s="227"/>
      <c r="O1227" s="227" t="s">
        <v>692</v>
      </c>
      <c r="P1227" s="122"/>
      <c r="Q1227" s="228"/>
      <c r="R1227" s="231">
        <f t="shared" ref="R1227:R1290" si="793">IF(Q1227="Y","",IF(AND(L1227="",J1227=""),"",IF(L1227="",J1227,L1227)))</f>
        <v>3.0974999999999999E-2</v>
      </c>
      <c r="S1227" s="230">
        <f t="shared" si="781"/>
        <v>3.0974999999999999E-2</v>
      </c>
      <c r="T1227" s="231" t="str">
        <f>IF(OR(Q1227="Y",IFERROR(R1227&gt;R1321+R1325*$AA$35,0),IFERROR(R1227&lt;R1321-R1325*$AA$35,0)),"",IFERROR(R1227*N1227,""))</f>
        <v/>
      </c>
      <c r="U1227" s="232" t="str">
        <f t="shared" si="782"/>
        <v>t CO2-eq/ kg of protein</v>
      </c>
      <c r="V1227" s="28"/>
      <c r="W1227" s="28"/>
      <c r="Y1227" s="91"/>
      <c r="AO1227" s="91"/>
      <c r="AP1227" s="28"/>
      <c r="AQ1227" s="28"/>
      <c r="AR1227" s="237"/>
      <c r="AS1227" s="28"/>
      <c r="AT1227" s="304" t="str">
        <f t="shared" ref="AT1227:AU1314" si="794">IF($E1227=$AT$47,R1227,"")</f>
        <v/>
      </c>
      <c r="AU1227" s="304" t="str">
        <f t="shared" si="794"/>
        <v/>
      </c>
      <c r="AV1227" s="28"/>
      <c r="AW1227" s="304" t="str">
        <f t="shared" si="783"/>
        <v/>
      </c>
      <c r="AX1227" s="304" t="str">
        <f t="shared" si="783"/>
        <v/>
      </c>
      <c r="AY1227" s="28"/>
      <c r="AZ1227" s="304" t="str">
        <f t="shared" si="784"/>
        <v/>
      </c>
      <c r="BA1227" s="304" t="str">
        <f t="shared" si="784"/>
        <v/>
      </c>
      <c r="BB1227" s="28"/>
      <c r="BC1227" s="304">
        <f t="shared" si="785"/>
        <v>3.0974999999999999E-2</v>
      </c>
      <c r="BD1227" s="304">
        <f t="shared" si="785"/>
        <v>3.0974999999999999E-2</v>
      </c>
      <c r="BE1227" s="28"/>
      <c r="BF1227" s="304" t="str">
        <f t="shared" si="786"/>
        <v/>
      </c>
      <c r="BG1227" s="304" t="str">
        <f t="shared" si="786"/>
        <v/>
      </c>
      <c r="BH1227" s="28"/>
      <c r="BI1227" s="304" t="str">
        <f t="shared" si="787"/>
        <v/>
      </c>
      <c r="BJ1227" s="304" t="str">
        <f t="shared" si="787"/>
        <v/>
      </c>
      <c r="BK1227" s="28"/>
      <c r="BL1227" s="304" t="str">
        <f t="shared" si="788"/>
        <v/>
      </c>
      <c r="BM1227" s="304" t="str">
        <f t="shared" si="788"/>
        <v/>
      </c>
      <c r="BN1227" s="28"/>
      <c r="BO1227" s="304" t="str">
        <f t="shared" si="789"/>
        <v/>
      </c>
      <c r="BP1227" s="304" t="str">
        <f t="shared" si="789"/>
        <v/>
      </c>
      <c r="BQ1227" s="28"/>
      <c r="BR1227" s="304" t="str">
        <f t="shared" si="790"/>
        <v/>
      </c>
      <c r="BS1227" s="304" t="str">
        <f t="shared" si="790"/>
        <v/>
      </c>
      <c r="BT1227" s="28"/>
      <c r="BU1227" s="304" t="str">
        <f t="shared" si="791"/>
        <v/>
      </c>
      <c r="BV1227" s="304" t="str">
        <f t="shared" si="791"/>
        <v/>
      </c>
      <c r="BW1227" s="28"/>
      <c r="BX1227" s="91"/>
    </row>
    <row r="1228" spans="1:76" s="55" customFormat="1" x14ac:dyDescent="0.25">
      <c r="A1228" s="195">
        <v>3</v>
      </c>
      <c r="B1228" s="216" t="str">
        <f>CONCATENATE(E1228,": ",C1228)</f>
        <v>Asia (Sans Japan): FAO. 2017. Reducing Enteric Methane for improving food security and livelihoods</v>
      </c>
      <c r="C1228" s="219" t="s">
        <v>488</v>
      </c>
      <c r="D1228" s="379" t="s">
        <v>235</v>
      </c>
      <c r="E1228" s="219" t="s">
        <v>98</v>
      </c>
      <c r="F1228" s="330" t="s">
        <v>236</v>
      </c>
      <c r="G1228" s="220" t="s">
        <v>26</v>
      </c>
      <c r="H1228" s="221">
        <v>2017</v>
      </c>
      <c r="I1228" s="240"/>
      <c r="J1228" s="377">
        <v>12.7</v>
      </c>
      <c r="K1228" s="382" t="s">
        <v>489</v>
      </c>
      <c r="L1228" s="383">
        <f t="shared" si="792"/>
        <v>7.0246874999999986E-2</v>
      </c>
      <c r="M1228" s="225" t="str">
        <f>CONCATENATE("t CO2-eq/ ",IF('[1]Advanced Controls'!$F$169="Implementation",AdoptionUnitOfMeasure,FunctionalUnitOfMeasure))</f>
        <v>t CO2-eq/ kg of protein</v>
      </c>
      <c r="N1228" s="227"/>
      <c r="O1228" s="227" t="s">
        <v>693</v>
      </c>
      <c r="P1228" s="122"/>
      <c r="Q1228" s="228"/>
      <c r="R1228" s="231">
        <f t="shared" si="793"/>
        <v>7.0246874999999986E-2</v>
      </c>
      <c r="S1228" s="230">
        <f t="shared" si="781"/>
        <v>7.0246874999999986E-2</v>
      </c>
      <c r="T1228" s="231">
        <f t="shared" ref="T1228:T1291" si="795">IF(OR(Q1228="Y",IFERROR(R1228&gt;R1322+R1326*$AA$35,0),IFERROR(R1228&lt;R1322-R1326*$AA$35,0)),"",IFERROR(R1228*N1228,""))</f>
        <v>0</v>
      </c>
      <c r="U1228" s="232" t="str">
        <f t="shared" si="782"/>
        <v>t CO2-eq/ kg of protein</v>
      </c>
      <c r="V1228" s="28"/>
      <c r="W1228" s="28"/>
      <c r="Y1228" s="91"/>
      <c r="AO1228" s="91"/>
      <c r="AP1228" s="28"/>
      <c r="AQ1228" s="28"/>
      <c r="AR1228" s="237"/>
      <c r="AS1228" s="28"/>
      <c r="AT1228" s="304" t="str">
        <f t="shared" si="794"/>
        <v/>
      </c>
      <c r="AU1228" s="304" t="str">
        <f t="shared" si="794"/>
        <v/>
      </c>
      <c r="AV1228" s="28"/>
      <c r="AW1228" s="304" t="str">
        <f t="shared" si="783"/>
        <v/>
      </c>
      <c r="AX1228" s="304" t="str">
        <f t="shared" si="783"/>
        <v/>
      </c>
      <c r="AY1228" s="28"/>
      <c r="AZ1228" s="304" t="str">
        <f t="shared" si="784"/>
        <v/>
      </c>
      <c r="BA1228" s="304" t="str">
        <f t="shared" si="784"/>
        <v/>
      </c>
      <c r="BB1228" s="28"/>
      <c r="BC1228" s="304">
        <f t="shared" si="785"/>
        <v>7.0246874999999986E-2</v>
      </c>
      <c r="BD1228" s="304">
        <f t="shared" si="785"/>
        <v>7.0246874999999986E-2</v>
      </c>
      <c r="BE1228" s="28"/>
      <c r="BF1228" s="304" t="str">
        <f t="shared" si="786"/>
        <v/>
      </c>
      <c r="BG1228" s="304" t="str">
        <f t="shared" si="786"/>
        <v/>
      </c>
      <c r="BH1228" s="28"/>
      <c r="BI1228" s="304" t="str">
        <f t="shared" si="787"/>
        <v/>
      </c>
      <c r="BJ1228" s="304" t="str">
        <f t="shared" si="787"/>
        <v/>
      </c>
      <c r="BK1228" s="28"/>
      <c r="BL1228" s="304" t="str">
        <f t="shared" si="788"/>
        <v/>
      </c>
      <c r="BM1228" s="304" t="str">
        <f t="shared" si="788"/>
        <v/>
      </c>
      <c r="BN1228" s="28"/>
      <c r="BO1228" s="304" t="str">
        <f t="shared" si="789"/>
        <v/>
      </c>
      <c r="BP1228" s="304" t="str">
        <f t="shared" si="789"/>
        <v/>
      </c>
      <c r="BQ1228" s="28"/>
      <c r="BR1228" s="304" t="str">
        <f t="shared" si="790"/>
        <v/>
      </c>
      <c r="BS1228" s="304" t="str">
        <f t="shared" si="790"/>
        <v/>
      </c>
      <c r="BT1228" s="28"/>
      <c r="BU1228" s="304" t="str">
        <f t="shared" si="791"/>
        <v/>
      </c>
      <c r="BV1228" s="304" t="str">
        <f t="shared" si="791"/>
        <v/>
      </c>
      <c r="BW1228" s="28"/>
      <c r="BX1228" s="91"/>
    </row>
    <row r="1229" spans="1:76" s="55" customFormat="1" x14ac:dyDescent="0.25">
      <c r="A1229" s="195">
        <v>4</v>
      </c>
      <c r="B1229" s="216" t="str">
        <f t="shared" ref="B1229:B1292" si="796">CONCATENATE(E1229,": ",C1229)</f>
        <v>Asia (Sans Japan): FAO. 2017. Reducing Enteric Methane for improving food security and livelihoods</v>
      </c>
      <c r="C1229" s="219" t="s">
        <v>488</v>
      </c>
      <c r="D1229" s="379" t="s">
        <v>235</v>
      </c>
      <c r="E1229" s="219" t="s">
        <v>98</v>
      </c>
      <c r="F1229" s="330" t="s">
        <v>236</v>
      </c>
      <c r="G1229" s="220" t="s">
        <v>26</v>
      </c>
      <c r="H1229" s="221">
        <v>2017</v>
      </c>
      <c r="I1229" s="240"/>
      <c r="J1229" s="377">
        <v>5.6</v>
      </c>
      <c r="K1229" s="382" t="s">
        <v>489</v>
      </c>
      <c r="L1229" s="383">
        <f t="shared" si="792"/>
        <v>3.0974999999999999E-2</v>
      </c>
      <c r="M1229" s="225" t="str">
        <f>CONCATENATE("t CO2-eq/ ",IF('[1]Advanced Controls'!$F$169="Implementation",AdoptionUnitOfMeasure,FunctionalUnitOfMeasure))</f>
        <v>t CO2-eq/ kg of protein</v>
      </c>
      <c r="N1229" s="227"/>
      <c r="O1229" s="227" t="s">
        <v>694</v>
      </c>
      <c r="P1229" s="122"/>
      <c r="Q1229" s="228"/>
      <c r="R1229" s="231">
        <f t="shared" si="793"/>
        <v>3.0974999999999999E-2</v>
      </c>
      <c r="S1229" s="230">
        <f t="shared" si="781"/>
        <v>3.0974999999999999E-2</v>
      </c>
      <c r="T1229" s="231">
        <f t="shared" si="795"/>
        <v>0</v>
      </c>
      <c r="U1229" s="232" t="str">
        <f t="shared" si="782"/>
        <v>t CO2-eq/ kg of protein</v>
      </c>
      <c r="V1229" s="28"/>
      <c r="W1229" s="28"/>
      <c r="Y1229" s="91"/>
      <c r="AO1229" s="91"/>
      <c r="AP1229" s="28"/>
      <c r="AQ1229" s="28"/>
      <c r="AR1229" s="237"/>
      <c r="AS1229" s="28"/>
      <c r="AT1229" s="304"/>
      <c r="AU1229" s="304"/>
      <c r="AV1229" s="28"/>
      <c r="AW1229" s="304"/>
      <c r="AX1229" s="304"/>
      <c r="AY1229" s="28"/>
      <c r="AZ1229" s="304"/>
      <c r="BA1229" s="304"/>
      <c r="BB1229" s="28"/>
      <c r="BC1229" s="304"/>
      <c r="BD1229" s="304"/>
      <c r="BE1229" s="28"/>
      <c r="BF1229" s="304"/>
      <c r="BG1229" s="304"/>
      <c r="BH1229" s="28"/>
      <c r="BI1229" s="304"/>
      <c r="BJ1229" s="304"/>
      <c r="BK1229" s="28"/>
      <c r="BL1229" s="304"/>
      <c r="BM1229" s="304"/>
      <c r="BN1229" s="28"/>
      <c r="BO1229" s="304"/>
      <c r="BP1229" s="304"/>
      <c r="BQ1229" s="28"/>
      <c r="BR1229" s="304"/>
      <c r="BS1229" s="304"/>
      <c r="BT1229" s="28"/>
      <c r="BU1229" s="304"/>
      <c r="BV1229" s="304"/>
      <c r="BW1229" s="28"/>
      <c r="BX1229" s="91"/>
    </row>
    <row r="1230" spans="1:76" s="55" customFormat="1" x14ac:dyDescent="0.25">
      <c r="A1230" s="195">
        <v>5</v>
      </c>
      <c r="B1230" s="216" t="str">
        <f t="shared" si="796"/>
        <v>Asia (Sans Japan): FAO. 2017. Reducing Enteric Methane for improving food security and livelihoods</v>
      </c>
      <c r="C1230" s="219" t="s">
        <v>488</v>
      </c>
      <c r="D1230" s="379" t="s">
        <v>269</v>
      </c>
      <c r="E1230" s="219" t="s">
        <v>98</v>
      </c>
      <c r="F1230" s="330" t="s">
        <v>270</v>
      </c>
      <c r="G1230" s="220" t="s">
        <v>26</v>
      </c>
      <c r="H1230" s="221">
        <v>2017</v>
      </c>
      <c r="I1230" s="240"/>
      <c r="J1230" s="377">
        <v>6.8</v>
      </c>
      <c r="K1230" s="382" t="s">
        <v>489</v>
      </c>
      <c r="L1230" s="383">
        <f>(J1230*0.001*0.052/0.032)</f>
        <v>1.1049999999999999E-2</v>
      </c>
      <c r="M1230" s="225" t="str">
        <f>CONCATENATE("t CO2-eq/ ",IF('[1]Advanced Controls'!$F$169="Implementation",AdoptionUnitOfMeasure,FunctionalUnitOfMeasure))</f>
        <v>t CO2-eq/ kg of protein</v>
      </c>
      <c r="N1230" s="227"/>
      <c r="O1230" s="227" t="s">
        <v>695</v>
      </c>
      <c r="P1230" s="122"/>
      <c r="Q1230" s="228"/>
      <c r="R1230" s="231">
        <f t="shared" si="793"/>
        <v>1.1049999999999999E-2</v>
      </c>
      <c r="S1230" s="230">
        <f t="shared" si="781"/>
        <v>1.1049999999999999E-2</v>
      </c>
      <c r="T1230" s="231" t="str">
        <f t="shared" si="795"/>
        <v/>
      </c>
      <c r="U1230" s="232" t="str">
        <f t="shared" si="782"/>
        <v>t CO2-eq/ kg of protein</v>
      </c>
      <c r="V1230" s="28"/>
      <c r="W1230" s="28"/>
      <c r="Y1230" s="91"/>
      <c r="AO1230" s="91"/>
      <c r="AP1230" s="28"/>
      <c r="AQ1230" s="28"/>
      <c r="AR1230" s="237"/>
      <c r="AS1230" s="28"/>
      <c r="AT1230" s="304"/>
      <c r="AU1230" s="304"/>
      <c r="AV1230" s="28"/>
      <c r="AW1230" s="304"/>
      <c r="AX1230" s="304"/>
      <c r="AY1230" s="28"/>
      <c r="AZ1230" s="304"/>
      <c r="BA1230" s="304"/>
      <c r="BB1230" s="28"/>
      <c r="BC1230" s="304"/>
      <c r="BD1230" s="304"/>
      <c r="BE1230" s="28"/>
      <c r="BF1230" s="304"/>
      <c r="BG1230" s="304"/>
      <c r="BH1230" s="28"/>
      <c r="BI1230" s="304"/>
      <c r="BJ1230" s="304"/>
      <c r="BK1230" s="28"/>
      <c r="BL1230" s="304"/>
      <c r="BM1230" s="304"/>
      <c r="BN1230" s="28"/>
      <c r="BO1230" s="304"/>
      <c r="BP1230" s="304"/>
      <c r="BQ1230" s="28"/>
      <c r="BR1230" s="304"/>
      <c r="BS1230" s="304"/>
      <c r="BT1230" s="28"/>
      <c r="BU1230" s="304"/>
      <c r="BV1230" s="304"/>
      <c r="BW1230" s="28"/>
      <c r="BX1230" s="91"/>
    </row>
    <row r="1231" spans="1:76" s="55" customFormat="1" x14ac:dyDescent="0.25">
      <c r="A1231" s="195">
        <v>6</v>
      </c>
      <c r="B1231" s="216" t="str">
        <f t="shared" si="796"/>
        <v>Asia (Sans Japan): FAO. 2017. Reducing Enteric Methane for improving food security and livelihoods</v>
      </c>
      <c r="C1231" s="219" t="s">
        <v>488</v>
      </c>
      <c r="D1231" s="379" t="s">
        <v>269</v>
      </c>
      <c r="E1231" s="219" t="s">
        <v>98</v>
      </c>
      <c r="F1231" s="330" t="s">
        <v>270</v>
      </c>
      <c r="G1231" s="220" t="s">
        <v>26</v>
      </c>
      <c r="H1231" s="221">
        <v>2017</v>
      </c>
      <c r="I1231" s="240"/>
      <c r="J1231" s="377">
        <v>4.8</v>
      </c>
      <c r="K1231" s="382" t="s">
        <v>489</v>
      </c>
      <c r="L1231" s="383">
        <f t="shared" ref="L1231:L1232" si="797">(J1231*0.001*0.052/0.032)</f>
        <v>7.7999999999999979E-3</v>
      </c>
      <c r="M1231" s="225" t="str">
        <f>CONCATENATE("t CO2-eq/ ",IF('[1]Advanced Controls'!$F$169="Implementation",AdoptionUnitOfMeasure,FunctionalUnitOfMeasure))</f>
        <v>t CO2-eq/ kg of protein</v>
      </c>
      <c r="N1231" s="227"/>
      <c r="O1231" s="227" t="s">
        <v>696</v>
      </c>
      <c r="P1231" s="122"/>
      <c r="Q1231" s="228"/>
      <c r="R1231" s="231">
        <f t="shared" si="793"/>
        <v>7.7999999999999979E-3</v>
      </c>
      <c r="S1231" s="230">
        <f t="shared" si="781"/>
        <v>7.7999999999999979E-3</v>
      </c>
      <c r="T1231" s="231">
        <f t="shared" si="795"/>
        <v>0</v>
      </c>
      <c r="U1231" s="232" t="str">
        <f t="shared" si="782"/>
        <v>t CO2-eq/ kg of protein</v>
      </c>
      <c r="V1231" s="28"/>
      <c r="W1231" s="28"/>
      <c r="Y1231" s="91"/>
      <c r="AO1231" s="91"/>
      <c r="AP1231" s="28"/>
      <c r="AQ1231" s="28"/>
      <c r="AR1231" s="237"/>
      <c r="AS1231" s="28"/>
      <c r="AT1231" s="304"/>
      <c r="AU1231" s="304"/>
      <c r="AV1231" s="28"/>
      <c r="AW1231" s="304"/>
      <c r="AX1231" s="304"/>
      <c r="AY1231" s="28"/>
      <c r="AZ1231" s="304"/>
      <c r="BA1231" s="304"/>
      <c r="BB1231" s="28"/>
      <c r="BC1231" s="304"/>
      <c r="BD1231" s="304"/>
      <c r="BE1231" s="28"/>
      <c r="BF1231" s="304"/>
      <c r="BG1231" s="304"/>
      <c r="BH1231" s="28"/>
      <c r="BI1231" s="304"/>
      <c r="BJ1231" s="304"/>
      <c r="BK1231" s="28"/>
      <c r="BL1231" s="304"/>
      <c r="BM1231" s="304"/>
      <c r="BN1231" s="28"/>
      <c r="BO1231" s="304"/>
      <c r="BP1231" s="304"/>
      <c r="BQ1231" s="28"/>
      <c r="BR1231" s="304"/>
      <c r="BS1231" s="304"/>
      <c r="BT1231" s="28"/>
      <c r="BU1231" s="304"/>
      <c r="BV1231" s="304"/>
      <c r="BW1231" s="28"/>
      <c r="BX1231" s="91"/>
    </row>
    <row r="1232" spans="1:76" s="55" customFormat="1" x14ac:dyDescent="0.25">
      <c r="A1232" s="195">
        <v>7</v>
      </c>
      <c r="B1232" s="216" t="str">
        <f t="shared" si="796"/>
        <v>Asia (Sans Japan): FAO. 2017. Reducing Enteric Methane for improving food security and livelihoods</v>
      </c>
      <c r="C1232" s="219" t="s">
        <v>488</v>
      </c>
      <c r="D1232" s="379" t="s">
        <v>269</v>
      </c>
      <c r="E1232" s="219" t="s">
        <v>98</v>
      </c>
      <c r="F1232" s="330" t="s">
        <v>270</v>
      </c>
      <c r="G1232" s="220" t="s">
        <v>26</v>
      </c>
      <c r="H1232" s="221">
        <v>2017</v>
      </c>
      <c r="I1232" s="240"/>
      <c r="J1232" s="377">
        <v>13.8</v>
      </c>
      <c r="K1232" s="382" t="s">
        <v>489</v>
      </c>
      <c r="L1232" s="383">
        <f t="shared" si="797"/>
        <v>2.2425000000000004E-2</v>
      </c>
      <c r="M1232" s="225" t="str">
        <f>CONCATENATE("t CO2-eq/ ",IF('[1]Advanced Controls'!$F$169="Implementation",AdoptionUnitOfMeasure,FunctionalUnitOfMeasure))</f>
        <v>t CO2-eq/ kg of protein</v>
      </c>
      <c r="N1232" s="227"/>
      <c r="O1232" s="227" t="s">
        <v>697</v>
      </c>
      <c r="P1232" s="122"/>
      <c r="Q1232" s="228"/>
      <c r="R1232" s="231">
        <f t="shared" si="793"/>
        <v>2.2425000000000004E-2</v>
      </c>
      <c r="S1232" s="230">
        <f t="shared" si="781"/>
        <v>2.2425000000000004E-2</v>
      </c>
      <c r="T1232" s="231">
        <f t="shared" si="795"/>
        <v>0</v>
      </c>
      <c r="U1232" s="232" t="str">
        <f t="shared" si="782"/>
        <v>t CO2-eq/ kg of protein</v>
      </c>
      <c r="V1232" s="28"/>
      <c r="W1232" s="28"/>
      <c r="Y1232" s="91"/>
      <c r="AO1232" s="91"/>
      <c r="AP1232" s="28"/>
      <c r="AQ1232" s="28"/>
      <c r="AR1232" s="237"/>
      <c r="AS1232" s="28"/>
      <c r="AT1232" s="304"/>
      <c r="AU1232" s="304"/>
      <c r="AV1232" s="28"/>
      <c r="AW1232" s="304"/>
      <c r="AX1232" s="304"/>
      <c r="AY1232" s="28"/>
      <c r="AZ1232" s="304"/>
      <c r="BA1232" s="304"/>
      <c r="BB1232" s="28"/>
      <c r="BC1232" s="304"/>
      <c r="BD1232" s="304"/>
      <c r="BE1232" s="28"/>
      <c r="BF1232" s="304"/>
      <c r="BG1232" s="304"/>
      <c r="BH1232" s="28"/>
      <c r="BI1232" s="304"/>
      <c r="BJ1232" s="304"/>
      <c r="BK1232" s="28"/>
      <c r="BL1232" s="304"/>
      <c r="BM1232" s="304"/>
      <c r="BN1232" s="28"/>
      <c r="BO1232" s="304"/>
      <c r="BP1232" s="304"/>
      <c r="BQ1232" s="28"/>
      <c r="BR1232" s="304"/>
      <c r="BS1232" s="304"/>
      <c r="BT1232" s="28"/>
      <c r="BU1232" s="304"/>
      <c r="BV1232" s="304"/>
      <c r="BW1232" s="28"/>
      <c r="BX1232" s="91"/>
    </row>
    <row r="1233" spans="1:76" s="55" customFormat="1" x14ac:dyDescent="0.25">
      <c r="A1233" s="195">
        <v>8</v>
      </c>
      <c r="B1233" s="216" t="str">
        <f t="shared" si="796"/>
        <v>Middle East and Africa: FAO. 2017. Reducing Enteric Methane for improving food security and livelihoods</v>
      </c>
      <c r="C1233" s="219" t="s">
        <v>488</v>
      </c>
      <c r="D1233" s="379" t="s">
        <v>252</v>
      </c>
      <c r="E1233" s="219" t="s">
        <v>99</v>
      </c>
      <c r="F1233" s="330" t="s">
        <v>253</v>
      </c>
      <c r="G1233" s="220" t="s">
        <v>26</v>
      </c>
      <c r="H1233" s="221">
        <v>2017</v>
      </c>
      <c r="I1233" s="240"/>
      <c r="J1233" s="377">
        <v>2.1</v>
      </c>
      <c r="K1233" s="382" t="s">
        <v>489</v>
      </c>
      <c r="L1233" s="383">
        <f>(J1233*0.001*0.008/0.032)</f>
        <v>5.2500000000000008E-4</v>
      </c>
      <c r="M1233" s="225" t="str">
        <f>CONCATENATE("t CO2-eq/ ",IF('[1]Advanced Controls'!$F$169="Implementation",AdoptionUnitOfMeasure,FunctionalUnitOfMeasure))</f>
        <v>t CO2-eq/ kg of protein</v>
      </c>
      <c r="N1233" s="227"/>
      <c r="O1233" s="227" t="s">
        <v>698</v>
      </c>
      <c r="P1233" s="122"/>
      <c r="Q1233" s="228"/>
      <c r="R1233" s="231">
        <f t="shared" si="793"/>
        <v>5.2500000000000008E-4</v>
      </c>
      <c r="S1233" s="230">
        <f t="shared" si="781"/>
        <v>5.2500000000000008E-4</v>
      </c>
      <c r="T1233" s="231">
        <f t="shared" si="795"/>
        <v>0</v>
      </c>
      <c r="U1233" s="232" t="str">
        <f t="shared" si="782"/>
        <v>t CO2-eq/ kg of protein</v>
      </c>
      <c r="V1233" s="28"/>
      <c r="W1233" s="28"/>
      <c r="Y1233" s="91"/>
      <c r="AO1233" s="91"/>
      <c r="AP1233" s="28"/>
      <c r="AQ1233" s="28"/>
      <c r="AR1233" s="237"/>
      <c r="AS1233" s="28"/>
      <c r="AT1233" s="304"/>
      <c r="AU1233" s="304"/>
      <c r="AV1233" s="28"/>
      <c r="AW1233" s="304"/>
      <c r="AX1233" s="304"/>
      <c r="AY1233" s="28"/>
      <c r="AZ1233" s="304"/>
      <c r="BA1233" s="304"/>
      <c r="BB1233" s="28"/>
      <c r="BC1233" s="304"/>
      <c r="BD1233" s="304"/>
      <c r="BE1233" s="28"/>
      <c r="BF1233" s="304"/>
      <c r="BG1233" s="304"/>
      <c r="BH1233" s="28"/>
      <c r="BI1233" s="304"/>
      <c r="BJ1233" s="304"/>
      <c r="BK1233" s="28"/>
      <c r="BL1233" s="304"/>
      <c r="BM1233" s="304"/>
      <c r="BN1233" s="28"/>
      <c r="BO1233" s="304"/>
      <c r="BP1233" s="304"/>
      <c r="BQ1233" s="28"/>
      <c r="BR1233" s="304"/>
      <c r="BS1233" s="304"/>
      <c r="BT1233" s="28"/>
      <c r="BU1233" s="304"/>
      <c r="BV1233" s="304"/>
      <c r="BW1233" s="28"/>
      <c r="BX1233" s="91"/>
    </row>
    <row r="1234" spans="1:76" s="55" customFormat="1" x14ac:dyDescent="0.25">
      <c r="A1234" s="195">
        <v>9</v>
      </c>
      <c r="B1234" s="216" t="str">
        <f t="shared" si="796"/>
        <v>Middle East and Africa: FAO. 2017. Reducing Enteric Methane for improving food security and livelihoods</v>
      </c>
      <c r="C1234" s="219" t="s">
        <v>488</v>
      </c>
      <c r="D1234" s="379" t="s">
        <v>252</v>
      </c>
      <c r="E1234" s="219" t="s">
        <v>99</v>
      </c>
      <c r="F1234" s="330" t="s">
        <v>253</v>
      </c>
      <c r="G1234" s="220" t="s">
        <v>26</v>
      </c>
      <c r="H1234" s="221">
        <v>2017</v>
      </c>
      <c r="I1234" s="240"/>
      <c r="J1234" s="377">
        <v>4.0999999999999996</v>
      </c>
      <c r="K1234" s="382" t="s">
        <v>489</v>
      </c>
      <c r="L1234" s="383">
        <f t="shared" ref="L1234:L1238" si="798">(J1234*0.001*0.008/0.032)</f>
        <v>1.0249999999999999E-3</v>
      </c>
      <c r="M1234" s="225" t="str">
        <f>CONCATENATE("t CO2-eq/ ",IF('[1]Advanced Controls'!$F$169="Implementation",AdoptionUnitOfMeasure,FunctionalUnitOfMeasure))</f>
        <v>t CO2-eq/ kg of protein</v>
      </c>
      <c r="N1234" s="227"/>
      <c r="O1234" s="227" t="s">
        <v>699</v>
      </c>
      <c r="P1234" s="122"/>
      <c r="Q1234" s="228"/>
      <c r="R1234" s="231">
        <f t="shared" si="793"/>
        <v>1.0249999999999999E-3</v>
      </c>
      <c r="S1234" s="230">
        <f t="shared" si="781"/>
        <v>1.0249999999999999E-3</v>
      </c>
      <c r="T1234" s="231">
        <f t="shared" si="795"/>
        <v>0</v>
      </c>
      <c r="U1234" s="232" t="str">
        <f t="shared" si="782"/>
        <v>t CO2-eq/ kg of protein</v>
      </c>
      <c r="V1234" s="28"/>
      <c r="W1234" s="28"/>
      <c r="Y1234" s="91"/>
      <c r="AO1234" s="91"/>
      <c r="AP1234" s="28"/>
      <c r="AQ1234" s="28"/>
      <c r="AR1234" s="237"/>
      <c r="AS1234" s="28"/>
      <c r="AT1234" s="304"/>
      <c r="AU1234" s="304"/>
      <c r="AV1234" s="28"/>
      <c r="AW1234" s="304"/>
      <c r="AX1234" s="304"/>
      <c r="AY1234" s="28"/>
      <c r="AZ1234" s="304"/>
      <c r="BA1234" s="304"/>
      <c r="BB1234" s="28"/>
      <c r="BC1234" s="304"/>
      <c r="BD1234" s="304"/>
      <c r="BE1234" s="28"/>
      <c r="BF1234" s="304"/>
      <c r="BG1234" s="304"/>
      <c r="BH1234" s="28"/>
      <c r="BI1234" s="304"/>
      <c r="BJ1234" s="304"/>
      <c r="BK1234" s="28"/>
      <c r="BL1234" s="304"/>
      <c r="BM1234" s="304"/>
      <c r="BN1234" s="28"/>
      <c r="BO1234" s="304"/>
      <c r="BP1234" s="304"/>
      <c r="BQ1234" s="28"/>
      <c r="BR1234" s="304"/>
      <c r="BS1234" s="304"/>
      <c r="BT1234" s="28"/>
      <c r="BU1234" s="304"/>
      <c r="BV1234" s="304"/>
      <c r="BW1234" s="28"/>
      <c r="BX1234" s="91"/>
    </row>
    <row r="1235" spans="1:76" s="55" customFormat="1" x14ac:dyDescent="0.25">
      <c r="A1235" s="195">
        <v>10</v>
      </c>
      <c r="B1235" s="216" t="str">
        <f t="shared" si="796"/>
        <v>Middle East and Africa: FAO. 2017. Reducing Enteric Methane for improving food security and livelihoods</v>
      </c>
      <c r="C1235" s="219" t="s">
        <v>488</v>
      </c>
      <c r="D1235" s="379" t="s">
        <v>252</v>
      </c>
      <c r="E1235" s="219" t="s">
        <v>99</v>
      </c>
      <c r="F1235" s="330" t="s">
        <v>253</v>
      </c>
      <c r="G1235" s="220" t="s">
        <v>26</v>
      </c>
      <c r="H1235" s="221">
        <v>2017</v>
      </c>
      <c r="I1235" s="240"/>
      <c r="J1235" s="377">
        <v>2.1</v>
      </c>
      <c r="K1235" s="382" t="s">
        <v>489</v>
      </c>
      <c r="L1235" s="383">
        <f t="shared" si="798"/>
        <v>5.2500000000000008E-4</v>
      </c>
      <c r="M1235" s="225" t="str">
        <f>CONCATENATE("t CO2-eq/ ",IF('[1]Advanced Controls'!$F$169="Implementation",AdoptionUnitOfMeasure,FunctionalUnitOfMeasure))</f>
        <v>t CO2-eq/ kg of protein</v>
      </c>
      <c r="N1235" s="227"/>
      <c r="O1235" s="227" t="s">
        <v>700</v>
      </c>
      <c r="P1235" s="122"/>
      <c r="Q1235" s="228"/>
      <c r="R1235" s="231">
        <f t="shared" si="793"/>
        <v>5.2500000000000008E-4</v>
      </c>
      <c r="S1235" s="230">
        <f t="shared" si="781"/>
        <v>5.2500000000000008E-4</v>
      </c>
      <c r="T1235" s="231">
        <f t="shared" si="795"/>
        <v>0</v>
      </c>
      <c r="U1235" s="232" t="str">
        <f t="shared" si="782"/>
        <v>t CO2-eq/ kg of protein</v>
      </c>
      <c r="V1235" s="28"/>
      <c r="W1235" s="28"/>
      <c r="Y1235" s="91"/>
      <c r="AO1235" s="91"/>
      <c r="AP1235" s="28"/>
      <c r="AQ1235" s="28"/>
      <c r="AR1235" s="237"/>
      <c r="AS1235" s="28"/>
      <c r="AT1235" s="304"/>
      <c r="AU1235" s="304"/>
      <c r="AV1235" s="28"/>
      <c r="AW1235" s="304"/>
      <c r="AX1235" s="304"/>
      <c r="AY1235" s="28"/>
      <c r="AZ1235" s="304"/>
      <c r="BA1235" s="304"/>
      <c r="BB1235" s="28"/>
      <c r="BC1235" s="304"/>
      <c r="BD1235" s="304"/>
      <c r="BE1235" s="28"/>
      <c r="BF1235" s="304"/>
      <c r="BG1235" s="304"/>
      <c r="BH1235" s="28"/>
      <c r="BI1235" s="304"/>
      <c r="BJ1235" s="304"/>
      <c r="BK1235" s="28"/>
      <c r="BL1235" s="304"/>
      <c r="BM1235" s="304"/>
      <c r="BN1235" s="28"/>
      <c r="BO1235" s="304"/>
      <c r="BP1235" s="304"/>
      <c r="BQ1235" s="28"/>
      <c r="BR1235" s="304"/>
      <c r="BS1235" s="304"/>
      <c r="BT1235" s="28"/>
      <c r="BU1235" s="304"/>
      <c r="BV1235" s="304"/>
      <c r="BW1235" s="28"/>
      <c r="BX1235" s="91"/>
    </row>
    <row r="1236" spans="1:76" s="55" customFormat="1" x14ac:dyDescent="0.25">
      <c r="A1236" s="195">
        <v>11</v>
      </c>
      <c r="B1236" s="216" t="str">
        <f t="shared" si="796"/>
        <v>Middle East and Africa: FAO. 2017. Reducing Enteric Methane for improving food security and livelihoods</v>
      </c>
      <c r="C1236" s="219" t="s">
        <v>488</v>
      </c>
      <c r="D1236" s="379" t="s">
        <v>252</v>
      </c>
      <c r="E1236" s="219" t="s">
        <v>99</v>
      </c>
      <c r="F1236" s="330" t="s">
        <v>253</v>
      </c>
      <c r="G1236" s="220" t="s">
        <v>26</v>
      </c>
      <c r="H1236" s="221">
        <v>2017</v>
      </c>
      <c r="I1236" s="240"/>
      <c r="J1236" s="377">
        <v>4.0999999999999996</v>
      </c>
      <c r="K1236" s="382" t="s">
        <v>489</v>
      </c>
      <c r="L1236" s="383">
        <f t="shared" si="798"/>
        <v>1.0249999999999999E-3</v>
      </c>
      <c r="M1236" s="225" t="str">
        <f>CONCATENATE("t CO2-eq/ ",IF('[1]Advanced Controls'!$F$169="Implementation",AdoptionUnitOfMeasure,FunctionalUnitOfMeasure))</f>
        <v>t CO2-eq/ kg of protein</v>
      </c>
      <c r="N1236" s="227"/>
      <c r="O1236" s="227" t="s">
        <v>701</v>
      </c>
      <c r="P1236" s="122"/>
      <c r="Q1236" s="228"/>
      <c r="R1236" s="231">
        <f t="shared" si="793"/>
        <v>1.0249999999999999E-3</v>
      </c>
      <c r="S1236" s="230">
        <f t="shared" si="781"/>
        <v>1.0249999999999999E-3</v>
      </c>
      <c r="T1236" s="231">
        <f t="shared" si="795"/>
        <v>0</v>
      </c>
      <c r="U1236" s="232" t="str">
        <f t="shared" si="782"/>
        <v>t CO2-eq/ kg of protein</v>
      </c>
      <c r="V1236" s="28"/>
      <c r="W1236" s="28"/>
      <c r="Y1236" s="91"/>
      <c r="AO1236" s="91"/>
      <c r="AP1236" s="28"/>
      <c r="AQ1236" s="28"/>
      <c r="AR1236" s="237"/>
      <c r="AS1236" s="28"/>
      <c r="AT1236" s="304"/>
      <c r="AU1236" s="304"/>
      <c r="AV1236" s="28"/>
      <c r="AW1236" s="304"/>
      <c r="AX1236" s="304"/>
      <c r="AY1236" s="28"/>
      <c r="AZ1236" s="304"/>
      <c r="BA1236" s="304"/>
      <c r="BB1236" s="28"/>
      <c r="BC1236" s="304"/>
      <c r="BD1236" s="304"/>
      <c r="BE1236" s="28"/>
      <c r="BF1236" s="304"/>
      <c r="BG1236" s="304"/>
      <c r="BH1236" s="28"/>
      <c r="BI1236" s="304"/>
      <c r="BJ1236" s="304"/>
      <c r="BK1236" s="28"/>
      <c r="BL1236" s="304"/>
      <c r="BM1236" s="304"/>
      <c r="BN1236" s="28"/>
      <c r="BO1236" s="304"/>
      <c r="BP1236" s="304"/>
      <c r="BQ1236" s="28"/>
      <c r="BR1236" s="304"/>
      <c r="BS1236" s="304"/>
      <c r="BT1236" s="28"/>
      <c r="BU1236" s="304"/>
      <c r="BV1236" s="304"/>
      <c r="BW1236" s="28"/>
      <c r="BX1236" s="91"/>
    </row>
    <row r="1237" spans="1:76" s="55" customFormat="1" x14ac:dyDescent="0.25">
      <c r="A1237" s="195">
        <v>12</v>
      </c>
      <c r="B1237" s="216" t="str">
        <f t="shared" si="796"/>
        <v>Middle East and Africa: FAO. 2017. Reducing Enteric Methane for improving food security and livelihoods</v>
      </c>
      <c r="C1237" s="219" t="s">
        <v>488</v>
      </c>
      <c r="D1237" s="379" t="s">
        <v>252</v>
      </c>
      <c r="E1237" s="219" t="s">
        <v>99</v>
      </c>
      <c r="F1237" s="330" t="s">
        <v>253</v>
      </c>
      <c r="G1237" s="220" t="s">
        <v>26</v>
      </c>
      <c r="H1237" s="221">
        <v>2017</v>
      </c>
      <c r="I1237" s="240"/>
      <c r="J1237" s="377">
        <v>7.1</v>
      </c>
      <c r="K1237" s="382" t="s">
        <v>489</v>
      </c>
      <c r="L1237" s="383">
        <f t="shared" si="798"/>
        <v>1.7749999999999999E-3</v>
      </c>
      <c r="M1237" s="225" t="str">
        <f>CONCATENATE("t CO2-eq/ ",IF('[1]Advanced Controls'!$F$169="Implementation",AdoptionUnitOfMeasure,FunctionalUnitOfMeasure))</f>
        <v>t CO2-eq/ kg of protein</v>
      </c>
      <c r="N1237" s="227"/>
      <c r="O1237" s="227" t="s">
        <v>702</v>
      </c>
      <c r="P1237" s="122"/>
      <c r="Q1237" s="228"/>
      <c r="R1237" s="231">
        <f t="shared" si="793"/>
        <v>1.7749999999999999E-3</v>
      </c>
      <c r="S1237" s="230">
        <f t="shared" si="781"/>
        <v>1.7749999999999999E-3</v>
      </c>
      <c r="T1237" s="231">
        <f t="shared" si="795"/>
        <v>0</v>
      </c>
      <c r="U1237" s="232" t="str">
        <f t="shared" si="782"/>
        <v>t CO2-eq/ kg of protein</v>
      </c>
      <c r="V1237" s="28"/>
      <c r="W1237" s="28"/>
      <c r="Y1237" s="91"/>
      <c r="AO1237" s="91"/>
      <c r="AP1237" s="28"/>
      <c r="AQ1237" s="28"/>
      <c r="AR1237" s="237"/>
      <c r="AS1237" s="28"/>
      <c r="AT1237" s="304"/>
      <c r="AU1237" s="304"/>
      <c r="AV1237" s="28"/>
      <c r="AW1237" s="304"/>
      <c r="AX1237" s="304"/>
      <c r="AY1237" s="28"/>
      <c r="AZ1237" s="304"/>
      <c r="BA1237" s="304"/>
      <c r="BB1237" s="28"/>
      <c r="BC1237" s="304"/>
      <c r="BD1237" s="304"/>
      <c r="BE1237" s="28"/>
      <c r="BF1237" s="304"/>
      <c r="BG1237" s="304"/>
      <c r="BH1237" s="28"/>
      <c r="BI1237" s="304"/>
      <c r="BJ1237" s="304"/>
      <c r="BK1237" s="28"/>
      <c r="BL1237" s="304"/>
      <c r="BM1237" s="304"/>
      <c r="BN1237" s="28"/>
      <c r="BO1237" s="304"/>
      <c r="BP1237" s="304"/>
      <c r="BQ1237" s="28"/>
      <c r="BR1237" s="304"/>
      <c r="BS1237" s="304"/>
      <c r="BT1237" s="28"/>
      <c r="BU1237" s="304"/>
      <c r="BV1237" s="304"/>
      <c r="BW1237" s="28"/>
      <c r="BX1237" s="91"/>
    </row>
    <row r="1238" spans="1:76" s="55" customFormat="1" x14ac:dyDescent="0.25">
      <c r="A1238" s="195">
        <v>13</v>
      </c>
      <c r="B1238" s="216" t="str">
        <f t="shared" si="796"/>
        <v>Middle East and Africa: FAO. 2017. Reducing Enteric Methane for improving food security and livelihoods</v>
      </c>
      <c r="C1238" s="219" t="s">
        <v>488</v>
      </c>
      <c r="D1238" s="379" t="s">
        <v>252</v>
      </c>
      <c r="E1238" s="219" t="s">
        <v>99</v>
      </c>
      <c r="F1238" s="330" t="s">
        <v>253</v>
      </c>
      <c r="G1238" s="220" t="s">
        <v>26</v>
      </c>
      <c r="H1238" s="221">
        <v>2017</v>
      </c>
      <c r="I1238" s="240"/>
      <c r="J1238" s="377">
        <v>4.0999999999999996</v>
      </c>
      <c r="K1238" s="382" t="s">
        <v>489</v>
      </c>
      <c r="L1238" s="383">
        <f t="shared" si="798"/>
        <v>1.0249999999999999E-3</v>
      </c>
      <c r="M1238" s="225" t="str">
        <f>CONCATENATE("t CO2-eq/ ",IF('[1]Advanced Controls'!$F$169="Implementation",AdoptionUnitOfMeasure,FunctionalUnitOfMeasure))</f>
        <v>t CO2-eq/ kg of protein</v>
      </c>
      <c r="N1238" s="227"/>
      <c r="O1238" s="227" t="s">
        <v>703</v>
      </c>
      <c r="P1238" s="122"/>
      <c r="Q1238" s="228"/>
      <c r="R1238" s="231">
        <f t="shared" si="793"/>
        <v>1.0249999999999999E-3</v>
      </c>
      <c r="S1238" s="230">
        <f t="shared" si="781"/>
        <v>1.0249999999999999E-3</v>
      </c>
      <c r="T1238" s="231">
        <f t="shared" si="795"/>
        <v>0</v>
      </c>
      <c r="U1238" s="232" t="str">
        <f t="shared" si="782"/>
        <v>t CO2-eq/ kg of protein</v>
      </c>
      <c r="V1238" s="28"/>
      <c r="W1238" s="28"/>
      <c r="Y1238" s="91"/>
      <c r="AO1238" s="91"/>
      <c r="AP1238" s="28"/>
      <c r="AQ1238" s="28"/>
      <c r="AR1238" s="237"/>
      <c r="AS1238" s="28"/>
      <c r="AT1238" s="304"/>
      <c r="AU1238" s="304"/>
      <c r="AV1238" s="28"/>
      <c r="AW1238" s="304"/>
      <c r="AX1238" s="304"/>
      <c r="AY1238" s="28"/>
      <c r="AZ1238" s="304"/>
      <c r="BA1238" s="304"/>
      <c r="BB1238" s="28"/>
      <c r="BC1238" s="304"/>
      <c r="BD1238" s="304"/>
      <c r="BE1238" s="28"/>
      <c r="BF1238" s="304"/>
      <c r="BG1238" s="304"/>
      <c r="BH1238" s="28"/>
      <c r="BI1238" s="304"/>
      <c r="BJ1238" s="304"/>
      <c r="BK1238" s="28"/>
      <c r="BL1238" s="304"/>
      <c r="BM1238" s="304"/>
      <c r="BN1238" s="28"/>
      <c r="BO1238" s="304"/>
      <c r="BP1238" s="304"/>
      <c r="BQ1238" s="28"/>
      <c r="BR1238" s="304"/>
      <c r="BS1238" s="304"/>
      <c r="BT1238" s="28"/>
      <c r="BU1238" s="304"/>
      <c r="BV1238" s="304"/>
      <c r="BW1238" s="28"/>
      <c r="BX1238" s="91"/>
    </row>
    <row r="1239" spans="1:76" s="55" customFormat="1" x14ac:dyDescent="0.25">
      <c r="A1239" s="195">
        <v>14</v>
      </c>
      <c r="B1239" s="216" t="str">
        <f t="shared" si="796"/>
        <v>Middle East and Africa: FAO. 2017. Reducing Enteric Methane for improving food security and livelihoods</v>
      </c>
      <c r="C1239" s="219" t="s">
        <v>488</v>
      </c>
      <c r="D1239" s="379" t="s">
        <v>252</v>
      </c>
      <c r="E1239" s="219" t="s">
        <v>99</v>
      </c>
      <c r="F1239" s="330" t="s">
        <v>253</v>
      </c>
      <c r="G1239" s="220" t="s">
        <v>26</v>
      </c>
      <c r="H1239" s="221">
        <v>2017</v>
      </c>
      <c r="I1239" s="240"/>
      <c r="J1239" s="377">
        <v>2.1</v>
      </c>
      <c r="K1239" s="382" t="s">
        <v>489</v>
      </c>
      <c r="L1239" s="383">
        <f>(J1239*0.001*0.008/0.032)</f>
        <v>5.2500000000000008E-4</v>
      </c>
      <c r="M1239" s="225" t="str">
        <f>CONCATENATE("t CO2-eq/ ",IF('[1]Advanced Controls'!$F$169="Implementation",AdoptionUnitOfMeasure,FunctionalUnitOfMeasure))</f>
        <v>t CO2-eq/ kg of protein</v>
      </c>
      <c r="N1239" s="227"/>
      <c r="O1239" s="227" t="s">
        <v>704</v>
      </c>
      <c r="P1239" s="122"/>
      <c r="Q1239" s="228"/>
      <c r="R1239" s="231">
        <f t="shared" si="793"/>
        <v>5.2500000000000008E-4</v>
      </c>
      <c r="S1239" s="230">
        <f t="shared" si="781"/>
        <v>5.2500000000000008E-4</v>
      </c>
      <c r="T1239" s="231" t="str">
        <f t="shared" si="795"/>
        <v/>
      </c>
      <c r="U1239" s="232" t="str">
        <f t="shared" si="782"/>
        <v>t CO2-eq/ kg of protein</v>
      </c>
      <c r="V1239" s="28"/>
      <c r="W1239" s="28"/>
      <c r="Y1239" s="91"/>
      <c r="AO1239" s="91"/>
      <c r="AP1239" s="28"/>
      <c r="AQ1239" s="28"/>
      <c r="AR1239" s="237"/>
      <c r="AS1239" s="28"/>
      <c r="AT1239" s="304"/>
      <c r="AU1239" s="304"/>
      <c r="AV1239" s="28"/>
      <c r="AW1239" s="304"/>
      <c r="AX1239" s="304"/>
      <c r="AY1239" s="28"/>
      <c r="AZ1239" s="304"/>
      <c r="BA1239" s="304"/>
      <c r="BB1239" s="28"/>
      <c r="BC1239" s="304"/>
      <c r="BD1239" s="304"/>
      <c r="BE1239" s="28"/>
      <c r="BF1239" s="304"/>
      <c r="BG1239" s="304"/>
      <c r="BH1239" s="28"/>
      <c r="BI1239" s="304"/>
      <c r="BJ1239" s="304"/>
      <c r="BK1239" s="28"/>
      <c r="BL1239" s="304"/>
      <c r="BM1239" s="304"/>
      <c r="BN1239" s="28"/>
      <c r="BO1239" s="304"/>
      <c r="BP1239" s="304"/>
      <c r="BQ1239" s="28"/>
      <c r="BR1239" s="304"/>
      <c r="BS1239" s="304"/>
      <c r="BT1239" s="28"/>
      <c r="BU1239" s="304"/>
      <c r="BV1239" s="304"/>
      <c r="BW1239" s="28"/>
      <c r="BX1239" s="91"/>
    </row>
    <row r="1240" spans="1:76" s="55" customFormat="1" x14ac:dyDescent="0.25">
      <c r="A1240" s="195">
        <v>15</v>
      </c>
      <c r="B1240" s="216" t="str">
        <f t="shared" si="796"/>
        <v>Middle East and Africa: FAO. 2017. Reducing Enteric Methane for improving food security and livelihoods</v>
      </c>
      <c r="C1240" s="219" t="s">
        <v>488</v>
      </c>
      <c r="D1240" s="379" t="s">
        <v>240</v>
      </c>
      <c r="E1240" s="219" t="s">
        <v>99</v>
      </c>
      <c r="F1240" s="330" t="s">
        <v>241</v>
      </c>
      <c r="G1240" s="220" t="s">
        <v>26</v>
      </c>
      <c r="H1240" s="221">
        <v>2017</v>
      </c>
      <c r="I1240" s="240"/>
      <c r="J1240" s="377">
        <v>44.6</v>
      </c>
      <c r="K1240" s="382" t="s">
        <v>489</v>
      </c>
      <c r="L1240" s="383">
        <f>(J1240*0.001*0.004/0.032)</f>
        <v>5.5750000000000001E-3</v>
      </c>
      <c r="M1240" s="225" t="str">
        <f>CONCATENATE("t CO2-eq/ ",IF('[1]Advanced Controls'!$F$169="Implementation",AdoptionUnitOfMeasure,FunctionalUnitOfMeasure))</f>
        <v>t CO2-eq/ kg of protein</v>
      </c>
      <c r="N1240" s="227"/>
      <c r="O1240" s="227" t="s">
        <v>705</v>
      </c>
      <c r="P1240" s="122"/>
      <c r="Q1240" s="228"/>
      <c r="R1240" s="231">
        <f t="shared" si="793"/>
        <v>5.5750000000000001E-3</v>
      </c>
      <c r="S1240" s="230">
        <f t="shared" si="781"/>
        <v>5.5750000000000001E-3</v>
      </c>
      <c r="T1240" s="231">
        <f t="shared" si="795"/>
        <v>0</v>
      </c>
      <c r="U1240" s="232" t="str">
        <f t="shared" si="782"/>
        <v>t CO2-eq/ kg of protein</v>
      </c>
      <c r="V1240" s="28"/>
      <c r="W1240" s="28"/>
      <c r="Y1240" s="91"/>
      <c r="AO1240" s="91"/>
      <c r="AP1240" s="28"/>
      <c r="AQ1240" s="28"/>
      <c r="AR1240" s="237"/>
      <c r="AS1240" s="28"/>
      <c r="AT1240" s="304"/>
      <c r="AU1240" s="304"/>
      <c r="AV1240" s="28"/>
      <c r="AW1240" s="304"/>
      <c r="AX1240" s="304"/>
      <c r="AY1240" s="28"/>
      <c r="AZ1240" s="304"/>
      <c r="BA1240" s="304"/>
      <c r="BB1240" s="28"/>
      <c r="BC1240" s="304"/>
      <c r="BD1240" s="304"/>
      <c r="BE1240" s="28"/>
      <c r="BF1240" s="304"/>
      <c r="BG1240" s="304"/>
      <c r="BH1240" s="28"/>
      <c r="BI1240" s="304"/>
      <c r="BJ1240" s="304"/>
      <c r="BK1240" s="28"/>
      <c r="BL1240" s="304"/>
      <c r="BM1240" s="304"/>
      <c r="BN1240" s="28"/>
      <c r="BO1240" s="304"/>
      <c r="BP1240" s="304"/>
      <c r="BQ1240" s="28"/>
      <c r="BR1240" s="304"/>
      <c r="BS1240" s="304"/>
      <c r="BT1240" s="28"/>
      <c r="BU1240" s="304"/>
      <c r="BV1240" s="304"/>
      <c r="BW1240" s="28"/>
      <c r="BX1240" s="91"/>
    </row>
    <row r="1241" spans="1:76" s="55" customFormat="1" x14ac:dyDescent="0.25">
      <c r="A1241" s="195">
        <v>16</v>
      </c>
      <c r="B1241" s="216" t="str">
        <f t="shared" si="796"/>
        <v>Middle East and Africa: FAO. 2017. Reducing Enteric Methane for improving food security and livelihoods</v>
      </c>
      <c r="C1241" s="219" t="s">
        <v>488</v>
      </c>
      <c r="D1241" s="379" t="s">
        <v>240</v>
      </c>
      <c r="E1241" s="219" t="s">
        <v>99</v>
      </c>
      <c r="F1241" s="330" t="s">
        <v>241</v>
      </c>
      <c r="G1241" s="220" t="s">
        <v>26</v>
      </c>
      <c r="H1241" s="221">
        <v>2017</v>
      </c>
      <c r="I1241" s="240"/>
      <c r="J1241" s="377">
        <v>18.899999999999999</v>
      </c>
      <c r="K1241" s="382" t="s">
        <v>489</v>
      </c>
      <c r="L1241" s="383">
        <f t="shared" ref="L1241:L1244" si="799">(J1241*0.001*0.004/0.032)</f>
        <v>2.3625E-3</v>
      </c>
      <c r="M1241" s="225" t="str">
        <f>CONCATENATE("t CO2-eq/ ",IF('[1]Advanced Controls'!$F$169="Implementation",AdoptionUnitOfMeasure,FunctionalUnitOfMeasure))</f>
        <v>t CO2-eq/ kg of protein</v>
      </c>
      <c r="N1241" s="227"/>
      <c r="O1241" s="227" t="s">
        <v>706</v>
      </c>
      <c r="P1241" s="122"/>
      <c r="Q1241" s="228"/>
      <c r="R1241" s="231">
        <f t="shared" si="793"/>
        <v>2.3625E-3</v>
      </c>
      <c r="S1241" s="230">
        <f t="shared" si="781"/>
        <v>2.3625E-3</v>
      </c>
      <c r="T1241" s="231" t="str">
        <f t="shared" si="795"/>
        <v/>
      </c>
      <c r="U1241" s="232" t="str">
        <f t="shared" si="782"/>
        <v>t CO2-eq/ kg of protein</v>
      </c>
      <c r="V1241" s="28"/>
      <c r="W1241" s="28"/>
      <c r="Y1241" s="91"/>
      <c r="AO1241" s="91"/>
      <c r="AP1241" s="28"/>
      <c r="AQ1241" s="28"/>
      <c r="AR1241" s="237"/>
      <c r="AS1241" s="28"/>
      <c r="AT1241" s="304"/>
      <c r="AU1241" s="304"/>
      <c r="AV1241" s="28"/>
      <c r="AW1241" s="304"/>
      <c r="AX1241" s="304"/>
      <c r="AY1241" s="28"/>
      <c r="AZ1241" s="304"/>
      <c r="BA1241" s="304"/>
      <c r="BB1241" s="28"/>
      <c r="BC1241" s="304"/>
      <c r="BD1241" s="304"/>
      <c r="BE1241" s="28"/>
      <c r="BF1241" s="304"/>
      <c r="BG1241" s="304"/>
      <c r="BH1241" s="28"/>
      <c r="BI1241" s="304"/>
      <c r="BJ1241" s="304"/>
      <c r="BK1241" s="28"/>
      <c r="BL1241" s="304"/>
      <c r="BM1241" s="304"/>
      <c r="BN1241" s="28"/>
      <c r="BO1241" s="304"/>
      <c r="BP1241" s="304"/>
      <c r="BQ1241" s="28"/>
      <c r="BR1241" s="304"/>
      <c r="BS1241" s="304"/>
      <c r="BT1241" s="28"/>
      <c r="BU1241" s="304"/>
      <c r="BV1241" s="304"/>
      <c r="BW1241" s="28"/>
      <c r="BX1241" s="91"/>
    </row>
    <row r="1242" spans="1:76" s="55" customFormat="1" x14ac:dyDescent="0.25">
      <c r="A1242" s="195">
        <v>17</v>
      </c>
      <c r="B1242" s="216" t="str">
        <f t="shared" si="796"/>
        <v>Middle East and Africa: FAO. 2017. Reducing Enteric Methane for improving food security and livelihoods</v>
      </c>
      <c r="C1242" s="219" t="s">
        <v>488</v>
      </c>
      <c r="D1242" s="379" t="s">
        <v>240</v>
      </c>
      <c r="E1242" s="219" t="s">
        <v>99</v>
      </c>
      <c r="F1242" s="330" t="s">
        <v>241</v>
      </c>
      <c r="G1242" s="220" t="s">
        <v>26</v>
      </c>
      <c r="H1242" s="221">
        <v>2017</v>
      </c>
      <c r="I1242" s="240"/>
      <c r="J1242" s="377">
        <v>44.6</v>
      </c>
      <c r="K1242" s="382" t="s">
        <v>489</v>
      </c>
      <c r="L1242" s="383">
        <f t="shared" si="799"/>
        <v>5.5750000000000001E-3</v>
      </c>
      <c r="M1242" s="225" t="str">
        <f>CONCATENATE("t CO2-eq/ ",IF('[1]Advanced Controls'!$F$169="Implementation",AdoptionUnitOfMeasure,FunctionalUnitOfMeasure))</f>
        <v>t CO2-eq/ kg of protein</v>
      </c>
      <c r="N1242" s="227"/>
      <c r="O1242" s="227" t="s">
        <v>707</v>
      </c>
      <c r="P1242" s="122"/>
      <c r="Q1242" s="228"/>
      <c r="R1242" s="231">
        <f t="shared" si="793"/>
        <v>5.5750000000000001E-3</v>
      </c>
      <c r="S1242" s="230">
        <f t="shared" si="781"/>
        <v>5.5750000000000001E-3</v>
      </c>
      <c r="T1242" s="231">
        <f t="shared" si="795"/>
        <v>0</v>
      </c>
      <c r="U1242" s="232" t="str">
        <f t="shared" si="782"/>
        <v>t CO2-eq/ kg of protein</v>
      </c>
      <c r="V1242" s="28"/>
      <c r="W1242" s="28"/>
      <c r="Y1242" s="91"/>
      <c r="AO1242" s="91"/>
      <c r="AP1242" s="28"/>
      <c r="AQ1242" s="28"/>
      <c r="AR1242" s="237"/>
      <c r="AS1242" s="28"/>
      <c r="AT1242" s="304"/>
      <c r="AU1242" s="304"/>
      <c r="AV1242" s="28"/>
      <c r="AW1242" s="304"/>
      <c r="AX1242" s="304"/>
      <c r="AY1242" s="28"/>
      <c r="AZ1242" s="304"/>
      <c r="BA1242" s="304"/>
      <c r="BB1242" s="28"/>
      <c r="BC1242" s="304"/>
      <c r="BD1242" s="304"/>
      <c r="BE1242" s="28"/>
      <c r="BF1242" s="304"/>
      <c r="BG1242" s="304"/>
      <c r="BH1242" s="28"/>
      <c r="BI1242" s="304"/>
      <c r="BJ1242" s="304"/>
      <c r="BK1242" s="28"/>
      <c r="BL1242" s="304"/>
      <c r="BM1242" s="304"/>
      <c r="BN1242" s="28"/>
      <c r="BO1242" s="304"/>
      <c r="BP1242" s="304"/>
      <c r="BQ1242" s="28"/>
      <c r="BR1242" s="304"/>
      <c r="BS1242" s="304"/>
      <c r="BT1242" s="28"/>
      <c r="BU1242" s="304"/>
      <c r="BV1242" s="304"/>
      <c r="BW1242" s="28"/>
      <c r="BX1242" s="91"/>
    </row>
    <row r="1243" spans="1:76" s="55" customFormat="1" x14ac:dyDescent="0.25">
      <c r="A1243" s="195">
        <v>18</v>
      </c>
      <c r="B1243" s="216" t="str">
        <f t="shared" si="796"/>
        <v>Middle East and Africa: FAO. 2017. Reducing Enteric Methane for improving food security and livelihoods</v>
      </c>
      <c r="C1243" s="219" t="s">
        <v>488</v>
      </c>
      <c r="D1243" s="379" t="s">
        <v>240</v>
      </c>
      <c r="E1243" s="219" t="s">
        <v>99</v>
      </c>
      <c r="F1243" s="330" t="s">
        <v>241</v>
      </c>
      <c r="G1243" s="220" t="s">
        <v>26</v>
      </c>
      <c r="H1243" s="221">
        <v>2017</v>
      </c>
      <c r="I1243" s="240"/>
      <c r="J1243" s="377">
        <v>8.6999999999999993</v>
      </c>
      <c r="K1243" s="382" t="s">
        <v>489</v>
      </c>
      <c r="L1243" s="383">
        <f t="shared" si="799"/>
        <v>1.0874999999999999E-3</v>
      </c>
      <c r="M1243" s="225" t="str">
        <f>CONCATENATE("t CO2-eq/ ",IF('[1]Advanced Controls'!$F$169="Implementation",AdoptionUnitOfMeasure,FunctionalUnitOfMeasure))</f>
        <v>t CO2-eq/ kg of protein</v>
      </c>
      <c r="N1243" s="227"/>
      <c r="O1243" s="227" t="s">
        <v>708</v>
      </c>
      <c r="P1243" s="122"/>
      <c r="Q1243" s="228"/>
      <c r="R1243" s="231">
        <f t="shared" si="793"/>
        <v>1.0874999999999999E-3</v>
      </c>
      <c r="S1243" s="230">
        <f t="shared" si="781"/>
        <v>1.0874999999999999E-3</v>
      </c>
      <c r="T1243" s="231">
        <f t="shared" si="795"/>
        <v>0</v>
      </c>
      <c r="U1243" s="232" t="str">
        <f t="shared" si="782"/>
        <v>t CO2-eq/ kg of protein</v>
      </c>
      <c r="V1243" s="28"/>
      <c r="W1243" s="28"/>
      <c r="Y1243" s="91"/>
      <c r="AO1243" s="91"/>
      <c r="AP1243" s="28"/>
      <c r="AQ1243" s="28"/>
      <c r="AR1243" s="237"/>
      <c r="AS1243" s="28"/>
      <c r="AT1243" s="304"/>
      <c r="AU1243" s="304"/>
      <c r="AV1243" s="28"/>
      <c r="AW1243" s="304"/>
      <c r="AX1243" s="304"/>
      <c r="AY1243" s="28"/>
      <c r="AZ1243" s="304"/>
      <c r="BA1243" s="304"/>
      <c r="BB1243" s="28"/>
      <c r="BC1243" s="304"/>
      <c r="BD1243" s="304"/>
      <c r="BE1243" s="28"/>
      <c r="BF1243" s="304"/>
      <c r="BG1243" s="304"/>
      <c r="BH1243" s="28"/>
      <c r="BI1243" s="304"/>
      <c r="BJ1243" s="304"/>
      <c r="BK1243" s="28"/>
      <c r="BL1243" s="304"/>
      <c r="BM1243" s="304"/>
      <c r="BN1243" s="28"/>
      <c r="BO1243" s="304"/>
      <c r="BP1243" s="304"/>
      <c r="BQ1243" s="28"/>
      <c r="BR1243" s="304"/>
      <c r="BS1243" s="304"/>
      <c r="BT1243" s="28"/>
      <c r="BU1243" s="304"/>
      <c r="BV1243" s="304"/>
      <c r="BW1243" s="28"/>
      <c r="BX1243" s="91"/>
    </row>
    <row r="1244" spans="1:76" s="55" customFormat="1" x14ac:dyDescent="0.25">
      <c r="A1244" s="195">
        <v>19</v>
      </c>
      <c r="B1244" s="216" t="str">
        <f t="shared" si="796"/>
        <v>Middle East and Africa: FAO. 2017. Reducing Enteric Methane for improving food security and livelihoods</v>
      </c>
      <c r="C1244" s="219" t="s">
        <v>488</v>
      </c>
      <c r="D1244" s="379" t="s">
        <v>240</v>
      </c>
      <c r="E1244" s="219" t="s">
        <v>99</v>
      </c>
      <c r="F1244" s="330" t="s">
        <v>241</v>
      </c>
      <c r="G1244" s="220" t="s">
        <v>26</v>
      </c>
      <c r="H1244" s="221">
        <v>2017</v>
      </c>
      <c r="I1244" s="240"/>
      <c r="J1244" s="377">
        <v>3.8</v>
      </c>
      <c r="K1244" s="382" t="s">
        <v>489</v>
      </c>
      <c r="L1244" s="383">
        <f t="shared" si="799"/>
        <v>4.75E-4</v>
      </c>
      <c r="M1244" s="225" t="str">
        <f>CONCATENATE("t CO2-eq/ ",IF('[1]Advanced Controls'!$F$169="Implementation",AdoptionUnitOfMeasure,FunctionalUnitOfMeasure))</f>
        <v>t CO2-eq/ kg of protein</v>
      </c>
      <c r="N1244" s="227"/>
      <c r="O1244" s="227" t="s">
        <v>709</v>
      </c>
      <c r="P1244" s="122"/>
      <c r="Q1244" s="228"/>
      <c r="R1244" s="231">
        <f t="shared" si="793"/>
        <v>4.75E-4</v>
      </c>
      <c r="S1244" s="230">
        <f t="shared" si="781"/>
        <v>4.75E-4</v>
      </c>
      <c r="T1244" s="231" t="str">
        <f t="shared" si="795"/>
        <v/>
      </c>
      <c r="U1244" s="232" t="str">
        <f t="shared" si="782"/>
        <v>t CO2-eq/ kg of protein</v>
      </c>
      <c r="V1244" s="28"/>
      <c r="W1244" s="28"/>
      <c r="Y1244" s="91"/>
      <c r="AO1244" s="91"/>
      <c r="AP1244" s="28"/>
      <c r="AQ1244" s="28"/>
      <c r="AR1244" s="237"/>
      <c r="AS1244" s="28"/>
      <c r="AT1244" s="304"/>
      <c r="AU1244" s="304"/>
      <c r="AV1244" s="28"/>
      <c r="AW1244" s="304"/>
      <c r="AX1244" s="304"/>
      <c r="AY1244" s="28"/>
      <c r="AZ1244" s="304"/>
      <c r="BA1244" s="304"/>
      <c r="BB1244" s="28"/>
      <c r="BC1244" s="304"/>
      <c r="BD1244" s="304"/>
      <c r="BE1244" s="28"/>
      <c r="BF1244" s="304"/>
      <c r="BG1244" s="304"/>
      <c r="BH1244" s="28"/>
      <c r="BI1244" s="304"/>
      <c r="BJ1244" s="304"/>
      <c r="BK1244" s="28"/>
      <c r="BL1244" s="304"/>
      <c r="BM1244" s="304"/>
      <c r="BN1244" s="28"/>
      <c r="BO1244" s="304"/>
      <c r="BP1244" s="304"/>
      <c r="BQ1244" s="28"/>
      <c r="BR1244" s="304"/>
      <c r="BS1244" s="304"/>
      <c r="BT1244" s="28"/>
      <c r="BU1244" s="304"/>
      <c r="BV1244" s="304"/>
      <c r="BW1244" s="28"/>
      <c r="BX1244" s="91"/>
    </row>
    <row r="1245" spans="1:76" s="55" customFormat="1" x14ac:dyDescent="0.25">
      <c r="A1245" s="195">
        <v>20</v>
      </c>
      <c r="B1245" s="216" t="str">
        <f t="shared" si="796"/>
        <v>Middle East and Africa: FAO. 2017. Reducing Enteric Methane for improving food security and livelihoods</v>
      </c>
      <c r="C1245" s="219" t="s">
        <v>488</v>
      </c>
      <c r="D1245" s="379" t="s">
        <v>279</v>
      </c>
      <c r="E1245" s="219" t="s">
        <v>99</v>
      </c>
      <c r="F1245" s="330" t="s">
        <v>280</v>
      </c>
      <c r="G1245" s="220" t="s">
        <v>26</v>
      </c>
      <c r="H1245" s="221">
        <v>2017</v>
      </c>
      <c r="I1245" s="240"/>
      <c r="J1245" s="377">
        <v>28.8</v>
      </c>
      <c r="K1245" s="382" t="s">
        <v>489</v>
      </c>
      <c r="L1245" s="383">
        <f>(J1245*0.001*0.003/0.032)</f>
        <v>2.7000000000000001E-3</v>
      </c>
      <c r="M1245" s="225" t="str">
        <f>CONCATENATE("t CO2-eq/ ",IF('[1]Advanced Controls'!$F$169="Implementation",AdoptionUnitOfMeasure,FunctionalUnitOfMeasure))</f>
        <v>t CO2-eq/ kg of protein</v>
      </c>
      <c r="N1245" s="227"/>
      <c r="O1245" s="227" t="s">
        <v>710</v>
      </c>
      <c r="P1245" s="122"/>
      <c r="Q1245" s="228"/>
      <c r="R1245" s="231">
        <f t="shared" si="793"/>
        <v>2.7000000000000001E-3</v>
      </c>
      <c r="S1245" s="230">
        <f t="shared" si="781"/>
        <v>2.7000000000000001E-3</v>
      </c>
      <c r="T1245" s="231">
        <f t="shared" si="795"/>
        <v>0</v>
      </c>
      <c r="U1245" s="232" t="str">
        <f t="shared" si="782"/>
        <v>t CO2-eq/ kg of protein</v>
      </c>
      <c r="V1245" s="28"/>
      <c r="W1245" s="28"/>
      <c r="Y1245" s="91"/>
      <c r="AO1245" s="91"/>
      <c r="AP1245" s="28"/>
      <c r="AQ1245" s="28"/>
      <c r="AR1245" s="237"/>
      <c r="AS1245" s="28"/>
      <c r="AT1245" s="304"/>
      <c r="AU1245" s="304"/>
      <c r="AV1245" s="28"/>
      <c r="AW1245" s="304"/>
      <c r="AX1245" s="304"/>
      <c r="AY1245" s="28"/>
      <c r="AZ1245" s="304"/>
      <c r="BA1245" s="304"/>
      <c r="BB1245" s="28"/>
      <c r="BC1245" s="304"/>
      <c r="BD1245" s="304"/>
      <c r="BE1245" s="28"/>
      <c r="BF1245" s="304"/>
      <c r="BG1245" s="304"/>
      <c r="BH1245" s="28"/>
      <c r="BI1245" s="304"/>
      <c r="BJ1245" s="304"/>
      <c r="BK1245" s="28"/>
      <c r="BL1245" s="304"/>
      <c r="BM1245" s="304"/>
      <c r="BN1245" s="28"/>
      <c r="BO1245" s="304"/>
      <c r="BP1245" s="304"/>
      <c r="BQ1245" s="28"/>
      <c r="BR1245" s="304"/>
      <c r="BS1245" s="304"/>
      <c r="BT1245" s="28"/>
      <c r="BU1245" s="304"/>
      <c r="BV1245" s="304"/>
      <c r="BW1245" s="28"/>
      <c r="BX1245" s="91"/>
    </row>
    <row r="1246" spans="1:76" s="55" customFormat="1" x14ac:dyDescent="0.25">
      <c r="A1246" s="195">
        <v>21</v>
      </c>
      <c r="B1246" s="216" t="str">
        <f t="shared" si="796"/>
        <v>Middle East and Africa: FAO. 2017. Reducing Enteric Methane for improving food security and livelihoods</v>
      </c>
      <c r="C1246" s="219" t="s">
        <v>488</v>
      </c>
      <c r="D1246" s="379" t="s">
        <v>279</v>
      </c>
      <c r="E1246" s="219" t="s">
        <v>99</v>
      </c>
      <c r="F1246" s="330" t="s">
        <v>280</v>
      </c>
      <c r="G1246" s="220" t="s">
        <v>26</v>
      </c>
      <c r="H1246" s="221">
        <v>2017</v>
      </c>
      <c r="I1246" s="240"/>
      <c r="J1246" s="377">
        <v>2.2000000000000002</v>
      </c>
      <c r="K1246" s="382" t="s">
        <v>489</v>
      </c>
      <c r="L1246" s="383">
        <f t="shared" ref="L1246:L1248" si="800">(J1246*0.001*0.003/0.032)</f>
        <v>2.0625E-4</v>
      </c>
      <c r="M1246" s="225" t="str">
        <f>CONCATENATE("t CO2-eq/ ",IF('[1]Advanced Controls'!$F$169="Implementation",AdoptionUnitOfMeasure,FunctionalUnitOfMeasure))</f>
        <v>t CO2-eq/ kg of protein</v>
      </c>
      <c r="N1246" s="227"/>
      <c r="O1246" s="227" t="s">
        <v>711</v>
      </c>
      <c r="P1246" s="122"/>
      <c r="Q1246" s="228"/>
      <c r="R1246" s="231">
        <f t="shared" si="793"/>
        <v>2.0625E-4</v>
      </c>
      <c r="S1246" s="230">
        <f t="shared" si="781"/>
        <v>2.0625E-4</v>
      </c>
      <c r="T1246" s="231">
        <f t="shared" si="795"/>
        <v>0</v>
      </c>
      <c r="U1246" s="232" t="str">
        <f t="shared" si="782"/>
        <v>t CO2-eq/ kg of protein</v>
      </c>
      <c r="V1246" s="28"/>
      <c r="W1246" s="28"/>
      <c r="Y1246" s="91"/>
      <c r="AO1246" s="91"/>
      <c r="AP1246" s="28"/>
      <c r="AQ1246" s="28"/>
      <c r="AR1246" s="237"/>
      <c r="AS1246" s="28"/>
      <c r="AT1246" s="304"/>
      <c r="AU1246" s="304"/>
      <c r="AV1246" s="28"/>
      <c r="AW1246" s="304"/>
      <c r="AX1246" s="304"/>
      <c r="AY1246" s="28"/>
      <c r="AZ1246" s="304"/>
      <c r="BA1246" s="304"/>
      <c r="BB1246" s="28"/>
      <c r="BC1246" s="304"/>
      <c r="BD1246" s="304"/>
      <c r="BE1246" s="28"/>
      <c r="BF1246" s="304"/>
      <c r="BG1246" s="304"/>
      <c r="BH1246" s="28"/>
      <c r="BI1246" s="304"/>
      <c r="BJ1246" s="304"/>
      <c r="BK1246" s="28"/>
      <c r="BL1246" s="304"/>
      <c r="BM1246" s="304"/>
      <c r="BN1246" s="28"/>
      <c r="BO1246" s="304"/>
      <c r="BP1246" s="304"/>
      <c r="BQ1246" s="28"/>
      <c r="BR1246" s="304"/>
      <c r="BS1246" s="304"/>
      <c r="BT1246" s="28"/>
      <c r="BU1246" s="304"/>
      <c r="BV1246" s="304"/>
      <c r="BW1246" s="28"/>
      <c r="BX1246" s="91"/>
    </row>
    <row r="1247" spans="1:76" s="55" customFormat="1" x14ac:dyDescent="0.25">
      <c r="A1247" s="195">
        <v>22</v>
      </c>
      <c r="B1247" s="216" t="str">
        <f t="shared" si="796"/>
        <v>Middle East and Africa: FAO. 2017. Reducing Enteric Methane for improving food security and livelihoods</v>
      </c>
      <c r="C1247" s="219" t="s">
        <v>488</v>
      </c>
      <c r="D1247" s="379" t="s">
        <v>279</v>
      </c>
      <c r="E1247" s="219" t="s">
        <v>99</v>
      </c>
      <c r="F1247" s="330" t="s">
        <v>280</v>
      </c>
      <c r="G1247" s="220" t="s">
        <v>26</v>
      </c>
      <c r="H1247" s="221">
        <v>2017</v>
      </c>
      <c r="I1247" s="240"/>
      <c r="J1247" s="377">
        <v>28.8</v>
      </c>
      <c r="K1247" s="382" t="s">
        <v>489</v>
      </c>
      <c r="L1247" s="383">
        <f t="shared" si="800"/>
        <v>2.7000000000000001E-3</v>
      </c>
      <c r="M1247" s="225" t="str">
        <f>CONCATENATE("t CO2-eq/ ",IF('[1]Advanced Controls'!$F$169="Implementation",AdoptionUnitOfMeasure,FunctionalUnitOfMeasure))</f>
        <v>t CO2-eq/ kg of protein</v>
      </c>
      <c r="N1247" s="227"/>
      <c r="O1247" s="227" t="s">
        <v>712</v>
      </c>
      <c r="P1247" s="122"/>
      <c r="Q1247" s="228"/>
      <c r="R1247" s="231">
        <f t="shared" si="793"/>
        <v>2.7000000000000001E-3</v>
      </c>
      <c r="S1247" s="230">
        <f t="shared" si="781"/>
        <v>2.7000000000000001E-3</v>
      </c>
      <c r="T1247" s="231">
        <f t="shared" si="795"/>
        <v>0</v>
      </c>
      <c r="U1247" s="232" t="str">
        <f t="shared" si="782"/>
        <v>t CO2-eq/ kg of protein</v>
      </c>
      <c r="V1247" s="28"/>
      <c r="W1247" s="28"/>
      <c r="Y1247" s="91"/>
      <c r="AO1247" s="91"/>
      <c r="AP1247" s="28"/>
      <c r="AQ1247" s="28"/>
      <c r="AR1247" s="237"/>
      <c r="AS1247" s="28"/>
      <c r="AT1247" s="304"/>
      <c r="AU1247" s="304"/>
      <c r="AV1247" s="28"/>
      <c r="AW1247" s="304"/>
      <c r="AX1247" s="304"/>
      <c r="AY1247" s="28"/>
      <c r="AZ1247" s="304"/>
      <c r="BA1247" s="304"/>
      <c r="BB1247" s="28"/>
      <c r="BC1247" s="304"/>
      <c r="BD1247" s="304"/>
      <c r="BE1247" s="28"/>
      <c r="BF1247" s="304"/>
      <c r="BG1247" s="304"/>
      <c r="BH1247" s="28"/>
      <c r="BI1247" s="304"/>
      <c r="BJ1247" s="304"/>
      <c r="BK1247" s="28"/>
      <c r="BL1247" s="304"/>
      <c r="BM1247" s="304"/>
      <c r="BN1247" s="28"/>
      <c r="BO1247" s="304"/>
      <c r="BP1247" s="304"/>
      <c r="BQ1247" s="28"/>
      <c r="BR1247" s="304"/>
      <c r="BS1247" s="304"/>
      <c r="BT1247" s="28"/>
      <c r="BU1247" s="304"/>
      <c r="BV1247" s="304"/>
      <c r="BW1247" s="28"/>
      <c r="BX1247" s="91"/>
    </row>
    <row r="1248" spans="1:76" s="55" customFormat="1" x14ac:dyDescent="0.25">
      <c r="A1248" s="195">
        <v>23</v>
      </c>
      <c r="B1248" s="216" t="str">
        <f t="shared" si="796"/>
        <v>Middle East and Africa: FAO. 2017. Reducing Enteric Methane for improving food security and livelihoods</v>
      </c>
      <c r="C1248" s="219" t="s">
        <v>488</v>
      </c>
      <c r="D1248" s="379" t="s">
        <v>279</v>
      </c>
      <c r="E1248" s="219" t="s">
        <v>99</v>
      </c>
      <c r="F1248" s="330" t="s">
        <v>280</v>
      </c>
      <c r="G1248" s="220" t="s">
        <v>26</v>
      </c>
      <c r="H1248" s="221">
        <v>2017</v>
      </c>
      <c r="I1248" s="240"/>
      <c r="J1248" s="377">
        <v>2.2000000000000002</v>
      </c>
      <c r="K1248" s="382" t="s">
        <v>489</v>
      </c>
      <c r="L1248" s="383">
        <f t="shared" si="800"/>
        <v>2.0625E-4</v>
      </c>
      <c r="M1248" s="225" t="str">
        <f>CONCATENATE("t CO2-eq/ ",IF('[1]Advanced Controls'!$F$169="Implementation",AdoptionUnitOfMeasure,FunctionalUnitOfMeasure))</f>
        <v>t CO2-eq/ kg of protein</v>
      </c>
      <c r="N1248" s="227"/>
      <c r="O1248" s="227" t="s">
        <v>713</v>
      </c>
      <c r="P1248" s="122"/>
      <c r="Q1248" s="228"/>
      <c r="R1248" s="231">
        <f t="shared" si="793"/>
        <v>2.0625E-4</v>
      </c>
      <c r="S1248" s="230">
        <f t="shared" si="781"/>
        <v>2.0625E-4</v>
      </c>
      <c r="T1248" s="231">
        <f t="shared" si="795"/>
        <v>0</v>
      </c>
      <c r="U1248" s="232" t="str">
        <f t="shared" si="782"/>
        <v>t CO2-eq/ kg of protein</v>
      </c>
      <c r="V1248" s="28"/>
      <c r="W1248" s="28"/>
      <c r="Y1248" s="91"/>
      <c r="AO1248" s="91"/>
      <c r="AP1248" s="28"/>
      <c r="AQ1248" s="28"/>
      <c r="AR1248" s="237"/>
      <c r="AS1248" s="28"/>
      <c r="AT1248" s="304"/>
      <c r="AU1248" s="304"/>
      <c r="AV1248" s="28"/>
      <c r="AW1248" s="304"/>
      <c r="AX1248" s="304"/>
      <c r="AY1248" s="28"/>
      <c r="AZ1248" s="304"/>
      <c r="BA1248" s="304"/>
      <c r="BB1248" s="28"/>
      <c r="BC1248" s="304"/>
      <c r="BD1248" s="304"/>
      <c r="BE1248" s="28"/>
      <c r="BF1248" s="304"/>
      <c r="BG1248" s="304"/>
      <c r="BH1248" s="28"/>
      <c r="BI1248" s="304"/>
      <c r="BJ1248" s="304"/>
      <c r="BK1248" s="28"/>
      <c r="BL1248" s="304"/>
      <c r="BM1248" s="304"/>
      <c r="BN1248" s="28"/>
      <c r="BO1248" s="304"/>
      <c r="BP1248" s="304"/>
      <c r="BQ1248" s="28"/>
      <c r="BR1248" s="304"/>
      <c r="BS1248" s="304"/>
      <c r="BT1248" s="28"/>
      <c r="BU1248" s="304"/>
      <c r="BV1248" s="304"/>
      <c r="BW1248" s="28"/>
      <c r="BX1248" s="91"/>
    </row>
    <row r="1249" spans="1:76" s="55" customFormat="1" x14ac:dyDescent="0.25">
      <c r="A1249" s="195">
        <v>24</v>
      </c>
      <c r="B1249" s="216" t="str">
        <f t="shared" si="796"/>
        <v>Middle East and Africa: FAO. 2017. Reducing Enteric Methane for improving food security and livelihoods</v>
      </c>
      <c r="C1249" s="219" t="s">
        <v>488</v>
      </c>
      <c r="D1249" s="379" t="s">
        <v>287</v>
      </c>
      <c r="E1249" s="219" t="s">
        <v>99</v>
      </c>
      <c r="F1249" s="330" t="s">
        <v>288</v>
      </c>
      <c r="G1249" s="220" t="s">
        <v>26</v>
      </c>
      <c r="H1249" s="221">
        <v>2017</v>
      </c>
      <c r="I1249" s="240"/>
      <c r="J1249" s="377">
        <v>4.7</v>
      </c>
      <c r="K1249" s="382" t="s">
        <v>489</v>
      </c>
      <c r="L1249" s="383">
        <f>(J1249*0.001*0.001/0.032)</f>
        <v>1.4687500000000001E-4</v>
      </c>
      <c r="M1249" s="225" t="str">
        <f>CONCATENATE("t CO2-eq/ ",IF('[1]Advanced Controls'!$F$169="Implementation",AdoptionUnitOfMeasure,FunctionalUnitOfMeasure))</f>
        <v>t CO2-eq/ kg of protein</v>
      </c>
      <c r="N1249" s="227"/>
      <c r="O1249" s="227" t="s">
        <v>714</v>
      </c>
      <c r="P1249" s="122"/>
      <c r="Q1249" s="228"/>
      <c r="R1249" s="231">
        <f t="shared" si="793"/>
        <v>1.4687500000000001E-4</v>
      </c>
      <c r="S1249" s="230">
        <f t="shared" si="781"/>
        <v>1.4687500000000001E-4</v>
      </c>
      <c r="T1249" s="231">
        <f t="shared" si="795"/>
        <v>0</v>
      </c>
      <c r="U1249" s="232" t="str">
        <f t="shared" si="782"/>
        <v>t CO2-eq/ kg of protein</v>
      </c>
      <c r="V1249" s="28"/>
      <c r="W1249" s="28"/>
      <c r="Y1249" s="91"/>
      <c r="AO1249" s="91"/>
      <c r="AP1249" s="28"/>
      <c r="AQ1249" s="28"/>
      <c r="AR1249" s="237"/>
      <c r="AS1249" s="28"/>
      <c r="AT1249" s="304"/>
      <c r="AU1249" s="304"/>
      <c r="AV1249" s="28"/>
      <c r="AW1249" s="304"/>
      <c r="AX1249" s="304"/>
      <c r="AY1249" s="28"/>
      <c r="AZ1249" s="304"/>
      <c r="BA1249" s="304"/>
      <c r="BB1249" s="28"/>
      <c r="BC1249" s="304"/>
      <c r="BD1249" s="304"/>
      <c r="BE1249" s="28"/>
      <c r="BF1249" s="304"/>
      <c r="BG1249" s="304"/>
      <c r="BH1249" s="28"/>
      <c r="BI1249" s="304"/>
      <c r="BJ1249" s="304"/>
      <c r="BK1249" s="28"/>
      <c r="BL1249" s="304"/>
      <c r="BM1249" s="304"/>
      <c r="BN1249" s="28"/>
      <c r="BO1249" s="304"/>
      <c r="BP1249" s="304"/>
      <c r="BQ1249" s="28"/>
      <c r="BR1249" s="304"/>
      <c r="BS1249" s="304"/>
      <c r="BT1249" s="28"/>
      <c r="BU1249" s="304"/>
      <c r="BV1249" s="304"/>
      <c r="BW1249" s="28"/>
      <c r="BX1249" s="91"/>
    </row>
    <row r="1250" spans="1:76" s="55" customFormat="1" x14ac:dyDescent="0.25">
      <c r="A1250" s="195">
        <v>25</v>
      </c>
      <c r="B1250" s="216" t="str">
        <f t="shared" si="796"/>
        <v>Middle East and Africa: FAO. 2017. Reducing Enteric Methane for improving food security and livelihoods</v>
      </c>
      <c r="C1250" s="219" t="s">
        <v>488</v>
      </c>
      <c r="D1250" s="379" t="s">
        <v>287</v>
      </c>
      <c r="E1250" s="219" t="s">
        <v>99</v>
      </c>
      <c r="F1250" s="330" t="s">
        <v>288</v>
      </c>
      <c r="G1250" s="220" t="s">
        <v>26</v>
      </c>
      <c r="H1250" s="221">
        <v>2017</v>
      </c>
      <c r="I1250" s="240"/>
      <c r="J1250" s="377">
        <v>1.6</v>
      </c>
      <c r="K1250" s="382" t="s">
        <v>489</v>
      </c>
      <c r="L1250" s="383">
        <f t="shared" ref="L1250:L1257" si="801">(J1250*0.001*0.001/0.032)</f>
        <v>5.0000000000000002E-5</v>
      </c>
      <c r="M1250" s="225" t="str">
        <f>CONCATENATE("t CO2-eq/ ",IF('[1]Advanced Controls'!$F$169="Implementation",AdoptionUnitOfMeasure,FunctionalUnitOfMeasure))</f>
        <v>t CO2-eq/ kg of protein</v>
      </c>
      <c r="N1250" s="227"/>
      <c r="O1250" s="227" t="s">
        <v>715</v>
      </c>
      <c r="P1250" s="122"/>
      <c r="Q1250" s="228"/>
      <c r="R1250" s="231">
        <f t="shared" si="793"/>
        <v>5.0000000000000002E-5</v>
      </c>
      <c r="S1250" s="230">
        <f t="shared" si="781"/>
        <v>5.0000000000000002E-5</v>
      </c>
      <c r="T1250" s="231" t="str">
        <f t="shared" si="795"/>
        <v/>
      </c>
      <c r="U1250" s="232" t="str">
        <f t="shared" si="782"/>
        <v>t CO2-eq/ kg of protein</v>
      </c>
      <c r="V1250" s="28"/>
      <c r="W1250" s="28"/>
      <c r="Y1250" s="91"/>
      <c r="AO1250" s="91"/>
      <c r="AP1250" s="28"/>
      <c r="AQ1250" s="28"/>
      <c r="AR1250" s="237"/>
      <c r="AS1250" s="28"/>
      <c r="AT1250" s="304"/>
      <c r="AU1250" s="304"/>
      <c r="AV1250" s="28"/>
      <c r="AW1250" s="304"/>
      <c r="AX1250" s="304"/>
      <c r="AY1250" s="28"/>
      <c r="AZ1250" s="304"/>
      <c r="BA1250" s="304"/>
      <c r="BB1250" s="28"/>
      <c r="BC1250" s="304"/>
      <c r="BD1250" s="304"/>
      <c r="BE1250" s="28"/>
      <c r="BF1250" s="304"/>
      <c r="BG1250" s="304"/>
      <c r="BH1250" s="28"/>
      <c r="BI1250" s="304"/>
      <c r="BJ1250" s="304"/>
      <c r="BK1250" s="28"/>
      <c r="BL1250" s="304"/>
      <c r="BM1250" s="304"/>
      <c r="BN1250" s="28"/>
      <c r="BO1250" s="304"/>
      <c r="BP1250" s="304"/>
      <c r="BQ1250" s="28"/>
      <c r="BR1250" s="304"/>
      <c r="BS1250" s="304"/>
      <c r="BT1250" s="28"/>
      <c r="BU1250" s="304"/>
      <c r="BV1250" s="304"/>
      <c r="BW1250" s="28"/>
      <c r="BX1250" s="91"/>
    </row>
    <row r="1251" spans="1:76" s="55" customFormat="1" x14ac:dyDescent="0.25">
      <c r="A1251" s="195">
        <v>26</v>
      </c>
      <c r="B1251" s="216" t="str">
        <f t="shared" si="796"/>
        <v>Middle East and Africa: FAO. 2017. Reducing Enteric Methane for improving food security and livelihoods</v>
      </c>
      <c r="C1251" s="219" t="s">
        <v>488</v>
      </c>
      <c r="D1251" s="379" t="s">
        <v>287</v>
      </c>
      <c r="E1251" s="219" t="s">
        <v>99</v>
      </c>
      <c r="F1251" s="330" t="s">
        <v>288</v>
      </c>
      <c r="G1251" s="220" t="s">
        <v>26</v>
      </c>
      <c r="H1251" s="221">
        <v>2017</v>
      </c>
      <c r="I1251" s="240"/>
      <c r="J1251" s="377">
        <v>1.7</v>
      </c>
      <c r="K1251" s="382" t="s">
        <v>489</v>
      </c>
      <c r="L1251" s="383">
        <f t="shared" si="801"/>
        <v>5.3124999999999997E-5</v>
      </c>
      <c r="M1251" s="225" t="str">
        <f>CONCATENATE("t CO2-eq/ ",IF('[1]Advanced Controls'!$F$169="Implementation",AdoptionUnitOfMeasure,FunctionalUnitOfMeasure))</f>
        <v>t CO2-eq/ kg of protein</v>
      </c>
      <c r="N1251" s="227"/>
      <c r="O1251" s="227" t="s">
        <v>716</v>
      </c>
      <c r="P1251" s="122"/>
      <c r="Q1251" s="228"/>
      <c r="R1251" s="231">
        <f t="shared" si="793"/>
        <v>5.3124999999999997E-5</v>
      </c>
      <c r="S1251" s="230">
        <f t="shared" si="781"/>
        <v>5.3124999999999997E-5</v>
      </c>
      <c r="T1251" s="231">
        <f t="shared" si="795"/>
        <v>0</v>
      </c>
      <c r="U1251" s="232" t="str">
        <f t="shared" si="782"/>
        <v>t CO2-eq/ kg of protein</v>
      </c>
      <c r="V1251" s="28"/>
      <c r="W1251" s="28"/>
      <c r="Y1251" s="91"/>
      <c r="AO1251" s="91"/>
      <c r="AP1251" s="28"/>
      <c r="AQ1251" s="28"/>
      <c r="AR1251" s="237"/>
      <c r="AS1251" s="28"/>
      <c r="AT1251" s="304"/>
      <c r="AU1251" s="304"/>
      <c r="AV1251" s="28"/>
      <c r="AW1251" s="304"/>
      <c r="AX1251" s="304"/>
      <c r="AY1251" s="28"/>
      <c r="AZ1251" s="304"/>
      <c r="BA1251" s="304"/>
      <c r="BB1251" s="28"/>
      <c r="BC1251" s="304"/>
      <c r="BD1251" s="304"/>
      <c r="BE1251" s="28"/>
      <c r="BF1251" s="304"/>
      <c r="BG1251" s="304"/>
      <c r="BH1251" s="28"/>
      <c r="BI1251" s="304"/>
      <c r="BJ1251" s="304"/>
      <c r="BK1251" s="28"/>
      <c r="BL1251" s="304"/>
      <c r="BM1251" s="304"/>
      <c r="BN1251" s="28"/>
      <c r="BO1251" s="304"/>
      <c r="BP1251" s="304"/>
      <c r="BQ1251" s="28"/>
      <c r="BR1251" s="304"/>
      <c r="BS1251" s="304"/>
      <c r="BT1251" s="28"/>
      <c r="BU1251" s="304"/>
      <c r="BV1251" s="304"/>
      <c r="BW1251" s="28"/>
      <c r="BX1251" s="91"/>
    </row>
    <row r="1252" spans="1:76" s="55" customFormat="1" x14ac:dyDescent="0.25">
      <c r="A1252" s="195">
        <v>27</v>
      </c>
      <c r="B1252" s="216" t="str">
        <f t="shared" si="796"/>
        <v>Middle East and Africa: FAO. 2017. Reducing Enteric Methane for improving food security and livelihoods</v>
      </c>
      <c r="C1252" s="219" t="s">
        <v>488</v>
      </c>
      <c r="D1252" s="379" t="s">
        <v>287</v>
      </c>
      <c r="E1252" s="219" t="s">
        <v>99</v>
      </c>
      <c r="F1252" s="330" t="s">
        <v>288</v>
      </c>
      <c r="G1252" s="220" t="s">
        <v>26</v>
      </c>
      <c r="H1252" s="221">
        <v>2017</v>
      </c>
      <c r="I1252" s="240"/>
      <c r="J1252" s="377">
        <v>1.7</v>
      </c>
      <c r="K1252" s="382" t="s">
        <v>489</v>
      </c>
      <c r="L1252" s="383">
        <f t="shared" si="801"/>
        <v>5.3124999999999997E-5</v>
      </c>
      <c r="M1252" s="225" t="str">
        <f>CONCATENATE("t CO2-eq/ ",IF('[1]Advanced Controls'!$F$169="Implementation",AdoptionUnitOfMeasure,FunctionalUnitOfMeasure))</f>
        <v>t CO2-eq/ kg of protein</v>
      </c>
      <c r="N1252" s="227"/>
      <c r="O1252" s="227" t="s">
        <v>717</v>
      </c>
      <c r="P1252" s="122"/>
      <c r="Q1252" s="228"/>
      <c r="R1252" s="231">
        <f t="shared" si="793"/>
        <v>5.3124999999999997E-5</v>
      </c>
      <c r="S1252" s="230">
        <f t="shared" si="781"/>
        <v>5.3124999999999997E-5</v>
      </c>
      <c r="T1252" s="231" t="str">
        <f t="shared" si="795"/>
        <v/>
      </c>
      <c r="U1252" s="232" t="str">
        <f t="shared" si="782"/>
        <v>t CO2-eq/ kg of protein</v>
      </c>
      <c r="V1252" s="28"/>
      <c r="W1252" s="28"/>
      <c r="Y1252" s="91"/>
      <c r="AO1252" s="91"/>
      <c r="AP1252" s="28"/>
      <c r="AQ1252" s="28"/>
      <c r="AR1252" s="237"/>
      <c r="AS1252" s="28"/>
      <c r="AT1252" s="304"/>
      <c r="AU1252" s="304"/>
      <c r="AV1252" s="28"/>
      <c r="AW1252" s="304"/>
      <c r="AX1252" s="304"/>
      <c r="AY1252" s="28"/>
      <c r="AZ1252" s="304"/>
      <c r="BA1252" s="304"/>
      <c r="BB1252" s="28"/>
      <c r="BC1252" s="304"/>
      <c r="BD1252" s="304"/>
      <c r="BE1252" s="28"/>
      <c r="BF1252" s="304"/>
      <c r="BG1252" s="304"/>
      <c r="BH1252" s="28"/>
      <c r="BI1252" s="304"/>
      <c r="BJ1252" s="304"/>
      <c r="BK1252" s="28"/>
      <c r="BL1252" s="304"/>
      <c r="BM1252" s="304"/>
      <c r="BN1252" s="28"/>
      <c r="BO1252" s="304"/>
      <c r="BP1252" s="304"/>
      <c r="BQ1252" s="28"/>
      <c r="BR1252" s="304"/>
      <c r="BS1252" s="304"/>
      <c r="BT1252" s="28"/>
      <c r="BU1252" s="304"/>
      <c r="BV1252" s="304"/>
      <c r="BW1252" s="28"/>
      <c r="BX1252" s="91"/>
    </row>
    <row r="1253" spans="1:76" s="55" customFormat="1" x14ac:dyDescent="0.25">
      <c r="A1253" s="195">
        <v>28</v>
      </c>
      <c r="B1253" s="216" t="str">
        <f t="shared" si="796"/>
        <v>Middle East and Africa: FAO. 2017. Reducing Enteric Methane for improving food security and livelihoods</v>
      </c>
      <c r="C1253" s="219" t="s">
        <v>488</v>
      </c>
      <c r="D1253" s="379" t="s">
        <v>287</v>
      </c>
      <c r="E1253" s="219" t="s">
        <v>99</v>
      </c>
      <c r="F1253" s="330" t="s">
        <v>288</v>
      </c>
      <c r="G1253" s="220" t="s">
        <v>26</v>
      </c>
      <c r="H1253" s="221">
        <v>2017</v>
      </c>
      <c r="I1253" s="240"/>
      <c r="J1253" s="377">
        <v>6.2</v>
      </c>
      <c r="K1253" s="382" t="s">
        <v>489</v>
      </c>
      <c r="L1253" s="383">
        <f t="shared" si="801"/>
        <v>1.9375000000000002E-4</v>
      </c>
      <c r="M1253" s="225" t="str">
        <f>CONCATENATE("t CO2-eq/ ",IF('[1]Advanced Controls'!$F$169="Implementation",AdoptionUnitOfMeasure,FunctionalUnitOfMeasure))</f>
        <v>t CO2-eq/ kg of protein</v>
      </c>
      <c r="N1253" s="227"/>
      <c r="O1253" s="227" t="s">
        <v>718</v>
      </c>
      <c r="P1253" s="122"/>
      <c r="Q1253" s="228"/>
      <c r="R1253" s="231">
        <f t="shared" si="793"/>
        <v>1.9375000000000002E-4</v>
      </c>
      <c r="S1253" s="230">
        <f t="shared" si="781"/>
        <v>1.9375000000000002E-4</v>
      </c>
      <c r="T1253" s="231">
        <f t="shared" si="795"/>
        <v>0</v>
      </c>
      <c r="U1253" s="232" t="str">
        <f t="shared" si="782"/>
        <v>t CO2-eq/ kg of protein</v>
      </c>
      <c r="V1253" s="28"/>
      <c r="W1253" s="28"/>
      <c r="Y1253" s="91"/>
      <c r="AO1253" s="91"/>
      <c r="AP1253" s="28"/>
      <c r="AQ1253" s="28"/>
      <c r="AR1253" s="237"/>
      <c r="AS1253" s="28"/>
      <c r="AT1253" s="304"/>
      <c r="AU1253" s="304"/>
      <c r="AV1253" s="28"/>
      <c r="AW1253" s="304"/>
      <c r="AX1253" s="304"/>
      <c r="AY1253" s="28"/>
      <c r="AZ1253" s="304"/>
      <c r="BA1253" s="304"/>
      <c r="BB1253" s="28"/>
      <c r="BC1253" s="304"/>
      <c r="BD1253" s="304"/>
      <c r="BE1253" s="28"/>
      <c r="BF1253" s="304"/>
      <c r="BG1253" s="304"/>
      <c r="BH1253" s="28"/>
      <c r="BI1253" s="304"/>
      <c r="BJ1253" s="304"/>
      <c r="BK1253" s="28"/>
      <c r="BL1253" s="304"/>
      <c r="BM1253" s="304"/>
      <c r="BN1253" s="28"/>
      <c r="BO1253" s="304"/>
      <c r="BP1253" s="304"/>
      <c r="BQ1253" s="28"/>
      <c r="BR1253" s="304"/>
      <c r="BS1253" s="304"/>
      <c r="BT1253" s="28"/>
      <c r="BU1253" s="304"/>
      <c r="BV1253" s="304"/>
      <c r="BW1253" s="28"/>
      <c r="BX1253" s="91"/>
    </row>
    <row r="1254" spans="1:76" s="55" customFormat="1" x14ac:dyDescent="0.25">
      <c r="A1254" s="195">
        <v>29</v>
      </c>
      <c r="B1254" s="216" t="str">
        <f t="shared" si="796"/>
        <v>Middle East and Africa: FAO. 2017. Reducing Enteric Methane for improving food security and livelihoods</v>
      </c>
      <c r="C1254" s="219" t="s">
        <v>488</v>
      </c>
      <c r="D1254" s="379" t="s">
        <v>287</v>
      </c>
      <c r="E1254" s="219" t="s">
        <v>99</v>
      </c>
      <c r="F1254" s="330" t="s">
        <v>288</v>
      </c>
      <c r="G1254" s="220" t="s">
        <v>26</v>
      </c>
      <c r="H1254" s="221">
        <v>2017</v>
      </c>
      <c r="I1254" s="240"/>
      <c r="J1254" s="377">
        <v>6.2</v>
      </c>
      <c r="K1254" s="382" t="s">
        <v>489</v>
      </c>
      <c r="L1254" s="383">
        <f t="shared" si="801"/>
        <v>1.9375000000000002E-4</v>
      </c>
      <c r="M1254" s="225" t="str">
        <f>CONCATENATE("t CO2-eq/ ",IF('[1]Advanced Controls'!$F$169="Implementation",AdoptionUnitOfMeasure,FunctionalUnitOfMeasure))</f>
        <v>t CO2-eq/ kg of protein</v>
      </c>
      <c r="N1254" s="227"/>
      <c r="O1254" s="227" t="s">
        <v>719</v>
      </c>
      <c r="P1254" s="122"/>
      <c r="Q1254" s="228"/>
      <c r="R1254" s="231">
        <f t="shared" si="793"/>
        <v>1.9375000000000002E-4</v>
      </c>
      <c r="S1254" s="230">
        <f t="shared" si="781"/>
        <v>1.9375000000000002E-4</v>
      </c>
      <c r="T1254" s="231">
        <f t="shared" si="795"/>
        <v>0</v>
      </c>
      <c r="U1254" s="232" t="str">
        <f t="shared" si="782"/>
        <v>t CO2-eq/ kg of protein</v>
      </c>
      <c r="V1254" s="28"/>
      <c r="W1254" s="28"/>
      <c r="Y1254" s="91"/>
      <c r="AO1254" s="91"/>
      <c r="AP1254" s="28"/>
      <c r="AQ1254" s="28"/>
      <c r="AR1254" s="237"/>
      <c r="AS1254" s="28"/>
      <c r="AT1254" s="304"/>
      <c r="AU1254" s="304"/>
      <c r="AV1254" s="28"/>
      <c r="AW1254" s="304"/>
      <c r="AX1254" s="304"/>
      <c r="AY1254" s="28"/>
      <c r="AZ1254" s="304"/>
      <c r="BA1254" s="304"/>
      <c r="BB1254" s="28"/>
      <c r="BC1254" s="304"/>
      <c r="BD1254" s="304"/>
      <c r="BE1254" s="28"/>
      <c r="BF1254" s="304"/>
      <c r="BG1254" s="304"/>
      <c r="BH1254" s="28"/>
      <c r="BI1254" s="304"/>
      <c r="BJ1254" s="304"/>
      <c r="BK1254" s="28"/>
      <c r="BL1254" s="304"/>
      <c r="BM1254" s="304"/>
      <c r="BN1254" s="28"/>
      <c r="BO1254" s="304"/>
      <c r="BP1254" s="304"/>
      <c r="BQ1254" s="28"/>
      <c r="BR1254" s="304"/>
      <c r="BS1254" s="304"/>
      <c r="BT1254" s="28"/>
      <c r="BU1254" s="304"/>
      <c r="BV1254" s="304"/>
      <c r="BW1254" s="28"/>
      <c r="BX1254" s="91"/>
    </row>
    <row r="1255" spans="1:76" s="55" customFormat="1" x14ac:dyDescent="0.25">
      <c r="A1255" s="195">
        <v>30</v>
      </c>
      <c r="B1255" s="216" t="str">
        <f t="shared" si="796"/>
        <v>Middle East and Africa: FAO. 2017. Reducing Enteric Methane for improving food security and livelihoods</v>
      </c>
      <c r="C1255" s="219" t="s">
        <v>488</v>
      </c>
      <c r="D1255" s="379" t="s">
        <v>287</v>
      </c>
      <c r="E1255" s="219" t="s">
        <v>99</v>
      </c>
      <c r="F1255" s="330" t="s">
        <v>288</v>
      </c>
      <c r="G1255" s="220" t="s">
        <v>26</v>
      </c>
      <c r="H1255" s="221">
        <v>2017</v>
      </c>
      <c r="I1255" s="240"/>
      <c r="J1255" s="377">
        <v>6.2</v>
      </c>
      <c r="K1255" s="382" t="s">
        <v>489</v>
      </c>
      <c r="L1255" s="383">
        <f t="shared" si="801"/>
        <v>1.9375000000000002E-4</v>
      </c>
      <c r="M1255" s="225" t="str">
        <f>CONCATENATE("t CO2-eq/ ",IF('[1]Advanced Controls'!$F$169="Implementation",AdoptionUnitOfMeasure,FunctionalUnitOfMeasure))</f>
        <v>t CO2-eq/ kg of protein</v>
      </c>
      <c r="N1255" s="227"/>
      <c r="O1255" s="227" t="s">
        <v>720</v>
      </c>
      <c r="P1255" s="122"/>
      <c r="Q1255" s="228"/>
      <c r="R1255" s="231">
        <f t="shared" si="793"/>
        <v>1.9375000000000002E-4</v>
      </c>
      <c r="S1255" s="230">
        <f t="shared" si="781"/>
        <v>1.9375000000000002E-4</v>
      </c>
      <c r="T1255" s="231" t="str">
        <f t="shared" si="795"/>
        <v/>
      </c>
      <c r="U1255" s="232" t="str">
        <f t="shared" si="782"/>
        <v>t CO2-eq/ kg of protein</v>
      </c>
      <c r="V1255" s="28"/>
      <c r="W1255" s="28"/>
      <c r="Y1255" s="91"/>
      <c r="AO1255" s="91"/>
      <c r="AP1255" s="28"/>
      <c r="AQ1255" s="28"/>
      <c r="AR1255" s="237"/>
      <c r="AS1255" s="28"/>
      <c r="AT1255" s="304"/>
      <c r="AU1255" s="304"/>
      <c r="AV1255" s="28"/>
      <c r="AW1255" s="304"/>
      <c r="AX1255" s="304"/>
      <c r="AY1255" s="28"/>
      <c r="AZ1255" s="304"/>
      <c r="BA1255" s="304"/>
      <c r="BB1255" s="28"/>
      <c r="BC1255" s="304"/>
      <c r="BD1255" s="304"/>
      <c r="BE1255" s="28"/>
      <c r="BF1255" s="304"/>
      <c r="BG1255" s="304"/>
      <c r="BH1255" s="28"/>
      <c r="BI1255" s="304"/>
      <c r="BJ1255" s="304"/>
      <c r="BK1255" s="28"/>
      <c r="BL1255" s="304"/>
      <c r="BM1255" s="304"/>
      <c r="BN1255" s="28"/>
      <c r="BO1255" s="304"/>
      <c r="BP1255" s="304"/>
      <c r="BQ1255" s="28"/>
      <c r="BR1255" s="304"/>
      <c r="BS1255" s="304"/>
      <c r="BT1255" s="28"/>
      <c r="BU1255" s="304"/>
      <c r="BV1255" s="304"/>
      <c r="BW1255" s="28"/>
      <c r="BX1255" s="91"/>
    </row>
    <row r="1256" spans="1:76" s="55" customFormat="1" x14ac:dyDescent="0.25">
      <c r="A1256" s="195">
        <v>31</v>
      </c>
      <c r="B1256" s="216" t="str">
        <f t="shared" si="796"/>
        <v>Middle East and Africa: FAO. 2017. Reducing Enteric Methane for improving food security and livelihoods</v>
      </c>
      <c r="C1256" s="219" t="s">
        <v>488</v>
      </c>
      <c r="D1256" s="379" t="s">
        <v>287</v>
      </c>
      <c r="E1256" s="219" t="s">
        <v>99</v>
      </c>
      <c r="F1256" s="330" t="s">
        <v>288</v>
      </c>
      <c r="G1256" s="220" t="s">
        <v>26</v>
      </c>
      <c r="H1256" s="221">
        <v>2017</v>
      </c>
      <c r="I1256" s="240"/>
      <c r="J1256" s="377">
        <v>13</v>
      </c>
      <c r="K1256" s="382" t="s">
        <v>489</v>
      </c>
      <c r="L1256" s="383">
        <f t="shared" si="801"/>
        <v>4.0625000000000004E-4</v>
      </c>
      <c r="M1256" s="225" t="str">
        <f>CONCATENATE("t CO2-eq/ ",IF('[1]Advanced Controls'!$F$169="Implementation",AdoptionUnitOfMeasure,FunctionalUnitOfMeasure))</f>
        <v>t CO2-eq/ kg of protein</v>
      </c>
      <c r="N1256" s="227"/>
      <c r="O1256" s="227" t="s">
        <v>721</v>
      </c>
      <c r="P1256" s="122"/>
      <c r="Q1256" s="228"/>
      <c r="R1256" s="231">
        <f t="shared" si="793"/>
        <v>4.0625000000000004E-4</v>
      </c>
      <c r="S1256" s="230">
        <f t="shared" si="781"/>
        <v>4.0625000000000004E-4</v>
      </c>
      <c r="T1256" s="231" t="str">
        <f t="shared" si="795"/>
        <v/>
      </c>
      <c r="U1256" s="232" t="str">
        <f t="shared" si="782"/>
        <v>t CO2-eq/ kg of protein</v>
      </c>
      <c r="V1256" s="28"/>
      <c r="W1256" s="28"/>
      <c r="Y1256" s="91"/>
      <c r="AO1256" s="91"/>
      <c r="AP1256" s="28"/>
      <c r="AQ1256" s="28"/>
      <c r="AR1256" s="237"/>
      <c r="AS1256" s="28"/>
      <c r="AT1256" s="304"/>
      <c r="AU1256" s="304"/>
      <c r="AV1256" s="28"/>
      <c r="AW1256" s="304"/>
      <c r="AX1256" s="304"/>
      <c r="AY1256" s="28"/>
      <c r="AZ1256" s="304"/>
      <c r="BA1256" s="304"/>
      <c r="BB1256" s="28"/>
      <c r="BC1256" s="304"/>
      <c r="BD1256" s="304"/>
      <c r="BE1256" s="28"/>
      <c r="BF1256" s="304"/>
      <c r="BG1256" s="304"/>
      <c r="BH1256" s="28"/>
      <c r="BI1256" s="304"/>
      <c r="BJ1256" s="304"/>
      <c r="BK1256" s="28"/>
      <c r="BL1256" s="304"/>
      <c r="BM1256" s="304"/>
      <c r="BN1256" s="28"/>
      <c r="BO1256" s="304"/>
      <c r="BP1256" s="304"/>
      <c r="BQ1256" s="28"/>
      <c r="BR1256" s="304"/>
      <c r="BS1256" s="304"/>
      <c r="BT1256" s="28"/>
      <c r="BU1256" s="304"/>
      <c r="BV1256" s="304"/>
      <c r="BW1256" s="28"/>
      <c r="BX1256" s="91"/>
    </row>
    <row r="1257" spans="1:76" s="55" customFormat="1" x14ac:dyDescent="0.25">
      <c r="A1257" s="195">
        <v>32</v>
      </c>
      <c r="B1257" s="216" t="str">
        <f t="shared" si="796"/>
        <v>Middle East and Africa: FAO. 2017. Reducing Enteric Methane for improving food security and livelihoods</v>
      </c>
      <c r="C1257" s="219" t="s">
        <v>488</v>
      </c>
      <c r="D1257" s="379" t="s">
        <v>287</v>
      </c>
      <c r="E1257" s="219" t="s">
        <v>99</v>
      </c>
      <c r="F1257" s="330" t="s">
        <v>288</v>
      </c>
      <c r="G1257" s="220" t="s">
        <v>26</v>
      </c>
      <c r="H1257" s="221">
        <v>2017</v>
      </c>
      <c r="I1257" s="240"/>
      <c r="J1257" s="377">
        <v>13</v>
      </c>
      <c r="K1257" s="382" t="s">
        <v>489</v>
      </c>
      <c r="L1257" s="383">
        <f t="shared" si="801"/>
        <v>4.0625000000000004E-4</v>
      </c>
      <c r="M1257" s="225" t="str">
        <f>CONCATENATE("t CO2-eq/ ",IF('[1]Advanced Controls'!$F$169="Implementation",AdoptionUnitOfMeasure,FunctionalUnitOfMeasure))</f>
        <v>t CO2-eq/ kg of protein</v>
      </c>
      <c r="N1257" s="227"/>
      <c r="O1257" s="227" t="s">
        <v>722</v>
      </c>
      <c r="P1257" s="122"/>
      <c r="Q1257" s="228"/>
      <c r="R1257" s="231">
        <f t="shared" si="793"/>
        <v>4.0625000000000004E-4</v>
      </c>
      <c r="S1257" s="230">
        <f t="shared" si="781"/>
        <v>4.0625000000000004E-4</v>
      </c>
      <c r="T1257" s="231" t="str">
        <f t="shared" si="795"/>
        <v/>
      </c>
      <c r="U1257" s="232" t="str">
        <f t="shared" si="782"/>
        <v>t CO2-eq/ kg of protein</v>
      </c>
      <c r="V1257" s="28"/>
      <c r="W1257" s="28"/>
      <c r="Y1257" s="91"/>
      <c r="AO1257" s="91"/>
      <c r="AP1257" s="28"/>
      <c r="AQ1257" s="28"/>
      <c r="AR1257" s="237"/>
      <c r="AS1257" s="28"/>
      <c r="AT1257" s="304"/>
      <c r="AU1257" s="304"/>
      <c r="AV1257" s="28"/>
      <c r="AW1257" s="304"/>
      <c r="AX1257" s="304"/>
      <c r="AY1257" s="28"/>
      <c r="AZ1257" s="304"/>
      <c r="BA1257" s="304"/>
      <c r="BB1257" s="28"/>
      <c r="BC1257" s="304"/>
      <c r="BD1257" s="304"/>
      <c r="BE1257" s="28"/>
      <c r="BF1257" s="304"/>
      <c r="BG1257" s="304"/>
      <c r="BH1257" s="28"/>
      <c r="BI1257" s="304"/>
      <c r="BJ1257" s="304"/>
      <c r="BK1257" s="28"/>
      <c r="BL1257" s="304"/>
      <c r="BM1257" s="304"/>
      <c r="BN1257" s="28"/>
      <c r="BO1257" s="304"/>
      <c r="BP1257" s="304"/>
      <c r="BQ1257" s="28"/>
      <c r="BR1257" s="304"/>
      <c r="BS1257" s="304"/>
      <c r="BT1257" s="28"/>
      <c r="BU1257" s="304"/>
      <c r="BV1257" s="304"/>
      <c r="BW1257" s="28"/>
      <c r="BX1257" s="91"/>
    </row>
    <row r="1258" spans="1:76" s="55" customFormat="1" x14ac:dyDescent="0.25">
      <c r="A1258" s="195">
        <v>33</v>
      </c>
      <c r="B1258" s="216" t="str">
        <f t="shared" si="796"/>
        <v>Middle East and Africa: FAO. 2017. Reducing Enteric Methane for improving food security and livelihoods</v>
      </c>
      <c r="C1258" s="219" t="s">
        <v>488</v>
      </c>
      <c r="D1258" s="379" t="s">
        <v>516</v>
      </c>
      <c r="E1258" s="219" t="s">
        <v>99</v>
      </c>
      <c r="F1258" s="330" t="s">
        <v>517</v>
      </c>
      <c r="G1258" s="220" t="s">
        <v>26</v>
      </c>
      <c r="H1258" s="221">
        <v>2017</v>
      </c>
      <c r="I1258" s="240"/>
      <c r="J1258" s="377">
        <v>18.2</v>
      </c>
      <c r="K1258" s="382" t="s">
        <v>489</v>
      </c>
      <c r="L1258" s="383">
        <f>(J1258*0.001*0.003/0.032)</f>
        <v>1.7062500000000001E-3</v>
      </c>
      <c r="M1258" s="225" t="str">
        <f>CONCATENATE("t CO2-eq/ ",IF('[1]Advanced Controls'!$F$169="Implementation",AdoptionUnitOfMeasure,FunctionalUnitOfMeasure))</f>
        <v>t CO2-eq/ kg of protein</v>
      </c>
      <c r="N1258" s="227"/>
      <c r="O1258" s="227" t="s">
        <v>723</v>
      </c>
      <c r="P1258" s="122"/>
      <c r="Q1258" s="228"/>
      <c r="R1258" s="231">
        <f t="shared" si="793"/>
        <v>1.7062500000000001E-3</v>
      </c>
      <c r="S1258" s="230">
        <f t="shared" si="781"/>
        <v>1.7062500000000001E-3</v>
      </c>
      <c r="T1258" s="231">
        <f t="shared" si="795"/>
        <v>0</v>
      </c>
      <c r="U1258" s="232" t="str">
        <f t="shared" si="782"/>
        <v>t CO2-eq/ kg of protein</v>
      </c>
      <c r="V1258" s="28"/>
      <c r="W1258" s="28"/>
      <c r="Y1258" s="91"/>
      <c r="AO1258" s="91"/>
      <c r="AP1258" s="28"/>
      <c r="AQ1258" s="28"/>
      <c r="AR1258" s="237"/>
      <c r="AS1258" s="28"/>
      <c r="AT1258" s="304"/>
      <c r="AU1258" s="304"/>
      <c r="AV1258" s="28"/>
      <c r="AW1258" s="304"/>
      <c r="AX1258" s="304"/>
      <c r="AY1258" s="28"/>
      <c r="AZ1258" s="304"/>
      <c r="BA1258" s="304"/>
      <c r="BB1258" s="28"/>
      <c r="BC1258" s="304"/>
      <c r="BD1258" s="304"/>
      <c r="BE1258" s="28"/>
      <c r="BF1258" s="304"/>
      <c r="BG1258" s="304"/>
      <c r="BH1258" s="28"/>
      <c r="BI1258" s="304"/>
      <c r="BJ1258" s="304"/>
      <c r="BK1258" s="28"/>
      <c r="BL1258" s="304"/>
      <c r="BM1258" s="304"/>
      <c r="BN1258" s="28"/>
      <c r="BO1258" s="304"/>
      <c r="BP1258" s="304"/>
      <c r="BQ1258" s="28"/>
      <c r="BR1258" s="304"/>
      <c r="BS1258" s="304"/>
      <c r="BT1258" s="28"/>
      <c r="BU1258" s="304"/>
      <c r="BV1258" s="304"/>
      <c r="BW1258" s="28"/>
      <c r="BX1258" s="91"/>
    </row>
    <row r="1259" spans="1:76" s="55" customFormat="1" x14ac:dyDescent="0.25">
      <c r="A1259" s="195">
        <v>34</v>
      </c>
      <c r="B1259" s="216" t="str">
        <f t="shared" si="796"/>
        <v>Middle East and Africa: FAO. 2017. Reducing Enteric Methane for improving food security and livelihoods</v>
      </c>
      <c r="C1259" s="219" t="s">
        <v>488</v>
      </c>
      <c r="D1259" s="379" t="s">
        <v>516</v>
      </c>
      <c r="E1259" s="219" t="s">
        <v>99</v>
      </c>
      <c r="F1259" s="330" t="s">
        <v>517</v>
      </c>
      <c r="G1259" s="220" t="s">
        <v>26</v>
      </c>
      <c r="H1259" s="221">
        <v>2017</v>
      </c>
      <c r="I1259" s="240"/>
      <c r="J1259" s="377">
        <v>55</v>
      </c>
      <c r="K1259" s="382" t="s">
        <v>489</v>
      </c>
      <c r="L1259" s="383">
        <f t="shared" ref="L1259:L1281" si="802">(J1259*0.001*0.003/0.032)</f>
        <v>5.1562500000000002E-3</v>
      </c>
      <c r="M1259" s="225" t="str">
        <f>CONCATENATE("t CO2-eq/ ",IF('[1]Advanced Controls'!$F$169="Implementation",AdoptionUnitOfMeasure,FunctionalUnitOfMeasure))</f>
        <v>t CO2-eq/ kg of protein</v>
      </c>
      <c r="N1259" s="227"/>
      <c r="O1259" s="227" t="s">
        <v>724</v>
      </c>
      <c r="P1259" s="122"/>
      <c r="Q1259" s="228"/>
      <c r="R1259" s="231">
        <f t="shared" si="793"/>
        <v>5.1562500000000002E-3</v>
      </c>
      <c r="S1259" s="230">
        <f t="shared" si="781"/>
        <v>5.1562500000000002E-3</v>
      </c>
      <c r="T1259" s="231">
        <f t="shared" si="795"/>
        <v>0</v>
      </c>
      <c r="U1259" s="232" t="str">
        <f t="shared" si="782"/>
        <v>t CO2-eq/ kg of protein</v>
      </c>
      <c r="V1259" s="28"/>
      <c r="W1259" s="28"/>
      <c r="Y1259" s="91"/>
      <c r="AO1259" s="91"/>
      <c r="AP1259" s="28"/>
      <c r="AQ1259" s="28"/>
      <c r="AR1259" s="237"/>
      <c r="AS1259" s="28"/>
      <c r="AT1259" s="304"/>
      <c r="AU1259" s="304"/>
      <c r="AV1259" s="28"/>
      <c r="AW1259" s="304"/>
      <c r="AX1259" s="304"/>
      <c r="AY1259" s="28"/>
      <c r="AZ1259" s="304"/>
      <c r="BA1259" s="304"/>
      <c r="BB1259" s="28"/>
      <c r="BC1259" s="304"/>
      <c r="BD1259" s="304"/>
      <c r="BE1259" s="28"/>
      <c r="BF1259" s="304"/>
      <c r="BG1259" s="304"/>
      <c r="BH1259" s="28"/>
      <c r="BI1259" s="304"/>
      <c r="BJ1259" s="304"/>
      <c r="BK1259" s="28"/>
      <c r="BL1259" s="304"/>
      <c r="BM1259" s="304"/>
      <c r="BN1259" s="28"/>
      <c r="BO1259" s="304"/>
      <c r="BP1259" s="304"/>
      <c r="BQ1259" s="28"/>
      <c r="BR1259" s="304"/>
      <c r="BS1259" s="304"/>
      <c r="BT1259" s="28"/>
      <c r="BU1259" s="304"/>
      <c r="BV1259" s="304"/>
      <c r="BW1259" s="28"/>
      <c r="BX1259" s="91"/>
    </row>
    <row r="1260" spans="1:76" s="55" customFormat="1" x14ac:dyDescent="0.25">
      <c r="A1260" s="195">
        <v>35</v>
      </c>
      <c r="B1260" s="216" t="str">
        <f t="shared" si="796"/>
        <v>Middle East and Africa: FAO. 2017. Reducing Enteric Methane for improving food security and livelihoods</v>
      </c>
      <c r="C1260" s="219" t="s">
        <v>488</v>
      </c>
      <c r="D1260" s="379" t="s">
        <v>516</v>
      </c>
      <c r="E1260" s="219" t="s">
        <v>99</v>
      </c>
      <c r="F1260" s="330" t="s">
        <v>517</v>
      </c>
      <c r="G1260" s="220" t="s">
        <v>26</v>
      </c>
      <c r="H1260" s="221">
        <v>2017</v>
      </c>
      <c r="I1260" s="240"/>
      <c r="J1260" s="377">
        <v>18.2</v>
      </c>
      <c r="K1260" s="382" t="s">
        <v>489</v>
      </c>
      <c r="L1260" s="383">
        <f t="shared" si="802"/>
        <v>1.7062500000000001E-3</v>
      </c>
      <c r="M1260" s="225" t="str">
        <f>CONCATENATE("t CO2-eq/ ",IF('[1]Advanced Controls'!$F$169="Implementation",AdoptionUnitOfMeasure,FunctionalUnitOfMeasure))</f>
        <v>t CO2-eq/ kg of protein</v>
      </c>
      <c r="N1260" s="227"/>
      <c r="O1260" s="227" t="s">
        <v>725</v>
      </c>
      <c r="P1260" s="122"/>
      <c r="Q1260" s="228"/>
      <c r="R1260" s="231">
        <f t="shared" si="793"/>
        <v>1.7062500000000001E-3</v>
      </c>
      <c r="S1260" s="230">
        <f t="shared" si="781"/>
        <v>1.7062500000000001E-3</v>
      </c>
      <c r="T1260" s="231">
        <f t="shared" si="795"/>
        <v>0</v>
      </c>
      <c r="U1260" s="232" t="str">
        <f t="shared" si="782"/>
        <v>t CO2-eq/ kg of protein</v>
      </c>
      <c r="V1260" s="28"/>
      <c r="W1260" s="28"/>
      <c r="Y1260" s="91"/>
      <c r="AO1260" s="91"/>
      <c r="AP1260" s="28"/>
      <c r="AQ1260" s="28"/>
      <c r="AR1260" s="237"/>
      <c r="AS1260" s="28"/>
      <c r="AT1260" s="304"/>
      <c r="AU1260" s="304"/>
      <c r="AV1260" s="28"/>
      <c r="AW1260" s="304"/>
      <c r="AX1260" s="304"/>
      <c r="AY1260" s="28"/>
      <c r="AZ1260" s="304"/>
      <c r="BA1260" s="304"/>
      <c r="BB1260" s="28"/>
      <c r="BC1260" s="304"/>
      <c r="BD1260" s="304"/>
      <c r="BE1260" s="28"/>
      <c r="BF1260" s="304"/>
      <c r="BG1260" s="304"/>
      <c r="BH1260" s="28"/>
      <c r="BI1260" s="304"/>
      <c r="BJ1260" s="304"/>
      <c r="BK1260" s="28"/>
      <c r="BL1260" s="304"/>
      <c r="BM1260" s="304"/>
      <c r="BN1260" s="28"/>
      <c r="BO1260" s="304"/>
      <c r="BP1260" s="304"/>
      <c r="BQ1260" s="28"/>
      <c r="BR1260" s="304"/>
      <c r="BS1260" s="304"/>
      <c r="BT1260" s="28"/>
      <c r="BU1260" s="304"/>
      <c r="BV1260" s="304"/>
      <c r="BW1260" s="28"/>
      <c r="BX1260" s="91"/>
    </row>
    <row r="1261" spans="1:76" s="55" customFormat="1" x14ac:dyDescent="0.25">
      <c r="A1261" s="195">
        <v>36</v>
      </c>
      <c r="B1261" s="216" t="str">
        <f t="shared" si="796"/>
        <v>Middle East and Africa: FAO. 2017. Reducing Enteric Methane for improving food security and livelihoods</v>
      </c>
      <c r="C1261" s="219" t="s">
        <v>488</v>
      </c>
      <c r="D1261" s="379" t="s">
        <v>516</v>
      </c>
      <c r="E1261" s="219" t="s">
        <v>99</v>
      </c>
      <c r="F1261" s="330" t="s">
        <v>517</v>
      </c>
      <c r="G1261" s="220" t="s">
        <v>26</v>
      </c>
      <c r="H1261" s="221">
        <v>2017</v>
      </c>
      <c r="I1261" s="240"/>
      <c r="J1261" s="377">
        <v>55</v>
      </c>
      <c r="K1261" s="382" t="s">
        <v>489</v>
      </c>
      <c r="L1261" s="383">
        <f t="shared" si="802"/>
        <v>5.1562500000000002E-3</v>
      </c>
      <c r="M1261" s="225" t="str">
        <f>CONCATENATE("t CO2-eq/ ",IF('[1]Advanced Controls'!$F$169="Implementation",AdoptionUnitOfMeasure,FunctionalUnitOfMeasure))</f>
        <v>t CO2-eq/ kg of protein</v>
      </c>
      <c r="N1261" s="227"/>
      <c r="O1261" s="227" t="s">
        <v>726</v>
      </c>
      <c r="P1261" s="122"/>
      <c r="Q1261" s="228"/>
      <c r="R1261" s="231">
        <f t="shared" si="793"/>
        <v>5.1562500000000002E-3</v>
      </c>
      <c r="S1261" s="230">
        <f t="shared" si="781"/>
        <v>5.1562500000000002E-3</v>
      </c>
      <c r="T1261" s="231">
        <f t="shared" si="795"/>
        <v>0</v>
      </c>
      <c r="U1261" s="232" t="str">
        <f t="shared" si="782"/>
        <v>t CO2-eq/ kg of protein</v>
      </c>
      <c r="V1261" s="28"/>
      <c r="W1261" s="28"/>
      <c r="Y1261" s="91"/>
      <c r="AO1261" s="91"/>
      <c r="AP1261" s="28"/>
      <c r="AQ1261" s="28"/>
      <c r="AR1261" s="237"/>
      <c r="AS1261" s="28"/>
      <c r="AT1261" s="304"/>
      <c r="AU1261" s="304"/>
      <c r="AV1261" s="28"/>
      <c r="AW1261" s="304"/>
      <c r="AX1261" s="304"/>
      <c r="AY1261" s="28"/>
      <c r="AZ1261" s="304"/>
      <c r="BA1261" s="304"/>
      <c r="BB1261" s="28"/>
      <c r="BC1261" s="304"/>
      <c r="BD1261" s="304"/>
      <c r="BE1261" s="28"/>
      <c r="BF1261" s="304"/>
      <c r="BG1261" s="304"/>
      <c r="BH1261" s="28"/>
      <c r="BI1261" s="304"/>
      <c r="BJ1261" s="304"/>
      <c r="BK1261" s="28"/>
      <c r="BL1261" s="304"/>
      <c r="BM1261" s="304"/>
      <c r="BN1261" s="28"/>
      <c r="BO1261" s="304"/>
      <c r="BP1261" s="304"/>
      <c r="BQ1261" s="28"/>
      <c r="BR1261" s="304"/>
      <c r="BS1261" s="304"/>
      <c r="BT1261" s="28"/>
      <c r="BU1261" s="304"/>
      <c r="BV1261" s="304"/>
      <c r="BW1261" s="28"/>
      <c r="BX1261" s="91"/>
    </row>
    <row r="1262" spans="1:76" s="55" customFormat="1" x14ac:dyDescent="0.25">
      <c r="A1262" s="195">
        <v>37</v>
      </c>
      <c r="B1262" s="216" t="str">
        <f t="shared" si="796"/>
        <v>Middle East and Africa: FAO. 2017. Reducing Enteric Methane for improving food security and livelihoods</v>
      </c>
      <c r="C1262" s="219" t="s">
        <v>488</v>
      </c>
      <c r="D1262" s="379" t="s">
        <v>520</v>
      </c>
      <c r="E1262" s="219" t="s">
        <v>99</v>
      </c>
      <c r="F1262" s="330" t="s">
        <v>521</v>
      </c>
      <c r="G1262" s="220" t="s">
        <v>26</v>
      </c>
      <c r="H1262" s="221">
        <v>2017</v>
      </c>
      <c r="I1262" s="240"/>
      <c r="J1262" s="377">
        <v>61.8</v>
      </c>
      <c r="K1262" s="382" t="s">
        <v>489</v>
      </c>
      <c r="L1262" s="383">
        <f t="shared" si="802"/>
        <v>5.7937500000000003E-3</v>
      </c>
      <c r="M1262" s="225" t="str">
        <f>CONCATENATE("t CO2-eq/ ",IF('[1]Advanced Controls'!$F$169="Implementation",AdoptionUnitOfMeasure,FunctionalUnitOfMeasure))</f>
        <v>t CO2-eq/ kg of protein</v>
      </c>
      <c r="N1262" s="227"/>
      <c r="O1262" s="227" t="s">
        <v>723</v>
      </c>
      <c r="P1262" s="122"/>
      <c r="Q1262" s="228"/>
      <c r="R1262" s="231">
        <f t="shared" si="793"/>
        <v>5.7937500000000003E-3</v>
      </c>
      <c r="S1262" s="230">
        <f t="shared" si="781"/>
        <v>5.7937500000000003E-3</v>
      </c>
      <c r="T1262" s="231">
        <f t="shared" si="795"/>
        <v>0</v>
      </c>
      <c r="U1262" s="232" t="str">
        <f t="shared" si="782"/>
        <v>t CO2-eq/ kg of protein</v>
      </c>
      <c r="V1262" s="28"/>
      <c r="W1262" s="28"/>
      <c r="Y1262" s="91"/>
      <c r="AO1262" s="91"/>
      <c r="AP1262" s="28"/>
      <c r="AQ1262" s="28"/>
      <c r="AR1262" s="237"/>
      <c r="AS1262" s="28"/>
      <c r="AT1262" s="304"/>
      <c r="AU1262" s="304"/>
      <c r="AV1262" s="28"/>
      <c r="AW1262" s="304"/>
      <c r="AX1262" s="304"/>
      <c r="AY1262" s="28"/>
      <c r="AZ1262" s="304"/>
      <c r="BA1262" s="304"/>
      <c r="BB1262" s="28"/>
      <c r="BC1262" s="304"/>
      <c r="BD1262" s="304"/>
      <c r="BE1262" s="28"/>
      <c r="BF1262" s="304"/>
      <c r="BG1262" s="304"/>
      <c r="BH1262" s="28"/>
      <c r="BI1262" s="304"/>
      <c r="BJ1262" s="304"/>
      <c r="BK1262" s="28"/>
      <c r="BL1262" s="304"/>
      <c r="BM1262" s="304"/>
      <c r="BN1262" s="28"/>
      <c r="BO1262" s="304"/>
      <c r="BP1262" s="304"/>
      <c r="BQ1262" s="28"/>
      <c r="BR1262" s="304"/>
      <c r="BS1262" s="304"/>
      <c r="BT1262" s="28"/>
      <c r="BU1262" s="304"/>
      <c r="BV1262" s="304"/>
      <c r="BW1262" s="28"/>
      <c r="BX1262" s="91"/>
    </row>
    <row r="1263" spans="1:76" s="55" customFormat="1" x14ac:dyDescent="0.25">
      <c r="A1263" s="195">
        <v>38</v>
      </c>
      <c r="B1263" s="216" t="str">
        <f t="shared" si="796"/>
        <v>Middle East and Africa: FAO. 2017. Reducing Enteric Methane for improving food security and livelihoods</v>
      </c>
      <c r="C1263" s="219" t="s">
        <v>488</v>
      </c>
      <c r="D1263" s="379" t="s">
        <v>520</v>
      </c>
      <c r="E1263" s="219" t="s">
        <v>99</v>
      </c>
      <c r="F1263" s="330" t="s">
        <v>521</v>
      </c>
      <c r="G1263" s="220" t="s">
        <v>26</v>
      </c>
      <c r="H1263" s="221">
        <v>2017</v>
      </c>
      <c r="I1263" s="240"/>
      <c r="J1263" s="377">
        <v>124.7</v>
      </c>
      <c r="K1263" s="382" t="s">
        <v>489</v>
      </c>
      <c r="L1263" s="383">
        <f t="shared" si="802"/>
        <v>1.1690625000000001E-2</v>
      </c>
      <c r="M1263" s="225" t="str">
        <f>CONCATENATE("t CO2-eq/ ",IF('[1]Advanced Controls'!$F$169="Implementation",AdoptionUnitOfMeasure,FunctionalUnitOfMeasure))</f>
        <v>t CO2-eq/ kg of protein</v>
      </c>
      <c r="N1263" s="227"/>
      <c r="O1263" s="227" t="s">
        <v>724</v>
      </c>
      <c r="P1263" s="122"/>
      <c r="Q1263" s="228"/>
      <c r="R1263" s="231">
        <f t="shared" si="793"/>
        <v>1.1690625000000001E-2</v>
      </c>
      <c r="S1263" s="230">
        <f t="shared" si="781"/>
        <v>1.1690625000000001E-2</v>
      </c>
      <c r="T1263" s="231">
        <f t="shared" si="795"/>
        <v>0</v>
      </c>
      <c r="U1263" s="232" t="str">
        <f t="shared" si="782"/>
        <v>t CO2-eq/ kg of protein</v>
      </c>
      <c r="V1263" s="28"/>
      <c r="W1263" s="28"/>
      <c r="Y1263" s="91"/>
      <c r="AO1263" s="91"/>
      <c r="AP1263" s="28"/>
      <c r="AQ1263" s="28"/>
      <c r="AR1263" s="237"/>
      <c r="AS1263" s="28"/>
      <c r="AT1263" s="304"/>
      <c r="AU1263" s="304"/>
      <c r="AV1263" s="28"/>
      <c r="AW1263" s="304"/>
      <c r="AX1263" s="304"/>
      <c r="AY1263" s="28"/>
      <c r="AZ1263" s="304"/>
      <c r="BA1263" s="304"/>
      <c r="BB1263" s="28"/>
      <c r="BC1263" s="304"/>
      <c r="BD1263" s="304"/>
      <c r="BE1263" s="28"/>
      <c r="BF1263" s="304"/>
      <c r="BG1263" s="304"/>
      <c r="BH1263" s="28"/>
      <c r="BI1263" s="304"/>
      <c r="BJ1263" s="304"/>
      <c r="BK1263" s="28"/>
      <c r="BL1263" s="304"/>
      <c r="BM1263" s="304"/>
      <c r="BN1263" s="28"/>
      <c r="BO1263" s="304"/>
      <c r="BP1263" s="304"/>
      <c r="BQ1263" s="28"/>
      <c r="BR1263" s="304"/>
      <c r="BS1263" s="304"/>
      <c r="BT1263" s="28"/>
      <c r="BU1263" s="304"/>
      <c r="BV1263" s="304"/>
      <c r="BW1263" s="28"/>
      <c r="BX1263" s="91"/>
    </row>
    <row r="1264" spans="1:76" s="55" customFormat="1" x14ac:dyDescent="0.25">
      <c r="A1264" s="195">
        <v>39</v>
      </c>
      <c r="B1264" s="216" t="str">
        <f t="shared" si="796"/>
        <v>Middle East and Africa: FAO. 2017. Reducing Enteric Methane for improving food security and livelihoods</v>
      </c>
      <c r="C1264" s="219" t="s">
        <v>488</v>
      </c>
      <c r="D1264" s="379" t="s">
        <v>520</v>
      </c>
      <c r="E1264" s="219" t="s">
        <v>99</v>
      </c>
      <c r="F1264" s="330" t="s">
        <v>521</v>
      </c>
      <c r="G1264" s="220" t="s">
        <v>26</v>
      </c>
      <c r="H1264" s="221">
        <v>2017</v>
      </c>
      <c r="I1264" s="240"/>
      <c r="J1264" s="377">
        <v>61.8</v>
      </c>
      <c r="K1264" s="382" t="s">
        <v>489</v>
      </c>
      <c r="L1264" s="383">
        <f t="shared" si="802"/>
        <v>5.7937500000000003E-3</v>
      </c>
      <c r="M1264" s="225" t="str">
        <f>CONCATENATE("t CO2-eq/ ",IF('[1]Advanced Controls'!$F$169="Implementation",AdoptionUnitOfMeasure,FunctionalUnitOfMeasure))</f>
        <v>t CO2-eq/ kg of protein</v>
      </c>
      <c r="N1264" s="227"/>
      <c r="O1264" s="227" t="s">
        <v>725</v>
      </c>
      <c r="P1264" s="122"/>
      <c r="Q1264" s="228"/>
      <c r="R1264" s="231">
        <f t="shared" si="793"/>
        <v>5.7937500000000003E-3</v>
      </c>
      <c r="S1264" s="230">
        <f t="shared" si="781"/>
        <v>5.7937500000000003E-3</v>
      </c>
      <c r="T1264" s="231">
        <f t="shared" si="795"/>
        <v>0</v>
      </c>
      <c r="U1264" s="232" t="str">
        <f t="shared" si="782"/>
        <v>t CO2-eq/ kg of protein</v>
      </c>
      <c r="V1264" s="28"/>
      <c r="W1264" s="28"/>
      <c r="Y1264" s="91"/>
      <c r="AO1264" s="91"/>
      <c r="AP1264" s="28"/>
      <c r="AQ1264" s="28"/>
      <c r="AR1264" s="237"/>
      <c r="AS1264" s="28"/>
      <c r="AT1264" s="304"/>
      <c r="AU1264" s="304"/>
      <c r="AV1264" s="28"/>
      <c r="AW1264" s="304"/>
      <c r="AX1264" s="304"/>
      <c r="AY1264" s="28"/>
      <c r="AZ1264" s="304"/>
      <c r="BA1264" s="304"/>
      <c r="BB1264" s="28"/>
      <c r="BC1264" s="304"/>
      <c r="BD1264" s="304"/>
      <c r="BE1264" s="28"/>
      <c r="BF1264" s="304"/>
      <c r="BG1264" s="304"/>
      <c r="BH1264" s="28"/>
      <c r="BI1264" s="304"/>
      <c r="BJ1264" s="304"/>
      <c r="BK1264" s="28"/>
      <c r="BL1264" s="304"/>
      <c r="BM1264" s="304"/>
      <c r="BN1264" s="28"/>
      <c r="BO1264" s="304"/>
      <c r="BP1264" s="304"/>
      <c r="BQ1264" s="28"/>
      <c r="BR1264" s="304"/>
      <c r="BS1264" s="304"/>
      <c r="BT1264" s="28"/>
      <c r="BU1264" s="304"/>
      <c r="BV1264" s="304"/>
      <c r="BW1264" s="28"/>
      <c r="BX1264" s="91"/>
    </row>
    <row r="1265" spans="1:76" s="55" customFormat="1" x14ac:dyDescent="0.25">
      <c r="A1265" s="195">
        <v>40</v>
      </c>
      <c r="B1265" s="216" t="str">
        <f t="shared" si="796"/>
        <v>Middle East and Africa: FAO. 2017. Reducing Enteric Methane for improving food security and livelihoods</v>
      </c>
      <c r="C1265" s="219" t="s">
        <v>488</v>
      </c>
      <c r="D1265" s="379" t="s">
        <v>520</v>
      </c>
      <c r="E1265" s="219" t="s">
        <v>99</v>
      </c>
      <c r="F1265" s="330" t="s">
        <v>521</v>
      </c>
      <c r="G1265" s="220" t="s">
        <v>26</v>
      </c>
      <c r="H1265" s="221">
        <v>2017</v>
      </c>
      <c r="I1265" s="240"/>
      <c r="J1265" s="377">
        <v>124.7</v>
      </c>
      <c r="K1265" s="382" t="s">
        <v>489</v>
      </c>
      <c r="L1265" s="383">
        <f t="shared" si="802"/>
        <v>1.1690625000000001E-2</v>
      </c>
      <c r="M1265" s="225" t="str">
        <f>CONCATENATE("t CO2-eq/ ",IF('[1]Advanced Controls'!$F$169="Implementation",AdoptionUnitOfMeasure,FunctionalUnitOfMeasure))</f>
        <v>t CO2-eq/ kg of protein</v>
      </c>
      <c r="N1265" s="227"/>
      <c r="O1265" s="227" t="s">
        <v>726</v>
      </c>
      <c r="P1265" s="122"/>
      <c r="Q1265" s="228"/>
      <c r="R1265" s="231">
        <f t="shared" si="793"/>
        <v>1.1690625000000001E-2</v>
      </c>
      <c r="S1265" s="230">
        <f t="shared" si="781"/>
        <v>1.1690625000000001E-2</v>
      </c>
      <c r="T1265" s="231">
        <f t="shared" si="795"/>
        <v>0</v>
      </c>
      <c r="U1265" s="232" t="str">
        <f t="shared" si="782"/>
        <v>t CO2-eq/ kg of protein</v>
      </c>
      <c r="V1265" s="28"/>
      <c r="W1265" s="28"/>
      <c r="Y1265" s="91"/>
      <c r="AO1265" s="91"/>
      <c r="AP1265" s="28"/>
      <c r="AQ1265" s="28"/>
      <c r="AR1265" s="237"/>
      <c r="AS1265" s="28"/>
      <c r="AT1265" s="304"/>
      <c r="AU1265" s="304"/>
      <c r="AV1265" s="28"/>
      <c r="AW1265" s="304"/>
      <c r="AX1265" s="304"/>
      <c r="AY1265" s="28"/>
      <c r="AZ1265" s="304"/>
      <c r="BA1265" s="304"/>
      <c r="BB1265" s="28"/>
      <c r="BC1265" s="304"/>
      <c r="BD1265" s="304"/>
      <c r="BE1265" s="28"/>
      <c r="BF1265" s="304"/>
      <c r="BG1265" s="304"/>
      <c r="BH1265" s="28"/>
      <c r="BI1265" s="304"/>
      <c r="BJ1265" s="304"/>
      <c r="BK1265" s="28"/>
      <c r="BL1265" s="304"/>
      <c r="BM1265" s="304"/>
      <c r="BN1265" s="28"/>
      <c r="BO1265" s="304"/>
      <c r="BP1265" s="304"/>
      <c r="BQ1265" s="28"/>
      <c r="BR1265" s="304"/>
      <c r="BS1265" s="304"/>
      <c r="BT1265" s="28"/>
      <c r="BU1265" s="304"/>
      <c r="BV1265" s="304"/>
      <c r="BW1265" s="28"/>
      <c r="BX1265" s="91"/>
    </row>
    <row r="1266" spans="1:76" s="55" customFormat="1" x14ac:dyDescent="0.25">
      <c r="A1266" s="195">
        <v>41</v>
      </c>
      <c r="B1266" s="216" t="str">
        <f t="shared" si="796"/>
        <v>Middle East and Africa: FAO. 2017. Reducing Enteric Methane for improving food security and livelihoods</v>
      </c>
      <c r="C1266" s="219" t="s">
        <v>488</v>
      </c>
      <c r="D1266" s="379" t="s">
        <v>520</v>
      </c>
      <c r="E1266" s="219" t="s">
        <v>99</v>
      </c>
      <c r="F1266" s="330" t="s">
        <v>521</v>
      </c>
      <c r="G1266" s="220" t="s">
        <v>26</v>
      </c>
      <c r="H1266" s="221">
        <v>2017</v>
      </c>
      <c r="I1266" s="240"/>
      <c r="J1266" s="377">
        <v>61.8</v>
      </c>
      <c r="K1266" s="382" t="s">
        <v>489</v>
      </c>
      <c r="L1266" s="383">
        <f t="shared" si="802"/>
        <v>5.7937500000000003E-3</v>
      </c>
      <c r="M1266" s="225" t="str">
        <f>CONCATENATE("t CO2-eq/ ",IF('[1]Advanced Controls'!$F$169="Implementation",AdoptionUnitOfMeasure,FunctionalUnitOfMeasure))</f>
        <v>t CO2-eq/ kg of protein</v>
      </c>
      <c r="N1266" s="227"/>
      <c r="O1266" s="227" t="s">
        <v>727</v>
      </c>
      <c r="P1266" s="122"/>
      <c r="Q1266" s="228"/>
      <c r="R1266" s="231">
        <f t="shared" si="793"/>
        <v>5.7937500000000003E-3</v>
      </c>
      <c r="S1266" s="230">
        <f t="shared" si="781"/>
        <v>5.7937500000000003E-3</v>
      </c>
      <c r="T1266" s="231">
        <f t="shared" si="795"/>
        <v>0</v>
      </c>
      <c r="U1266" s="232" t="str">
        <f t="shared" si="782"/>
        <v>t CO2-eq/ kg of protein</v>
      </c>
      <c r="V1266" s="28"/>
      <c r="W1266" s="28"/>
      <c r="Y1266" s="91"/>
      <c r="AO1266" s="91"/>
      <c r="AP1266" s="28"/>
      <c r="AQ1266" s="28"/>
      <c r="AR1266" s="237"/>
      <c r="AS1266" s="28"/>
      <c r="AT1266" s="304"/>
      <c r="AU1266" s="304"/>
      <c r="AV1266" s="28"/>
      <c r="AW1266" s="304"/>
      <c r="AX1266" s="304"/>
      <c r="AY1266" s="28"/>
      <c r="AZ1266" s="304"/>
      <c r="BA1266" s="304"/>
      <c r="BB1266" s="28"/>
      <c r="BC1266" s="304"/>
      <c r="BD1266" s="304"/>
      <c r="BE1266" s="28"/>
      <c r="BF1266" s="304"/>
      <c r="BG1266" s="304"/>
      <c r="BH1266" s="28"/>
      <c r="BI1266" s="304"/>
      <c r="BJ1266" s="304"/>
      <c r="BK1266" s="28"/>
      <c r="BL1266" s="304"/>
      <c r="BM1266" s="304"/>
      <c r="BN1266" s="28"/>
      <c r="BO1266" s="304"/>
      <c r="BP1266" s="304"/>
      <c r="BQ1266" s="28"/>
      <c r="BR1266" s="304"/>
      <c r="BS1266" s="304"/>
      <c r="BT1266" s="28"/>
      <c r="BU1266" s="304"/>
      <c r="BV1266" s="304"/>
      <c r="BW1266" s="28"/>
      <c r="BX1266" s="91"/>
    </row>
    <row r="1267" spans="1:76" s="55" customFormat="1" x14ac:dyDescent="0.25">
      <c r="A1267" s="195">
        <v>42</v>
      </c>
      <c r="B1267" s="216" t="str">
        <f t="shared" si="796"/>
        <v>Middle East and Africa: FAO. 2017. Reducing Enteric Methane for improving food security and livelihoods</v>
      </c>
      <c r="C1267" s="219" t="s">
        <v>488</v>
      </c>
      <c r="D1267" s="379" t="s">
        <v>522</v>
      </c>
      <c r="E1267" s="219" t="s">
        <v>99</v>
      </c>
      <c r="F1267" s="330" t="s">
        <v>523</v>
      </c>
      <c r="G1267" s="220" t="s">
        <v>26</v>
      </c>
      <c r="H1267" s="221">
        <v>2017</v>
      </c>
      <c r="I1267" s="240"/>
      <c r="J1267" s="377">
        <v>51</v>
      </c>
      <c r="K1267" s="382" t="s">
        <v>489</v>
      </c>
      <c r="L1267" s="383">
        <f t="shared" si="802"/>
        <v>4.7812499999999999E-3</v>
      </c>
      <c r="M1267" s="225" t="str">
        <f>CONCATENATE("t CO2-eq/ ",IF('[1]Advanced Controls'!$F$169="Implementation",AdoptionUnitOfMeasure,FunctionalUnitOfMeasure))</f>
        <v>t CO2-eq/ kg of protein</v>
      </c>
      <c r="N1267" s="227"/>
      <c r="O1267" s="227" t="s">
        <v>723</v>
      </c>
      <c r="P1267" s="122"/>
      <c r="Q1267" s="228"/>
      <c r="R1267" s="231">
        <f t="shared" si="793"/>
        <v>4.7812499999999999E-3</v>
      </c>
      <c r="S1267" s="230">
        <f t="shared" si="781"/>
        <v>4.7812499999999999E-3</v>
      </c>
      <c r="T1267" s="231">
        <f t="shared" si="795"/>
        <v>0</v>
      </c>
      <c r="U1267" s="232" t="str">
        <f t="shared" si="782"/>
        <v>t CO2-eq/ kg of protein</v>
      </c>
      <c r="V1267" s="28"/>
      <c r="W1267" s="28"/>
      <c r="Y1267" s="91"/>
      <c r="AO1267" s="91"/>
      <c r="AP1267" s="28"/>
      <c r="AQ1267" s="28"/>
      <c r="AR1267" s="237"/>
      <c r="AS1267" s="28"/>
      <c r="AT1267" s="304"/>
      <c r="AU1267" s="304"/>
      <c r="AV1267" s="28"/>
      <c r="AW1267" s="304"/>
      <c r="AX1267" s="304"/>
      <c r="AY1267" s="28"/>
      <c r="AZ1267" s="304"/>
      <c r="BA1267" s="304"/>
      <c r="BB1267" s="28"/>
      <c r="BC1267" s="304"/>
      <c r="BD1267" s="304"/>
      <c r="BE1267" s="28"/>
      <c r="BF1267" s="304"/>
      <c r="BG1267" s="304"/>
      <c r="BH1267" s="28"/>
      <c r="BI1267" s="304"/>
      <c r="BJ1267" s="304"/>
      <c r="BK1267" s="28"/>
      <c r="BL1267" s="304"/>
      <c r="BM1267" s="304"/>
      <c r="BN1267" s="28"/>
      <c r="BO1267" s="304"/>
      <c r="BP1267" s="304"/>
      <c r="BQ1267" s="28"/>
      <c r="BR1267" s="304"/>
      <c r="BS1267" s="304"/>
      <c r="BT1267" s="28"/>
      <c r="BU1267" s="304"/>
      <c r="BV1267" s="304"/>
      <c r="BW1267" s="28"/>
      <c r="BX1267" s="91"/>
    </row>
    <row r="1268" spans="1:76" s="55" customFormat="1" x14ac:dyDescent="0.25">
      <c r="A1268" s="195">
        <v>43</v>
      </c>
      <c r="B1268" s="216" t="str">
        <f t="shared" si="796"/>
        <v>Middle East and Africa: FAO. 2017. Reducing Enteric Methane for improving food security and livelihoods</v>
      </c>
      <c r="C1268" s="219" t="s">
        <v>488</v>
      </c>
      <c r="D1268" s="379" t="s">
        <v>522</v>
      </c>
      <c r="E1268" s="219" t="s">
        <v>99</v>
      </c>
      <c r="F1268" s="330" t="s">
        <v>523</v>
      </c>
      <c r="G1268" s="220" t="s">
        <v>26</v>
      </c>
      <c r="H1268" s="221">
        <v>2017</v>
      </c>
      <c r="I1268" s="240"/>
      <c r="J1268" s="377">
        <v>35.1</v>
      </c>
      <c r="K1268" s="382" t="s">
        <v>489</v>
      </c>
      <c r="L1268" s="383">
        <f t="shared" si="802"/>
        <v>3.2906249999999997E-3</v>
      </c>
      <c r="M1268" s="225" t="str">
        <f>CONCATENATE("t CO2-eq/ ",IF('[1]Advanced Controls'!$F$169="Implementation",AdoptionUnitOfMeasure,FunctionalUnitOfMeasure))</f>
        <v>t CO2-eq/ kg of protein</v>
      </c>
      <c r="N1268" s="227"/>
      <c r="O1268" s="227" t="s">
        <v>724</v>
      </c>
      <c r="P1268" s="122"/>
      <c r="Q1268" s="228"/>
      <c r="R1268" s="231">
        <f t="shared" si="793"/>
        <v>3.2906249999999997E-3</v>
      </c>
      <c r="S1268" s="230">
        <f t="shared" si="781"/>
        <v>3.2906249999999997E-3</v>
      </c>
      <c r="T1268" s="231">
        <f t="shared" si="795"/>
        <v>0</v>
      </c>
      <c r="U1268" s="232" t="str">
        <f t="shared" si="782"/>
        <v>t CO2-eq/ kg of protein</v>
      </c>
      <c r="V1268" s="28"/>
      <c r="W1268" s="28"/>
      <c r="Y1268" s="91"/>
      <c r="AO1268" s="91"/>
      <c r="AP1268" s="28"/>
      <c r="AQ1268" s="28"/>
      <c r="AR1268" s="237"/>
      <c r="AS1268" s="28"/>
      <c r="AT1268" s="304"/>
      <c r="AU1268" s="304"/>
      <c r="AV1268" s="28"/>
      <c r="AW1268" s="304"/>
      <c r="AX1268" s="304"/>
      <c r="AY1268" s="28"/>
      <c r="AZ1268" s="304"/>
      <c r="BA1268" s="304"/>
      <c r="BB1268" s="28"/>
      <c r="BC1268" s="304"/>
      <c r="BD1268" s="304"/>
      <c r="BE1268" s="28"/>
      <c r="BF1268" s="304"/>
      <c r="BG1268" s="304"/>
      <c r="BH1268" s="28"/>
      <c r="BI1268" s="304"/>
      <c r="BJ1268" s="304"/>
      <c r="BK1268" s="28"/>
      <c r="BL1268" s="304"/>
      <c r="BM1268" s="304"/>
      <c r="BN1268" s="28"/>
      <c r="BO1268" s="304"/>
      <c r="BP1268" s="304"/>
      <c r="BQ1268" s="28"/>
      <c r="BR1268" s="304"/>
      <c r="BS1268" s="304"/>
      <c r="BT1268" s="28"/>
      <c r="BU1268" s="304"/>
      <c r="BV1268" s="304"/>
      <c r="BW1268" s="28"/>
      <c r="BX1268" s="91"/>
    </row>
    <row r="1269" spans="1:76" s="55" customFormat="1" x14ac:dyDescent="0.25">
      <c r="A1269" s="195">
        <v>44</v>
      </c>
      <c r="B1269" s="216" t="str">
        <f t="shared" si="796"/>
        <v>Middle East and Africa: FAO. 2017. Reducing Enteric Methane for improving food security and livelihoods</v>
      </c>
      <c r="C1269" s="219" t="s">
        <v>488</v>
      </c>
      <c r="D1269" s="379" t="s">
        <v>522</v>
      </c>
      <c r="E1269" s="219" t="s">
        <v>99</v>
      </c>
      <c r="F1269" s="330" t="s">
        <v>523</v>
      </c>
      <c r="G1269" s="220" t="s">
        <v>26</v>
      </c>
      <c r="H1269" s="221">
        <v>2017</v>
      </c>
      <c r="I1269" s="240"/>
      <c r="J1269" s="377">
        <v>51</v>
      </c>
      <c r="K1269" s="382" t="s">
        <v>489</v>
      </c>
      <c r="L1269" s="383">
        <f t="shared" si="802"/>
        <v>4.7812499999999999E-3</v>
      </c>
      <c r="M1269" s="225" t="str">
        <f>CONCATENATE("t CO2-eq/ ",IF('[1]Advanced Controls'!$F$169="Implementation",AdoptionUnitOfMeasure,FunctionalUnitOfMeasure))</f>
        <v>t CO2-eq/ kg of protein</v>
      </c>
      <c r="N1269" s="227"/>
      <c r="O1269" s="227" t="s">
        <v>725</v>
      </c>
      <c r="P1269" s="122"/>
      <c r="Q1269" s="228"/>
      <c r="R1269" s="231">
        <f t="shared" si="793"/>
        <v>4.7812499999999999E-3</v>
      </c>
      <c r="S1269" s="230">
        <f t="shared" si="781"/>
        <v>4.7812499999999999E-3</v>
      </c>
      <c r="T1269" s="231">
        <f t="shared" si="795"/>
        <v>0</v>
      </c>
      <c r="U1269" s="232" t="str">
        <f t="shared" si="782"/>
        <v>t CO2-eq/ kg of protein</v>
      </c>
      <c r="V1269" s="28"/>
      <c r="W1269" s="28"/>
      <c r="Y1269" s="91"/>
      <c r="AO1269" s="91"/>
      <c r="AP1269" s="28"/>
      <c r="AQ1269" s="28"/>
      <c r="AR1269" s="237"/>
      <c r="AS1269" s="28"/>
      <c r="AT1269" s="304"/>
      <c r="AU1269" s="304"/>
      <c r="AV1269" s="28"/>
      <c r="AW1269" s="304"/>
      <c r="AX1269" s="304"/>
      <c r="AY1269" s="28"/>
      <c r="AZ1269" s="304"/>
      <c r="BA1269" s="304"/>
      <c r="BB1269" s="28"/>
      <c r="BC1269" s="304"/>
      <c r="BD1269" s="304"/>
      <c r="BE1269" s="28"/>
      <c r="BF1269" s="304"/>
      <c r="BG1269" s="304"/>
      <c r="BH1269" s="28"/>
      <c r="BI1269" s="304"/>
      <c r="BJ1269" s="304"/>
      <c r="BK1269" s="28"/>
      <c r="BL1269" s="304"/>
      <c r="BM1269" s="304"/>
      <c r="BN1269" s="28"/>
      <c r="BO1269" s="304"/>
      <c r="BP1269" s="304"/>
      <c r="BQ1269" s="28"/>
      <c r="BR1269" s="304"/>
      <c r="BS1269" s="304"/>
      <c r="BT1269" s="28"/>
      <c r="BU1269" s="304"/>
      <c r="BV1269" s="304"/>
      <c r="BW1269" s="28"/>
      <c r="BX1269" s="91"/>
    </row>
    <row r="1270" spans="1:76" s="55" customFormat="1" x14ac:dyDescent="0.25">
      <c r="A1270" s="195">
        <v>45</v>
      </c>
      <c r="B1270" s="216" t="str">
        <f t="shared" si="796"/>
        <v>Middle East and Africa: FAO. 2017. Reducing Enteric Methane for improving food security and livelihoods</v>
      </c>
      <c r="C1270" s="219" t="s">
        <v>488</v>
      </c>
      <c r="D1270" s="379" t="s">
        <v>522</v>
      </c>
      <c r="E1270" s="219" t="s">
        <v>99</v>
      </c>
      <c r="F1270" s="330" t="s">
        <v>523</v>
      </c>
      <c r="G1270" s="220" t="s">
        <v>26</v>
      </c>
      <c r="H1270" s="221">
        <v>2017</v>
      </c>
      <c r="I1270" s="240"/>
      <c r="J1270" s="377">
        <v>35.1</v>
      </c>
      <c r="K1270" s="382" t="s">
        <v>489</v>
      </c>
      <c r="L1270" s="383">
        <f t="shared" si="802"/>
        <v>3.2906249999999997E-3</v>
      </c>
      <c r="M1270" s="225" t="str">
        <f>CONCATENATE("t CO2-eq/ ",IF('[1]Advanced Controls'!$F$169="Implementation",AdoptionUnitOfMeasure,FunctionalUnitOfMeasure))</f>
        <v>t CO2-eq/ kg of protein</v>
      </c>
      <c r="N1270" s="227"/>
      <c r="O1270" s="227" t="s">
        <v>726</v>
      </c>
      <c r="P1270" s="122"/>
      <c r="Q1270" s="228"/>
      <c r="R1270" s="231">
        <f t="shared" si="793"/>
        <v>3.2906249999999997E-3</v>
      </c>
      <c r="S1270" s="230">
        <f t="shared" si="781"/>
        <v>3.2906249999999997E-3</v>
      </c>
      <c r="T1270" s="231">
        <f t="shared" si="795"/>
        <v>0</v>
      </c>
      <c r="U1270" s="232" t="str">
        <f t="shared" si="782"/>
        <v>t CO2-eq/ kg of protein</v>
      </c>
      <c r="V1270" s="28"/>
      <c r="W1270" s="28"/>
      <c r="Y1270" s="91"/>
      <c r="AO1270" s="91"/>
      <c r="AP1270" s="28"/>
      <c r="AQ1270" s="28"/>
      <c r="AR1270" s="237"/>
      <c r="AS1270" s="28"/>
      <c r="AT1270" s="304"/>
      <c r="AU1270" s="304"/>
      <c r="AV1270" s="28"/>
      <c r="AW1270" s="304"/>
      <c r="AX1270" s="304"/>
      <c r="AY1270" s="28"/>
      <c r="AZ1270" s="304"/>
      <c r="BA1270" s="304"/>
      <c r="BB1270" s="28"/>
      <c r="BC1270" s="304"/>
      <c r="BD1270" s="304"/>
      <c r="BE1270" s="28"/>
      <c r="BF1270" s="304"/>
      <c r="BG1270" s="304"/>
      <c r="BH1270" s="28"/>
      <c r="BI1270" s="304"/>
      <c r="BJ1270" s="304"/>
      <c r="BK1270" s="28"/>
      <c r="BL1270" s="304"/>
      <c r="BM1270" s="304"/>
      <c r="BN1270" s="28"/>
      <c r="BO1270" s="304"/>
      <c r="BP1270" s="304"/>
      <c r="BQ1270" s="28"/>
      <c r="BR1270" s="304"/>
      <c r="BS1270" s="304"/>
      <c r="BT1270" s="28"/>
      <c r="BU1270" s="304"/>
      <c r="BV1270" s="304"/>
      <c r="BW1270" s="28"/>
      <c r="BX1270" s="91"/>
    </row>
    <row r="1271" spans="1:76" s="55" customFormat="1" x14ac:dyDescent="0.25">
      <c r="A1271" s="195">
        <v>46</v>
      </c>
      <c r="B1271" s="216" t="str">
        <f t="shared" si="796"/>
        <v>Middle East and Africa: FAO. 2017. Reducing Enteric Methane for improving food security and livelihoods</v>
      </c>
      <c r="C1271" s="219" t="s">
        <v>488</v>
      </c>
      <c r="D1271" s="379" t="s">
        <v>522</v>
      </c>
      <c r="E1271" s="219" t="s">
        <v>99</v>
      </c>
      <c r="F1271" s="330" t="s">
        <v>523</v>
      </c>
      <c r="G1271" s="220" t="s">
        <v>26</v>
      </c>
      <c r="H1271" s="221">
        <v>2017</v>
      </c>
      <c r="I1271" s="240"/>
      <c r="J1271" s="377">
        <v>51</v>
      </c>
      <c r="K1271" s="382" t="s">
        <v>489</v>
      </c>
      <c r="L1271" s="383">
        <f t="shared" si="802"/>
        <v>4.7812499999999999E-3</v>
      </c>
      <c r="M1271" s="225" t="str">
        <f>CONCATENATE("t CO2-eq/ ",IF('[1]Advanced Controls'!$F$169="Implementation",AdoptionUnitOfMeasure,FunctionalUnitOfMeasure))</f>
        <v>t CO2-eq/ kg of protein</v>
      </c>
      <c r="N1271" s="227"/>
      <c r="O1271" s="227" t="s">
        <v>728</v>
      </c>
      <c r="P1271" s="122"/>
      <c r="Q1271" s="228"/>
      <c r="R1271" s="231">
        <f t="shared" si="793"/>
        <v>4.7812499999999999E-3</v>
      </c>
      <c r="S1271" s="230">
        <f t="shared" si="781"/>
        <v>4.7812499999999999E-3</v>
      </c>
      <c r="T1271" s="231">
        <f t="shared" si="795"/>
        <v>0</v>
      </c>
      <c r="U1271" s="232" t="str">
        <f t="shared" si="782"/>
        <v>t CO2-eq/ kg of protein</v>
      </c>
      <c r="V1271" s="28"/>
      <c r="W1271" s="28"/>
      <c r="Y1271" s="91"/>
      <c r="AO1271" s="91"/>
      <c r="AP1271" s="28"/>
      <c r="AQ1271" s="28"/>
      <c r="AR1271" s="237"/>
      <c r="AS1271" s="28"/>
      <c r="AT1271" s="304"/>
      <c r="AU1271" s="304"/>
      <c r="AV1271" s="28"/>
      <c r="AW1271" s="304"/>
      <c r="AX1271" s="304"/>
      <c r="AY1271" s="28"/>
      <c r="AZ1271" s="304"/>
      <c r="BA1271" s="304"/>
      <c r="BB1271" s="28"/>
      <c r="BC1271" s="304"/>
      <c r="BD1271" s="304"/>
      <c r="BE1271" s="28"/>
      <c r="BF1271" s="304"/>
      <c r="BG1271" s="304"/>
      <c r="BH1271" s="28"/>
      <c r="BI1271" s="304"/>
      <c r="BJ1271" s="304"/>
      <c r="BK1271" s="28"/>
      <c r="BL1271" s="304"/>
      <c r="BM1271" s="304"/>
      <c r="BN1271" s="28"/>
      <c r="BO1271" s="304"/>
      <c r="BP1271" s="304"/>
      <c r="BQ1271" s="28"/>
      <c r="BR1271" s="304"/>
      <c r="BS1271" s="304"/>
      <c r="BT1271" s="28"/>
      <c r="BU1271" s="304"/>
      <c r="BV1271" s="304"/>
      <c r="BW1271" s="28"/>
      <c r="BX1271" s="91"/>
    </row>
    <row r="1272" spans="1:76" s="55" customFormat="1" x14ac:dyDescent="0.25">
      <c r="A1272" s="195">
        <v>47</v>
      </c>
      <c r="B1272" s="216" t="str">
        <f t="shared" si="796"/>
        <v>Middle East and Africa: FAO. 2017. Reducing Enteric Methane for improving food security and livelihoods</v>
      </c>
      <c r="C1272" s="219" t="s">
        <v>488</v>
      </c>
      <c r="D1272" s="379" t="s">
        <v>524</v>
      </c>
      <c r="E1272" s="219" t="s">
        <v>99</v>
      </c>
      <c r="F1272" s="330" t="s">
        <v>525</v>
      </c>
      <c r="G1272" s="220" t="s">
        <v>26</v>
      </c>
      <c r="H1272" s="221">
        <v>2017</v>
      </c>
      <c r="I1272" s="240"/>
      <c r="J1272" s="377">
        <v>11.9</v>
      </c>
      <c r="K1272" s="382" t="s">
        <v>489</v>
      </c>
      <c r="L1272" s="383">
        <f t="shared" si="802"/>
        <v>1.1156250000000001E-3</v>
      </c>
      <c r="M1272" s="225" t="str">
        <f>CONCATENATE("t CO2-eq/ ",IF('[1]Advanced Controls'!$F$169="Implementation",AdoptionUnitOfMeasure,FunctionalUnitOfMeasure))</f>
        <v>t CO2-eq/ kg of protein</v>
      </c>
      <c r="N1272" s="227"/>
      <c r="O1272" s="227" t="s">
        <v>723</v>
      </c>
      <c r="P1272" s="122"/>
      <c r="Q1272" s="228"/>
      <c r="R1272" s="231">
        <f t="shared" si="793"/>
        <v>1.1156250000000001E-3</v>
      </c>
      <c r="S1272" s="230">
        <f t="shared" si="781"/>
        <v>1.1156250000000001E-3</v>
      </c>
      <c r="T1272" s="231">
        <f t="shared" si="795"/>
        <v>0</v>
      </c>
      <c r="U1272" s="232" t="str">
        <f t="shared" si="782"/>
        <v>t CO2-eq/ kg of protein</v>
      </c>
      <c r="V1272" s="28"/>
      <c r="W1272" s="28"/>
      <c r="Y1272" s="91"/>
      <c r="AO1272" s="91"/>
      <c r="AP1272" s="28"/>
      <c r="AQ1272" s="28"/>
      <c r="AR1272" s="237"/>
      <c r="AS1272" s="28"/>
      <c r="AT1272" s="304"/>
      <c r="AU1272" s="304"/>
      <c r="AV1272" s="28"/>
      <c r="AW1272" s="304"/>
      <c r="AX1272" s="304"/>
      <c r="AY1272" s="28"/>
      <c r="AZ1272" s="304"/>
      <c r="BA1272" s="304"/>
      <c r="BB1272" s="28"/>
      <c r="BC1272" s="304"/>
      <c r="BD1272" s="304"/>
      <c r="BE1272" s="28"/>
      <c r="BF1272" s="304"/>
      <c r="BG1272" s="304"/>
      <c r="BH1272" s="28"/>
      <c r="BI1272" s="304"/>
      <c r="BJ1272" s="304"/>
      <c r="BK1272" s="28"/>
      <c r="BL1272" s="304"/>
      <c r="BM1272" s="304"/>
      <c r="BN1272" s="28"/>
      <c r="BO1272" s="304"/>
      <c r="BP1272" s="304"/>
      <c r="BQ1272" s="28"/>
      <c r="BR1272" s="304"/>
      <c r="BS1272" s="304"/>
      <c r="BT1272" s="28"/>
      <c r="BU1272" s="304"/>
      <c r="BV1272" s="304"/>
      <c r="BW1272" s="28"/>
      <c r="BX1272" s="91"/>
    </row>
    <row r="1273" spans="1:76" s="55" customFormat="1" x14ac:dyDescent="0.25">
      <c r="A1273" s="195">
        <v>48</v>
      </c>
      <c r="B1273" s="216" t="str">
        <f t="shared" si="796"/>
        <v>Middle East and Africa: FAO. 2017. Reducing Enteric Methane for improving food security and livelihoods</v>
      </c>
      <c r="C1273" s="219" t="s">
        <v>488</v>
      </c>
      <c r="D1273" s="379" t="s">
        <v>524</v>
      </c>
      <c r="E1273" s="219" t="s">
        <v>99</v>
      </c>
      <c r="F1273" s="330" t="s">
        <v>525</v>
      </c>
      <c r="G1273" s="220" t="s">
        <v>26</v>
      </c>
      <c r="H1273" s="221">
        <v>2017</v>
      </c>
      <c r="I1273" s="240"/>
      <c r="J1273" s="377">
        <v>21.1</v>
      </c>
      <c r="K1273" s="382" t="s">
        <v>489</v>
      </c>
      <c r="L1273" s="383">
        <f t="shared" si="802"/>
        <v>1.9781250000000003E-3</v>
      </c>
      <c r="M1273" s="225" t="str">
        <f>CONCATENATE("t CO2-eq/ ",IF('[1]Advanced Controls'!$F$169="Implementation",AdoptionUnitOfMeasure,FunctionalUnitOfMeasure))</f>
        <v>t CO2-eq/ kg of protein</v>
      </c>
      <c r="N1273" s="227"/>
      <c r="O1273" s="227" t="s">
        <v>724</v>
      </c>
      <c r="P1273" s="122"/>
      <c r="Q1273" s="228"/>
      <c r="R1273" s="231">
        <f t="shared" si="793"/>
        <v>1.9781250000000003E-3</v>
      </c>
      <c r="S1273" s="230">
        <f t="shared" si="781"/>
        <v>1.9781250000000003E-3</v>
      </c>
      <c r="T1273" s="231" t="str">
        <f t="shared" si="795"/>
        <v/>
      </c>
      <c r="U1273" s="232" t="str">
        <f t="shared" si="782"/>
        <v>t CO2-eq/ kg of protein</v>
      </c>
      <c r="V1273" s="28"/>
      <c r="W1273" s="28"/>
      <c r="Y1273" s="91"/>
      <c r="AO1273" s="91"/>
      <c r="AP1273" s="28"/>
      <c r="AQ1273" s="28"/>
      <c r="AR1273" s="237"/>
      <c r="AS1273" s="28"/>
      <c r="AT1273" s="304"/>
      <c r="AU1273" s="304"/>
      <c r="AV1273" s="28"/>
      <c r="AW1273" s="304"/>
      <c r="AX1273" s="304"/>
      <c r="AY1273" s="28"/>
      <c r="AZ1273" s="304"/>
      <c r="BA1273" s="304"/>
      <c r="BB1273" s="28"/>
      <c r="BC1273" s="304"/>
      <c r="BD1273" s="304"/>
      <c r="BE1273" s="28"/>
      <c r="BF1273" s="304"/>
      <c r="BG1273" s="304"/>
      <c r="BH1273" s="28"/>
      <c r="BI1273" s="304"/>
      <c r="BJ1273" s="304"/>
      <c r="BK1273" s="28"/>
      <c r="BL1273" s="304"/>
      <c r="BM1273" s="304"/>
      <c r="BN1273" s="28"/>
      <c r="BO1273" s="304"/>
      <c r="BP1273" s="304"/>
      <c r="BQ1273" s="28"/>
      <c r="BR1273" s="304"/>
      <c r="BS1273" s="304"/>
      <c r="BT1273" s="28"/>
      <c r="BU1273" s="304"/>
      <c r="BV1273" s="304"/>
      <c r="BW1273" s="28"/>
      <c r="BX1273" s="91"/>
    </row>
    <row r="1274" spans="1:76" s="55" customFormat="1" x14ac:dyDescent="0.25">
      <c r="A1274" s="195">
        <v>49</v>
      </c>
      <c r="B1274" s="216" t="str">
        <f t="shared" si="796"/>
        <v>Middle East and Africa: FAO. 2017. Reducing Enteric Methane for improving food security and livelihoods</v>
      </c>
      <c r="C1274" s="219" t="s">
        <v>488</v>
      </c>
      <c r="D1274" s="379" t="s">
        <v>524</v>
      </c>
      <c r="E1274" s="219" t="s">
        <v>99</v>
      </c>
      <c r="F1274" s="330" t="s">
        <v>525</v>
      </c>
      <c r="G1274" s="220" t="s">
        <v>26</v>
      </c>
      <c r="H1274" s="221">
        <v>2017</v>
      </c>
      <c r="I1274" s="240"/>
      <c r="J1274" s="377">
        <v>11.9</v>
      </c>
      <c r="K1274" s="382" t="s">
        <v>489</v>
      </c>
      <c r="L1274" s="383">
        <f t="shared" si="802"/>
        <v>1.1156250000000001E-3</v>
      </c>
      <c r="M1274" s="225" t="str">
        <f>CONCATENATE("t CO2-eq/ ",IF('[1]Advanced Controls'!$F$169="Implementation",AdoptionUnitOfMeasure,FunctionalUnitOfMeasure))</f>
        <v>t CO2-eq/ kg of protein</v>
      </c>
      <c r="N1274" s="227"/>
      <c r="O1274" s="227" t="s">
        <v>725</v>
      </c>
      <c r="P1274" s="122"/>
      <c r="Q1274" s="228"/>
      <c r="R1274" s="231">
        <f t="shared" si="793"/>
        <v>1.1156250000000001E-3</v>
      </c>
      <c r="S1274" s="230">
        <f t="shared" si="781"/>
        <v>1.1156250000000001E-3</v>
      </c>
      <c r="T1274" s="231">
        <f t="shared" si="795"/>
        <v>0</v>
      </c>
      <c r="U1274" s="232" t="str">
        <f t="shared" si="782"/>
        <v>t CO2-eq/ kg of protein</v>
      </c>
      <c r="V1274" s="28"/>
      <c r="W1274" s="28"/>
      <c r="Y1274" s="91"/>
      <c r="AO1274" s="91"/>
      <c r="AP1274" s="28"/>
      <c r="AQ1274" s="28"/>
      <c r="AR1274" s="237"/>
      <c r="AS1274" s="28"/>
      <c r="AT1274" s="304"/>
      <c r="AU1274" s="304"/>
      <c r="AV1274" s="28"/>
      <c r="AW1274" s="304"/>
      <c r="AX1274" s="304"/>
      <c r="AY1274" s="28"/>
      <c r="AZ1274" s="304"/>
      <c r="BA1274" s="304"/>
      <c r="BB1274" s="28"/>
      <c r="BC1274" s="304"/>
      <c r="BD1274" s="304"/>
      <c r="BE1274" s="28"/>
      <c r="BF1274" s="304"/>
      <c r="BG1274" s="304"/>
      <c r="BH1274" s="28"/>
      <c r="BI1274" s="304"/>
      <c r="BJ1274" s="304"/>
      <c r="BK1274" s="28"/>
      <c r="BL1274" s="304"/>
      <c r="BM1274" s="304"/>
      <c r="BN1274" s="28"/>
      <c r="BO1274" s="304"/>
      <c r="BP1274" s="304"/>
      <c r="BQ1274" s="28"/>
      <c r="BR1274" s="304"/>
      <c r="BS1274" s="304"/>
      <c r="BT1274" s="28"/>
      <c r="BU1274" s="304"/>
      <c r="BV1274" s="304"/>
      <c r="BW1274" s="28"/>
      <c r="BX1274" s="91"/>
    </row>
    <row r="1275" spans="1:76" s="55" customFormat="1" x14ac:dyDescent="0.25">
      <c r="A1275" s="195">
        <v>50</v>
      </c>
      <c r="B1275" s="216" t="str">
        <f t="shared" si="796"/>
        <v>Middle East and Africa: FAO. 2017. Reducing Enteric Methane for improving food security and livelihoods</v>
      </c>
      <c r="C1275" s="219" t="s">
        <v>488</v>
      </c>
      <c r="D1275" s="379" t="s">
        <v>524</v>
      </c>
      <c r="E1275" s="219" t="s">
        <v>99</v>
      </c>
      <c r="F1275" s="330" t="s">
        <v>525</v>
      </c>
      <c r="G1275" s="220" t="s">
        <v>26</v>
      </c>
      <c r="H1275" s="221">
        <v>2017</v>
      </c>
      <c r="I1275" s="240"/>
      <c r="J1275" s="377">
        <v>21.1</v>
      </c>
      <c r="K1275" s="382" t="s">
        <v>489</v>
      </c>
      <c r="L1275" s="383">
        <f t="shared" si="802"/>
        <v>1.9781250000000003E-3</v>
      </c>
      <c r="M1275" s="225" t="str">
        <f>CONCATENATE("t CO2-eq/ ",IF('[1]Advanced Controls'!$F$169="Implementation",AdoptionUnitOfMeasure,FunctionalUnitOfMeasure))</f>
        <v>t CO2-eq/ kg of protein</v>
      </c>
      <c r="N1275" s="227"/>
      <c r="O1275" s="227" t="s">
        <v>726</v>
      </c>
      <c r="P1275" s="122"/>
      <c r="Q1275" s="228"/>
      <c r="R1275" s="231">
        <f t="shared" si="793"/>
        <v>1.9781250000000003E-3</v>
      </c>
      <c r="S1275" s="230">
        <f t="shared" si="781"/>
        <v>1.9781250000000003E-3</v>
      </c>
      <c r="T1275" s="231" t="str">
        <f t="shared" si="795"/>
        <v/>
      </c>
      <c r="U1275" s="232" t="str">
        <f t="shared" si="782"/>
        <v>t CO2-eq/ kg of protein</v>
      </c>
      <c r="V1275" s="28"/>
      <c r="W1275" s="28"/>
      <c r="Y1275" s="91"/>
      <c r="AO1275" s="91"/>
      <c r="AP1275" s="28"/>
      <c r="AQ1275" s="28"/>
      <c r="AR1275" s="237"/>
      <c r="AS1275" s="28"/>
      <c r="AT1275" s="304"/>
      <c r="AU1275" s="304"/>
      <c r="AV1275" s="28"/>
      <c r="AW1275" s="304"/>
      <c r="AX1275" s="304"/>
      <c r="AY1275" s="28"/>
      <c r="AZ1275" s="304"/>
      <c r="BA1275" s="304"/>
      <c r="BB1275" s="28"/>
      <c r="BC1275" s="304"/>
      <c r="BD1275" s="304"/>
      <c r="BE1275" s="28"/>
      <c r="BF1275" s="304"/>
      <c r="BG1275" s="304"/>
      <c r="BH1275" s="28"/>
      <c r="BI1275" s="304"/>
      <c r="BJ1275" s="304"/>
      <c r="BK1275" s="28"/>
      <c r="BL1275" s="304"/>
      <c r="BM1275" s="304"/>
      <c r="BN1275" s="28"/>
      <c r="BO1275" s="304"/>
      <c r="BP1275" s="304"/>
      <c r="BQ1275" s="28"/>
      <c r="BR1275" s="304"/>
      <c r="BS1275" s="304"/>
      <c r="BT1275" s="28"/>
      <c r="BU1275" s="304"/>
      <c r="BV1275" s="304"/>
      <c r="BW1275" s="28"/>
      <c r="BX1275" s="91"/>
    </row>
    <row r="1276" spans="1:76" s="55" customFormat="1" x14ac:dyDescent="0.25">
      <c r="A1276" s="195">
        <v>51</v>
      </c>
      <c r="B1276" s="216" t="str">
        <f t="shared" si="796"/>
        <v>Middle East and Africa: FAO. 2017. Reducing Enteric Methane for improving food security and livelihoods</v>
      </c>
      <c r="C1276" s="219" t="s">
        <v>488</v>
      </c>
      <c r="D1276" s="379" t="s">
        <v>524</v>
      </c>
      <c r="E1276" s="219" t="s">
        <v>99</v>
      </c>
      <c r="F1276" s="330" t="s">
        <v>525</v>
      </c>
      <c r="G1276" s="220" t="s">
        <v>26</v>
      </c>
      <c r="H1276" s="221">
        <v>2017</v>
      </c>
      <c r="I1276" s="240"/>
      <c r="J1276" s="377">
        <v>11.9</v>
      </c>
      <c r="K1276" s="382" t="s">
        <v>489</v>
      </c>
      <c r="L1276" s="383">
        <f t="shared" si="802"/>
        <v>1.1156250000000001E-3</v>
      </c>
      <c r="M1276" s="225" t="str">
        <f>CONCATENATE("t CO2-eq/ ",IF('[1]Advanced Controls'!$F$169="Implementation",AdoptionUnitOfMeasure,FunctionalUnitOfMeasure))</f>
        <v>t CO2-eq/ kg of protein</v>
      </c>
      <c r="N1276" s="227"/>
      <c r="O1276" s="227" t="s">
        <v>728</v>
      </c>
      <c r="P1276" s="122"/>
      <c r="Q1276" s="228"/>
      <c r="R1276" s="231">
        <f t="shared" si="793"/>
        <v>1.1156250000000001E-3</v>
      </c>
      <c r="S1276" s="230">
        <f t="shared" si="781"/>
        <v>1.1156250000000001E-3</v>
      </c>
      <c r="T1276" s="231">
        <f t="shared" si="795"/>
        <v>0</v>
      </c>
      <c r="U1276" s="232" t="str">
        <f t="shared" si="782"/>
        <v>t CO2-eq/ kg of protein</v>
      </c>
      <c r="V1276" s="28"/>
      <c r="W1276" s="28"/>
      <c r="Y1276" s="91"/>
      <c r="AO1276" s="91"/>
      <c r="AP1276" s="28"/>
      <c r="AQ1276" s="28"/>
      <c r="AR1276" s="237"/>
      <c r="AS1276" s="28"/>
      <c r="AT1276" s="304"/>
      <c r="AU1276" s="304"/>
      <c r="AV1276" s="28"/>
      <c r="AW1276" s="304"/>
      <c r="AX1276" s="304"/>
      <c r="AY1276" s="28"/>
      <c r="AZ1276" s="304"/>
      <c r="BA1276" s="304"/>
      <c r="BB1276" s="28"/>
      <c r="BC1276" s="304"/>
      <c r="BD1276" s="304"/>
      <c r="BE1276" s="28"/>
      <c r="BF1276" s="304"/>
      <c r="BG1276" s="304"/>
      <c r="BH1276" s="28"/>
      <c r="BI1276" s="304"/>
      <c r="BJ1276" s="304"/>
      <c r="BK1276" s="28"/>
      <c r="BL1276" s="304"/>
      <c r="BM1276" s="304"/>
      <c r="BN1276" s="28"/>
      <c r="BO1276" s="304"/>
      <c r="BP1276" s="304"/>
      <c r="BQ1276" s="28"/>
      <c r="BR1276" s="304"/>
      <c r="BS1276" s="304"/>
      <c r="BT1276" s="28"/>
      <c r="BU1276" s="304"/>
      <c r="BV1276" s="304"/>
      <c r="BW1276" s="28"/>
      <c r="BX1276" s="91"/>
    </row>
    <row r="1277" spans="1:76" s="55" customFormat="1" x14ac:dyDescent="0.25">
      <c r="A1277" s="195">
        <v>52</v>
      </c>
      <c r="B1277" s="216" t="str">
        <f t="shared" si="796"/>
        <v>Middle East and Africa: FAO. 2017. Reducing Enteric Methane for improving food security and livelihoods</v>
      </c>
      <c r="C1277" s="219" t="s">
        <v>488</v>
      </c>
      <c r="D1277" s="379" t="s">
        <v>526</v>
      </c>
      <c r="E1277" s="219" t="s">
        <v>99</v>
      </c>
      <c r="F1277" s="330" t="s">
        <v>527</v>
      </c>
      <c r="G1277" s="220" t="s">
        <v>26</v>
      </c>
      <c r="H1277" s="221">
        <v>2017</v>
      </c>
      <c r="I1277" s="240"/>
      <c r="J1277" s="377">
        <v>30.7</v>
      </c>
      <c r="K1277" s="382" t="s">
        <v>489</v>
      </c>
      <c r="L1277" s="383">
        <f t="shared" si="802"/>
        <v>2.878125E-3</v>
      </c>
      <c r="M1277" s="225" t="str">
        <f>CONCATENATE("t CO2-eq/ ",IF('[1]Advanced Controls'!$F$169="Implementation",AdoptionUnitOfMeasure,FunctionalUnitOfMeasure))</f>
        <v>t CO2-eq/ kg of protein</v>
      </c>
      <c r="N1277" s="227"/>
      <c r="O1277" s="227" t="s">
        <v>723</v>
      </c>
      <c r="P1277" s="122"/>
      <c r="Q1277" s="228"/>
      <c r="R1277" s="231">
        <f t="shared" si="793"/>
        <v>2.878125E-3</v>
      </c>
      <c r="S1277" s="230">
        <f t="shared" si="781"/>
        <v>2.878125E-3</v>
      </c>
      <c r="T1277" s="231">
        <f t="shared" si="795"/>
        <v>0</v>
      </c>
      <c r="U1277" s="232" t="str">
        <f t="shared" si="782"/>
        <v>t CO2-eq/ kg of protein</v>
      </c>
      <c r="V1277" s="28"/>
      <c r="W1277" s="28"/>
      <c r="Y1277" s="91"/>
      <c r="AO1277" s="91"/>
      <c r="AP1277" s="28"/>
      <c r="AQ1277" s="28"/>
      <c r="AR1277" s="237"/>
      <c r="AS1277" s="28"/>
      <c r="AT1277" s="304"/>
      <c r="AU1277" s="304"/>
      <c r="AV1277" s="28"/>
      <c r="AW1277" s="304"/>
      <c r="AX1277" s="304"/>
      <c r="AY1277" s="28"/>
      <c r="AZ1277" s="304"/>
      <c r="BA1277" s="304"/>
      <c r="BB1277" s="28"/>
      <c r="BC1277" s="304"/>
      <c r="BD1277" s="304"/>
      <c r="BE1277" s="28"/>
      <c r="BF1277" s="304"/>
      <c r="BG1277" s="304"/>
      <c r="BH1277" s="28"/>
      <c r="BI1277" s="304"/>
      <c r="BJ1277" s="304"/>
      <c r="BK1277" s="28"/>
      <c r="BL1277" s="304"/>
      <c r="BM1277" s="304"/>
      <c r="BN1277" s="28"/>
      <c r="BO1277" s="304"/>
      <c r="BP1277" s="304"/>
      <c r="BQ1277" s="28"/>
      <c r="BR1277" s="304"/>
      <c r="BS1277" s="304"/>
      <c r="BT1277" s="28"/>
      <c r="BU1277" s="304"/>
      <c r="BV1277" s="304"/>
      <c r="BW1277" s="28"/>
      <c r="BX1277" s="91"/>
    </row>
    <row r="1278" spans="1:76" s="55" customFormat="1" x14ac:dyDescent="0.25">
      <c r="A1278" s="195">
        <v>53</v>
      </c>
      <c r="B1278" s="216" t="str">
        <f t="shared" si="796"/>
        <v>Middle East and Africa: FAO. 2017. Reducing Enteric Methane for improving food security and livelihoods</v>
      </c>
      <c r="C1278" s="219" t="s">
        <v>488</v>
      </c>
      <c r="D1278" s="379" t="s">
        <v>526</v>
      </c>
      <c r="E1278" s="219" t="s">
        <v>99</v>
      </c>
      <c r="F1278" s="330" t="s">
        <v>527</v>
      </c>
      <c r="G1278" s="220" t="s">
        <v>26</v>
      </c>
      <c r="H1278" s="221">
        <v>2017</v>
      </c>
      <c r="I1278" s="240"/>
      <c r="J1278" s="377">
        <v>44.1</v>
      </c>
      <c r="K1278" s="382" t="s">
        <v>489</v>
      </c>
      <c r="L1278" s="383">
        <f t="shared" si="802"/>
        <v>4.134375E-3</v>
      </c>
      <c r="M1278" s="225" t="str">
        <f>CONCATENATE("t CO2-eq/ ",IF('[1]Advanced Controls'!$F$169="Implementation",AdoptionUnitOfMeasure,FunctionalUnitOfMeasure))</f>
        <v>t CO2-eq/ kg of protein</v>
      </c>
      <c r="N1278" s="227"/>
      <c r="O1278" s="227" t="s">
        <v>724</v>
      </c>
      <c r="P1278" s="122"/>
      <c r="Q1278" s="228"/>
      <c r="R1278" s="231">
        <f t="shared" si="793"/>
        <v>4.134375E-3</v>
      </c>
      <c r="S1278" s="230">
        <f t="shared" si="781"/>
        <v>4.134375E-3</v>
      </c>
      <c r="T1278" s="231" t="str">
        <f t="shared" si="795"/>
        <v/>
      </c>
      <c r="U1278" s="232" t="str">
        <f t="shared" si="782"/>
        <v>t CO2-eq/ kg of protein</v>
      </c>
      <c r="V1278" s="28"/>
      <c r="W1278" s="28"/>
      <c r="Y1278" s="91"/>
      <c r="AO1278" s="91"/>
      <c r="AP1278" s="28"/>
      <c r="AQ1278" s="28"/>
      <c r="AR1278" s="237"/>
      <c r="AS1278" s="28"/>
      <c r="AT1278" s="304"/>
      <c r="AU1278" s="304"/>
      <c r="AV1278" s="28"/>
      <c r="AW1278" s="304"/>
      <c r="AX1278" s="304"/>
      <c r="AY1278" s="28"/>
      <c r="AZ1278" s="304"/>
      <c r="BA1278" s="304"/>
      <c r="BB1278" s="28"/>
      <c r="BC1278" s="304"/>
      <c r="BD1278" s="304"/>
      <c r="BE1278" s="28"/>
      <c r="BF1278" s="304"/>
      <c r="BG1278" s="304"/>
      <c r="BH1278" s="28"/>
      <c r="BI1278" s="304"/>
      <c r="BJ1278" s="304"/>
      <c r="BK1278" s="28"/>
      <c r="BL1278" s="304"/>
      <c r="BM1278" s="304"/>
      <c r="BN1278" s="28"/>
      <c r="BO1278" s="304"/>
      <c r="BP1278" s="304"/>
      <c r="BQ1278" s="28"/>
      <c r="BR1278" s="304"/>
      <c r="BS1278" s="304"/>
      <c r="BT1278" s="28"/>
      <c r="BU1278" s="304"/>
      <c r="BV1278" s="304"/>
      <c r="BW1278" s="28"/>
      <c r="BX1278" s="91"/>
    </row>
    <row r="1279" spans="1:76" s="55" customFormat="1" x14ac:dyDescent="0.25">
      <c r="A1279" s="195">
        <v>54</v>
      </c>
      <c r="B1279" s="216" t="str">
        <f t="shared" si="796"/>
        <v>Middle East and Africa: FAO. 2017. Reducing Enteric Methane for improving food security and livelihoods</v>
      </c>
      <c r="C1279" s="219" t="s">
        <v>488</v>
      </c>
      <c r="D1279" s="379" t="s">
        <v>526</v>
      </c>
      <c r="E1279" s="219" t="s">
        <v>99</v>
      </c>
      <c r="F1279" s="330" t="s">
        <v>527</v>
      </c>
      <c r="G1279" s="220" t="s">
        <v>26</v>
      </c>
      <c r="H1279" s="221">
        <v>2017</v>
      </c>
      <c r="I1279" s="240"/>
      <c r="J1279" s="377">
        <v>30.7</v>
      </c>
      <c r="K1279" s="382" t="s">
        <v>489</v>
      </c>
      <c r="L1279" s="383">
        <f t="shared" si="802"/>
        <v>2.878125E-3</v>
      </c>
      <c r="M1279" s="225" t="str">
        <f>CONCATENATE("t CO2-eq/ ",IF('[1]Advanced Controls'!$F$169="Implementation",AdoptionUnitOfMeasure,FunctionalUnitOfMeasure))</f>
        <v>t CO2-eq/ kg of protein</v>
      </c>
      <c r="N1279" s="227"/>
      <c r="O1279" s="227" t="s">
        <v>725</v>
      </c>
      <c r="P1279" s="122"/>
      <c r="Q1279" s="228"/>
      <c r="R1279" s="231">
        <f t="shared" si="793"/>
        <v>2.878125E-3</v>
      </c>
      <c r="S1279" s="230">
        <f t="shared" si="781"/>
        <v>2.878125E-3</v>
      </c>
      <c r="T1279" s="231">
        <f t="shared" si="795"/>
        <v>0</v>
      </c>
      <c r="U1279" s="232" t="str">
        <f t="shared" si="782"/>
        <v>t CO2-eq/ kg of protein</v>
      </c>
      <c r="V1279" s="28"/>
      <c r="W1279" s="28"/>
      <c r="Y1279" s="91"/>
      <c r="AO1279" s="91"/>
      <c r="AP1279" s="28"/>
      <c r="AQ1279" s="28"/>
      <c r="AR1279" s="237"/>
      <c r="AS1279" s="28"/>
      <c r="AT1279" s="304"/>
      <c r="AU1279" s="304"/>
      <c r="AV1279" s="28"/>
      <c r="AW1279" s="304"/>
      <c r="AX1279" s="304"/>
      <c r="AY1279" s="28"/>
      <c r="AZ1279" s="304"/>
      <c r="BA1279" s="304"/>
      <c r="BB1279" s="28"/>
      <c r="BC1279" s="304"/>
      <c r="BD1279" s="304"/>
      <c r="BE1279" s="28"/>
      <c r="BF1279" s="304"/>
      <c r="BG1279" s="304"/>
      <c r="BH1279" s="28"/>
      <c r="BI1279" s="304"/>
      <c r="BJ1279" s="304"/>
      <c r="BK1279" s="28"/>
      <c r="BL1279" s="304"/>
      <c r="BM1279" s="304"/>
      <c r="BN1279" s="28"/>
      <c r="BO1279" s="304"/>
      <c r="BP1279" s="304"/>
      <c r="BQ1279" s="28"/>
      <c r="BR1279" s="304"/>
      <c r="BS1279" s="304"/>
      <c r="BT1279" s="28"/>
      <c r="BU1279" s="304"/>
      <c r="BV1279" s="304"/>
      <c r="BW1279" s="28"/>
      <c r="BX1279" s="91"/>
    </row>
    <row r="1280" spans="1:76" s="55" customFormat="1" x14ac:dyDescent="0.25">
      <c r="A1280" s="195">
        <v>55</v>
      </c>
      <c r="B1280" s="216" t="str">
        <f t="shared" si="796"/>
        <v>Middle East and Africa: FAO. 2017. Reducing Enteric Methane for improving food security and livelihoods</v>
      </c>
      <c r="C1280" s="219" t="s">
        <v>488</v>
      </c>
      <c r="D1280" s="379" t="s">
        <v>526</v>
      </c>
      <c r="E1280" s="219" t="s">
        <v>99</v>
      </c>
      <c r="F1280" s="330" t="s">
        <v>527</v>
      </c>
      <c r="G1280" s="220" t="s">
        <v>26</v>
      </c>
      <c r="H1280" s="221">
        <v>2017</v>
      </c>
      <c r="I1280" s="240"/>
      <c r="J1280" s="377">
        <v>44.1</v>
      </c>
      <c r="K1280" s="382" t="s">
        <v>489</v>
      </c>
      <c r="L1280" s="383">
        <f t="shared" si="802"/>
        <v>4.134375E-3</v>
      </c>
      <c r="M1280" s="225" t="str">
        <f>CONCATENATE("t CO2-eq/ ",IF('[1]Advanced Controls'!$F$169="Implementation",AdoptionUnitOfMeasure,FunctionalUnitOfMeasure))</f>
        <v>t CO2-eq/ kg of protein</v>
      </c>
      <c r="N1280" s="227"/>
      <c r="O1280" s="227" t="s">
        <v>726</v>
      </c>
      <c r="P1280" s="122"/>
      <c r="Q1280" s="228"/>
      <c r="R1280" s="231">
        <f t="shared" si="793"/>
        <v>4.134375E-3</v>
      </c>
      <c r="S1280" s="230">
        <f t="shared" si="781"/>
        <v>4.134375E-3</v>
      </c>
      <c r="T1280" s="231">
        <f t="shared" si="795"/>
        <v>0</v>
      </c>
      <c r="U1280" s="232" t="str">
        <f t="shared" si="782"/>
        <v>t CO2-eq/ kg of protein</v>
      </c>
      <c r="V1280" s="28"/>
      <c r="W1280" s="28"/>
      <c r="Y1280" s="91"/>
      <c r="AO1280" s="91"/>
      <c r="AP1280" s="28"/>
      <c r="AQ1280" s="28"/>
      <c r="AR1280" s="237"/>
      <c r="AS1280" s="28"/>
      <c r="AT1280" s="304"/>
      <c r="AU1280" s="304"/>
      <c r="AV1280" s="28"/>
      <c r="AW1280" s="304"/>
      <c r="AX1280" s="304"/>
      <c r="AY1280" s="28"/>
      <c r="AZ1280" s="304"/>
      <c r="BA1280" s="304"/>
      <c r="BB1280" s="28"/>
      <c r="BC1280" s="304"/>
      <c r="BD1280" s="304"/>
      <c r="BE1280" s="28"/>
      <c r="BF1280" s="304"/>
      <c r="BG1280" s="304"/>
      <c r="BH1280" s="28"/>
      <c r="BI1280" s="304"/>
      <c r="BJ1280" s="304"/>
      <c r="BK1280" s="28"/>
      <c r="BL1280" s="304"/>
      <c r="BM1280" s="304"/>
      <c r="BN1280" s="28"/>
      <c r="BO1280" s="304"/>
      <c r="BP1280" s="304"/>
      <c r="BQ1280" s="28"/>
      <c r="BR1280" s="304"/>
      <c r="BS1280" s="304"/>
      <c r="BT1280" s="28"/>
      <c r="BU1280" s="304"/>
      <c r="BV1280" s="304"/>
      <c r="BW1280" s="28"/>
      <c r="BX1280" s="91"/>
    </row>
    <row r="1281" spans="1:76" s="55" customFormat="1" x14ac:dyDescent="0.25">
      <c r="A1281" s="195">
        <v>56</v>
      </c>
      <c r="B1281" s="216" t="str">
        <f t="shared" si="796"/>
        <v>Middle East and Africa: FAO. 2017. Reducing Enteric Methane for improving food security and livelihoods</v>
      </c>
      <c r="C1281" s="219" t="s">
        <v>488</v>
      </c>
      <c r="D1281" s="379" t="s">
        <v>526</v>
      </c>
      <c r="E1281" s="219" t="s">
        <v>99</v>
      </c>
      <c r="F1281" s="330" t="s">
        <v>527</v>
      </c>
      <c r="G1281" s="220" t="s">
        <v>26</v>
      </c>
      <c r="H1281" s="221">
        <v>2017</v>
      </c>
      <c r="I1281" s="240"/>
      <c r="J1281" s="377">
        <v>30.7</v>
      </c>
      <c r="K1281" s="382" t="s">
        <v>489</v>
      </c>
      <c r="L1281" s="383">
        <f t="shared" si="802"/>
        <v>2.878125E-3</v>
      </c>
      <c r="M1281" s="225" t="str">
        <f>CONCATENATE("t CO2-eq/ ",IF('[1]Advanced Controls'!$F$169="Implementation",AdoptionUnitOfMeasure,FunctionalUnitOfMeasure))</f>
        <v>t CO2-eq/ kg of protein</v>
      </c>
      <c r="N1281" s="227"/>
      <c r="O1281" s="227" t="s">
        <v>728</v>
      </c>
      <c r="P1281" s="122"/>
      <c r="Q1281" s="228"/>
      <c r="R1281" s="231">
        <f t="shared" si="793"/>
        <v>2.878125E-3</v>
      </c>
      <c r="S1281" s="230">
        <f t="shared" si="781"/>
        <v>2.878125E-3</v>
      </c>
      <c r="T1281" s="231" t="str">
        <f t="shared" si="795"/>
        <v/>
      </c>
      <c r="U1281" s="232" t="str">
        <f t="shared" si="782"/>
        <v>t CO2-eq/ kg of protein</v>
      </c>
      <c r="V1281" s="28"/>
      <c r="W1281" s="28"/>
      <c r="Y1281" s="91"/>
      <c r="AO1281" s="91"/>
      <c r="AP1281" s="28"/>
      <c r="AQ1281" s="28"/>
      <c r="AR1281" s="237"/>
      <c r="AS1281" s="28"/>
      <c r="AT1281" s="304"/>
      <c r="AU1281" s="304"/>
      <c r="AV1281" s="28"/>
      <c r="AW1281" s="304"/>
      <c r="AX1281" s="304"/>
      <c r="AY1281" s="28"/>
      <c r="AZ1281" s="304"/>
      <c r="BA1281" s="304"/>
      <c r="BB1281" s="28"/>
      <c r="BC1281" s="304"/>
      <c r="BD1281" s="304"/>
      <c r="BE1281" s="28"/>
      <c r="BF1281" s="304"/>
      <c r="BG1281" s="304"/>
      <c r="BH1281" s="28"/>
      <c r="BI1281" s="304"/>
      <c r="BJ1281" s="304"/>
      <c r="BK1281" s="28"/>
      <c r="BL1281" s="304"/>
      <c r="BM1281" s="304"/>
      <c r="BN1281" s="28"/>
      <c r="BO1281" s="304"/>
      <c r="BP1281" s="304"/>
      <c r="BQ1281" s="28"/>
      <c r="BR1281" s="304"/>
      <c r="BS1281" s="304"/>
      <c r="BT1281" s="28"/>
      <c r="BU1281" s="304"/>
      <c r="BV1281" s="304"/>
      <c r="BW1281" s="28"/>
      <c r="BX1281" s="91"/>
    </row>
    <row r="1282" spans="1:76" s="55" customFormat="1" x14ac:dyDescent="0.25">
      <c r="A1282" s="195">
        <v>57</v>
      </c>
      <c r="B1282" s="216" t="str">
        <f t="shared" si="796"/>
        <v>Latin America: FAO. 2017. Reducing Enteric Methane for improving food security and livelihoods</v>
      </c>
      <c r="C1282" s="219" t="s">
        <v>488</v>
      </c>
      <c r="D1282" s="379" t="s">
        <v>228</v>
      </c>
      <c r="E1282" s="329" t="s">
        <v>100</v>
      </c>
      <c r="F1282" s="341" t="s">
        <v>190</v>
      </c>
      <c r="G1282" s="220" t="s">
        <v>26</v>
      </c>
      <c r="H1282" s="221">
        <v>2017</v>
      </c>
      <c r="I1282" s="240"/>
      <c r="J1282" s="377">
        <v>30</v>
      </c>
      <c r="K1282" s="382" t="s">
        <v>528</v>
      </c>
      <c r="L1282" s="383">
        <f>(J1282*0.001*0.008/0.032)</f>
        <v>7.4999999999999997E-3</v>
      </c>
      <c r="M1282" s="225" t="str">
        <f>CONCATENATE("t CO2-eq/ ",IF('[1]Advanced Controls'!$F$169="Implementation",AdoptionUnitOfMeasure,FunctionalUnitOfMeasure))</f>
        <v>t CO2-eq/ kg of protein</v>
      </c>
      <c r="N1282" s="227"/>
      <c r="O1282" s="227" t="s">
        <v>729</v>
      </c>
      <c r="P1282" s="122"/>
      <c r="Q1282" s="228"/>
      <c r="R1282" s="231">
        <f t="shared" si="793"/>
        <v>7.4999999999999997E-3</v>
      </c>
      <c r="S1282" s="230">
        <f t="shared" si="781"/>
        <v>7.4999999999999997E-3</v>
      </c>
      <c r="T1282" s="231">
        <f t="shared" si="795"/>
        <v>0</v>
      </c>
      <c r="U1282" s="232" t="str">
        <f t="shared" si="782"/>
        <v>t CO2-eq/ kg of protein</v>
      </c>
      <c r="V1282" s="28"/>
      <c r="W1282" s="28"/>
      <c r="Y1282" s="91"/>
      <c r="AO1282" s="91"/>
      <c r="AP1282" s="28"/>
      <c r="AQ1282" s="28"/>
      <c r="AR1282" s="237"/>
      <c r="AS1282" s="28"/>
      <c r="AT1282" s="304"/>
      <c r="AU1282" s="304"/>
      <c r="AV1282" s="28"/>
      <c r="AW1282" s="304"/>
      <c r="AX1282" s="304"/>
      <c r="AY1282" s="28"/>
      <c r="AZ1282" s="304"/>
      <c r="BA1282" s="304"/>
      <c r="BB1282" s="28"/>
      <c r="BC1282" s="304"/>
      <c r="BD1282" s="304"/>
      <c r="BE1282" s="28"/>
      <c r="BF1282" s="304"/>
      <c r="BG1282" s="304"/>
      <c r="BH1282" s="28"/>
      <c r="BI1282" s="304"/>
      <c r="BJ1282" s="304"/>
      <c r="BK1282" s="28"/>
      <c r="BL1282" s="304"/>
      <c r="BM1282" s="304"/>
      <c r="BN1282" s="28"/>
      <c r="BO1282" s="304"/>
      <c r="BP1282" s="304"/>
      <c r="BQ1282" s="28"/>
      <c r="BR1282" s="304"/>
      <c r="BS1282" s="304"/>
      <c r="BT1282" s="28"/>
      <c r="BU1282" s="304"/>
      <c r="BV1282" s="304"/>
      <c r="BW1282" s="28"/>
      <c r="BX1282" s="91"/>
    </row>
    <row r="1283" spans="1:76" s="55" customFormat="1" x14ac:dyDescent="0.25">
      <c r="A1283" s="195">
        <v>58</v>
      </c>
      <c r="B1283" s="216" t="str">
        <f t="shared" si="796"/>
        <v>Latin America: FAO. 2017. Reducing Enteric Methane for improving food security and livelihoods</v>
      </c>
      <c r="C1283" s="219" t="s">
        <v>488</v>
      </c>
      <c r="D1283" s="379" t="s">
        <v>228</v>
      </c>
      <c r="E1283" s="329" t="s">
        <v>100</v>
      </c>
      <c r="F1283" s="341" t="s">
        <v>190</v>
      </c>
      <c r="G1283" s="220" t="s">
        <v>26</v>
      </c>
      <c r="H1283" s="221">
        <v>2017</v>
      </c>
      <c r="I1283" s="240"/>
      <c r="J1283" s="377">
        <v>39</v>
      </c>
      <c r="K1283" s="382" t="s">
        <v>528</v>
      </c>
      <c r="L1283" s="383">
        <f t="shared" ref="L1283:L1295" si="803">(J1283*0.001*0.008/0.032)</f>
        <v>9.75E-3</v>
      </c>
      <c r="M1283" s="225" t="str">
        <f>CONCATENATE("t CO2-eq/ ",IF('[1]Advanced Controls'!$F$169="Implementation",AdoptionUnitOfMeasure,FunctionalUnitOfMeasure))</f>
        <v>t CO2-eq/ kg of protein</v>
      </c>
      <c r="N1283" s="227"/>
      <c r="O1283" s="227" t="s">
        <v>730</v>
      </c>
      <c r="P1283" s="122"/>
      <c r="Q1283" s="228"/>
      <c r="R1283" s="231">
        <f t="shared" si="793"/>
        <v>9.75E-3</v>
      </c>
      <c r="S1283" s="230">
        <f t="shared" si="781"/>
        <v>9.75E-3</v>
      </c>
      <c r="T1283" s="231">
        <f t="shared" si="795"/>
        <v>0</v>
      </c>
      <c r="U1283" s="232" t="str">
        <f t="shared" si="782"/>
        <v>t CO2-eq/ kg of protein</v>
      </c>
      <c r="V1283" s="28"/>
      <c r="W1283" s="28"/>
      <c r="Y1283" s="91"/>
      <c r="AO1283" s="91"/>
      <c r="AP1283" s="28"/>
      <c r="AQ1283" s="28"/>
      <c r="AR1283" s="237"/>
      <c r="AS1283" s="28"/>
      <c r="AT1283" s="304"/>
      <c r="AU1283" s="304"/>
      <c r="AV1283" s="28"/>
      <c r="AW1283" s="304"/>
      <c r="AX1283" s="304"/>
      <c r="AY1283" s="28"/>
      <c r="AZ1283" s="304"/>
      <c r="BA1283" s="304"/>
      <c r="BB1283" s="28"/>
      <c r="BC1283" s="304"/>
      <c r="BD1283" s="304"/>
      <c r="BE1283" s="28"/>
      <c r="BF1283" s="304"/>
      <c r="BG1283" s="304"/>
      <c r="BH1283" s="28"/>
      <c r="BI1283" s="304"/>
      <c r="BJ1283" s="304"/>
      <c r="BK1283" s="28"/>
      <c r="BL1283" s="304"/>
      <c r="BM1283" s="304"/>
      <c r="BN1283" s="28"/>
      <c r="BO1283" s="304"/>
      <c r="BP1283" s="304"/>
      <c r="BQ1283" s="28"/>
      <c r="BR1283" s="304"/>
      <c r="BS1283" s="304"/>
      <c r="BT1283" s="28"/>
      <c r="BU1283" s="304"/>
      <c r="BV1283" s="304"/>
      <c r="BW1283" s="28"/>
      <c r="BX1283" s="91"/>
    </row>
    <row r="1284" spans="1:76" s="55" customFormat="1" x14ac:dyDescent="0.25">
      <c r="A1284" s="195">
        <v>59</v>
      </c>
      <c r="B1284" s="216" t="str">
        <f t="shared" si="796"/>
        <v>Latin America: FAO. 2017. Reducing Enteric Methane for improving food security and livelihoods</v>
      </c>
      <c r="C1284" s="219" t="s">
        <v>488</v>
      </c>
      <c r="D1284" s="379" t="s">
        <v>228</v>
      </c>
      <c r="E1284" s="329" t="s">
        <v>100</v>
      </c>
      <c r="F1284" s="341" t="s">
        <v>190</v>
      </c>
      <c r="G1284" s="220" t="s">
        <v>26</v>
      </c>
      <c r="H1284" s="221">
        <v>2017</v>
      </c>
      <c r="I1284" s="240"/>
      <c r="J1284" s="377">
        <v>52</v>
      </c>
      <c r="K1284" s="382" t="s">
        <v>528</v>
      </c>
      <c r="L1284" s="383">
        <f t="shared" si="803"/>
        <v>1.3000000000000001E-2</v>
      </c>
      <c r="M1284" s="225" t="str">
        <f>CONCATENATE("t CO2-eq/ ",IF('[1]Advanced Controls'!$F$169="Implementation",AdoptionUnitOfMeasure,FunctionalUnitOfMeasure))</f>
        <v>t CO2-eq/ kg of protein</v>
      </c>
      <c r="N1284" s="227"/>
      <c r="O1284" s="227" t="s">
        <v>731</v>
      </c>
      <c r="P1284" s="122"/>
      <c r="Q1284" s="228"/>
      <c r="R1284" s="231">
        <f t="shared" si="793"/>
        <v>1.3000000000000001E-2</v>
      </c>
      <c r="S1284" s="230">
        <f t="shared" si="781"/>
        <v>1.3000000000000001E-2</v>
      </c>
      <c r="T1284" s="231">
        <f t="shared" si="795"/>
        <v>0</v>
      </c>
      <c r="U1284" s="232" t="str">
        <f t="shared" si="782"/>
        <v>t CO2-eq/ kg of protein</v>
      </c>
      <c r="V1284" s="28"/>
      <c r="W1284" s="28"/>
      <c r="Y1284" s="91"/>
      <c r="AO1284" s="91"/>
      <c r="AP1284" s="28"/>
      <c r="AQ1284" s="28"/>
      <c r="AR1284" s="237"/>
      <c r="AS1284" s="28"/>
      <c r="AT1284" s="304"/>
      <c r="AU1284" s="304"/>
      <c r="AV1284" s="28"/>
      <c r="AW1284" s="304"/>
      <c r="AX1284" s="304"/>
      <c r="AY1284" s="28"/>
      <c r="AZ1284" s="304"/>
      <c r="BA1284" s="304"/>
      <c r="BB1284" s="28"/>
      <c r="BC1284" s="304"/>
      <c r="BD1284" s="304"/>
      <c r="BE1284" s="28"/>
      <c r="BF1284" s="304"/>
      <c r="BG1284" s="304"/>
      <c r="BH1284" s="28"/>
      <c r="BI1284" s="304"/>
      <c r="BJ1284" s="304"/>
      <c r="BK1284" s="28"/>
      <c r="BL1284" s="304"/>
      <c r="BM1284" s="304"/>
      <c r="BN1284" s="28"/>
      <c r="BO1284" s="304"/>
      <c r="BP1284" s="304"/>
      <c r="BQ1284" s="28"/>
      <c r="BR1284" s="304"/>
      <c r="BS1284" s="304"/>
      <c r="BT1284" s="28"/>
      <c r="BU1284" s="304"/>
      <c r="BV1284" s="304"/>
      <c r="BW1284" s="28"/>
      <c r="BX1284" s="91"/>
    </row>
    <row r="1285" spans="1:76" s="55" customFormat="1" x14ac:dyDescent="0.25">
      <c r="A1285" s="195">
        <v>60</v>
      </c>
      <c r="B1285" s="216" t="str">
        <f t="shared" si="796"/>
        <v>Latin America: FAO. 2017. Reducing Enteric Methane for improving food security and livelihoods</v>
      </c>
      <c r="C1285" s="219" t="s">
        <v>488</v>
      </c>
      <c r="D1285" s="379" t="s">
        <v>228</v>
      </c>
      <c r="E1285" s="329" t="s">
        <v>100</v>
      </c>
      <c r="F1285" s="341" t="s">
        <v>190</v>
      </c>
      <c r="G1285" s="220" t="s">
        <v>26</v>
      </c>
      <c r="H1285" s="221">
        <v>2017</v>
      </c>
      <c r="I1285" s="240"/>
      <c r="J1285" s="377">
        <v>30</v>
      </c>
      <c r="K1285" s="382" t="s">
        <v>528</v>
      </c>
      <c r="L1285" s="383">
        <f t="shared" si="803"/>
        <v>7.4999999999999997E-3</v>
      </c>
      <c r="M1285" s="225" t="str">
        <f>CONCATENATE("t CO2-eq/ ",IF('[1]Advanced Controls'!$F$169="Implementation",AdoptionUnitOfMeasure,FunctionalUnitOfMeasure))</f>
        <v>t CO2-eq/ kg of protein</v>
      </c>
      <c r="N1285" s="227"/>
      <c r="O1285" s="227" t="s">
        <v>732</v>
      </c>
      <c r="P1285" s="122"/>
      <c r="Q1285" s="228"/>
      <c r="R1285" s="231">
        <f t="shared" si="793"/>
        <v>7.4999999999999997E-3</v>
      </c>
      <c r="S1285" s="230">
        <f t="shared" si="781"/>
        <v>7.4999999999999997E-3</v>
      </c>
      <c r="T1285" s="231">
        <f t="shared" si="795"/>
        <v>0</v>
      </c>
      <c r="U1285" s="232" t="str">
        <f t="shared" si="782"/>
        <v>t CO2-eq/ kg of protein</v>
      </c>
      <c r="V1285" s="28"/>
      <c r="W1285" s="28"/>
      <c r="Y1285" s="91"/>
      <c r="AO1285" s="91"/>
      <c r="AP1285" s="28"/>
      <c r="AQ1285" s="28"/>
      <c r="AR1285" s="237"/>
      <c r="AS1285" s="28"/>
      <c r="AT1285" s="304"/>
      <c r="AU1285" s="304"/>
      <c r="AV1285" s="28"/>
      <c r="AW1285" s="304"/>
      <c r="AX1285" s="304"/>
      <c r="AY1285" s="28"/>
      <c r="AZ1285" s="304"/>
      <c r="BA1285" s="304"/>
      <c r="BB1285" s="28"/>
      <c r="BC1285" s="304"/>
      <c r="BD1285" s="304"/>
      <c r="BE1285" s="28"/>
      <c r="BF1285" s="304"/>
      <c r="BG1285" s="304"/>
      <c r="BH1285" s="28"/>
      <c r="BI1285" s="304"/>
      <c r="BJ1285" s="304"/>
      <c r="BK1285" s="28"/>
      <c r="BL1285" s="304"/>
      <c r="BM1285" s="304"/>
      <c r="BN1285" s="28"/>
      <c r="BO1285" s="304"/>
      <c r="BP1285" s="304"/>
      <c r="BQ1285" s="28"/>
      <c r="BR1285" s="304"/>
      <c r="BS1285" s="304"/>
      <c r="BT1285" s="28"/>
      <c r="BU1285" s="304"/>
      <c r="BV1285" s="304"/>
      <c r="BW1285" s="28"/>
      <c r="BX1285" s="91"/>
    </row>
    <row r="1286" spans="1:76" s="55" customFormat="1" x14ac:dyDescent="0.25">
      <c r="A1286" s="195">
        <v>61</v>
      </c>
      <c r="B1286" s="216" t="str">
        <f t="shared" si="796"/>
        <v>Latin America: FAO. 2017. Reducing Enteric Methane for improving food security and livelihoods</v>
      </c>
      <c r="C1286" s="219" t="s">
        <v>488</v>
      </c>
      <c r="D1286" s="379" t="s">
        <v>228</v>
      </c>
      <c r="E1286" s="329" t="s">
        <v>100</v>
      </c>
      <c r="F1286" s="341" t="s">
        <v>190</v>
      </c>
      <c r="G1286" s="220" t="s">
        <v>26</v>
      </c>
      <c r="H1286" s="221">
        <v>2017</v>
      </c>
      <c r="I1286" s="240"/>
      <c r="J1286" s="377">
        <v>39</v>
      </c>
      <c r="K1286" s="382" t="s">
        <v>528</v>
      </c>
      <c r="L1286" s="383">
        <f t="shared" si="803"/>
        <v>9.75E-3</v>
      </c>
      <c r="M1286" s="225" t="str">
        <f>CONCATENATE("t CO2-eq/ ",IF('[1]Advanced Controls'!$F$169="Implementation",AdoptionUnitOfMeasure,FunctionalUnitOfMeasure))</f>
        <v>t CO2-eq/ kg of protein</v>
      </c>
      <c r="N1286" s="227"/>
      <c r="O1286" s="227" t="s">
        <v>733</v>
      </c>
      <c r="P1286" s="122"/>
      <c r="Q1286" s="228"/>
      <c r="R1286" s="231">
        <f t="shared" si="793"/>
        <v>9.75E-3</v>
      </c>
      <c r="S1286" s="230">
        <f t="shared" si="781"/>
        <v>9.75E-3</v>
      </c>
      <c r="T1286" s="231">
        <f t="shared" si="795"/>
        <v>0</v>
      </c>
      <c r="U1286" s="232" t="str">
        <f t="shared" si="782"/>
        <v>t CO2-eq/ kg of protein</v>
      </c>
      <c r="V1286" s="28"/>
      <c r="W1286" s="28"/>
      <c r="Y1286" s="91"/>
      <c r="AO1286" s="91"/>
      <c r="AP1286" s="28"/>
      <c r="AQ1286" s="28"/>
      <c r="AR1286" s="237"/>
      <c r="AS1286" s="28"/>
      <c r="AT1286" s="304"/>
      <c r="AU1286" s="304"/>
      <c r="AV1286" s="28"/>
      <c r="AW1286" s="304"/>
      <c r="AX1286" s="304"/>
      <c r="AY1286" s="28"/>
      <c r="AZ1286" s="304"/>
      <c r="BA1286" s="304"/>
      <c r="BB1286" s="28"/>
      <c r="BC1286" s="304"/>
      <c r="BD1286" s="304"/>
      <c r="BE1286" s="28"/>
      <c r="BF1286" s="304"/>
      <c r="BG1286" s="304"/>
      <c r="BH1286" s="28"/>
      <c r="BI1286" s="304"/>
      <c r="BJ1286" s="304"/>
      <c r="BK1286" s="28"/>
      <c r="BL1286" s="304"/>
      <c r="BM1286" s="304"/>
      <c r="BN1286" s="28"/>
      <c r="BO1286" s="304"/>
      <c r="BP1286" s="304"/>
      <c r="BQ1286" s="28"/>
      <c r="BR1286" s="304"/>
      <c r="BS1286" s="304"/>
      <c r="BT1286" s="28"/>
      <c r="BU1286" s="304"/>
      <c r="BV1286" s="304"/>
      <c r="BW1286" s="28"/>
      <c r="BX1286" s="91"/>
    </row>
    <row r="1287" spans="1:76" s="55" customFormat="1" x14ac:dyDescent="0.25">
      <c r="A1287" s="195">
        <v>62</v>
      </c>
      <c r="B1287" s="216" t="str">
        <f t="shared" si="796"/>
        <v>Latin America: FAO. 2017. Reducing Enteric Methane for improving food security and livelihoods</v>
      </c>
      <c r="C1287" s="219" t="s">
        <v>488</v>
      </c>
      <c r="D1287" s="379" t="s">
        <v>228</v>
      </c>
      <c r="E1287" s="329" t="s">
        <v>100</v>
      </c>
      <c r="F1287" s="341" t="s">
        <v>190</v>
      </c>
      <c r="G1287" s="220" t="s">
        <v>26</v>
      </c>
      <c r="H1287" s="221">
        <v>2017</v>
      </c>
      <c r="I1287" s="240"/>
      <c r="J1287" s="377">
        <v>52</v>
      </c>
      <c r="K1287" s="382" t="s">
        <v>528</v>
      </c>
      <c r="L1287" s="383">
        <f t="shared" si="803"/>
        <v>1.3000000000000001E-2</v>
      </c>
      <c r="M1287" s="225" t="str">
        <f>CONCATENATE("t CO2-eq/ ",IF('[1]Advanced Controls'!$F$169="Implementation",AdoptionUnitOfMeasure,FunctionalUnitOfMeasure))</f>
        <v>t CO2-eq/ kg of protein</v>
      </c>
      <c r="N1287" s="227"/>
      <c r="O1287" s="227" t="s">
        <v>734</v>
      </c>
      <c r="P1287" s="122"/>
      <c r="Q1287" s="228"/>
      <c r="R1287" s="231">
        <f t="shared" si="793"/>
        <v>1.3000000000000001E-2</v>
      </c>
      <c r="S1287" s="230">
        <f t="shared" si="781"/>
        <v>1.3000000000000001E-2</v>
      </c>
      <c r="T1287" s="231">
        <f t="shared" si="795"/>
        <v>0</v>
      </c>
      <c r="U1287" s="232" t="str">
        <f t="shared" si="782"/>
        <v>t CO2-eq/ kg of protein</v>
      </c>
      <c r="V1287" s="28"/>
      <c r="W1287" s="28"/>
      <c r="Y1287" s="91"/>
      <c r="AO1287" s="91"/>
      <c r="AP1287" s="28"/>
      <c r="AQ1287" s="28"/>
      <c r="AR1287" s="237"/>
      <c r="AS1287" s="28"/>
      <c r="AT1287" s="304"/>
      <c r="AU1287" s="304"/>
      <c r="AV1287" s="28"/>
      <c r="AW1287" s="304"/>
      <c r="AX1287" s="304"/>
      <c r="AY1287" s="28"/>
      <c r="AZ1287" s="304"/>
      <c r="BA1287" s="304"/>
      <c r="BB1287" s="28"/>
      <c r="BC1287" s="304"/>
      <c r="BD1287" s="304"/>
      <c r="BE1287" s="28"/>
      <c r="BF1287" s="304"/>
      <c r="BG1287" s="304"/>
      <c r="BH1287" s="28"/>
      <c r="BI1287" s="304"/>
      <c r="BJ1287" s="304"/>
      <c r="BK1287" s="28"/>
      <c r="BL1287" s="304"/>
      <c r="BM1287" s="304"/>
      <c r="BN1287" s="28"/>
      <c r="BO1287" s="304"/>
      <c r="BP1287" s="304"/>
      <c r="BQ1287" s="28"/>
      <c r="BR1287" s="304"/>
      <c r="BS1287" s="304"/>
      <c r="BT1287" s="28"/>
      <c r="BU1287" s="304"/>
      <c r="BV1287" s="304"/>
      <c r="BW1287" s="28"/>
      <c r="BX1287" s="91"/>
    </row>
    <row r="1288" spans="1:76" s="55" customFormat="1" x14ac:dyDescent="0.25">
      <c r="A1288" s="195">
        <v>63</v>
      </c>
      <c r="B1288" s="216" t="str">
        <f t="shared" si="796"/>
        <v>Latin America: FAO. 2017. Reducing Enteric Methane for improving food security and livelihoods</v>
      </c>
      <c r="C1288" s="219" t="s">
        <v>488</v>
      </c>
      <c r="D1288" s="379" t="s">
        <v>228</v>
      </c>
      <c r="E1288" s="329" t="s">
        <v>100</v>
      </c>
      <c r="F1288" s="341" t="s">
        <v>190</v>
      </c>
      <c r="G1288" s="220" t="s">
        <v>26</v>
      </c>
      <c r="H1288" s="221">
        <v>2017</v>
      </c>
      <c r="I1288" s="240"/>
      <c r="J1288" s="377">
        <v>30</v>
      </c>
      <c r="K1288" s="382" t="s">
        <v>528</v>
      </c>
      <c r="L1288" s="383">
        <f t="shared" si="803"/>
        <v>7.4999999999999997E-3</v>
      </c>
      <c r="M1288" s="225" t="str">
        <f>CONCATENATE("t CO2-eq/ ",IF('[1]Advanced Controls'!$F$169="Implementation",AdoptionUnitOfMeasure,FunctionalUnitOfMeasure))</f>
        <v>t CO2-eq/ kg of protein</v>
      </c>
      <c r="N1288" s="227"/>
      <c r="O1288" s="227" t="s">
        <v>735</v>
      </c>
      <c r="P1288" s="122"/>
      <c r="Q1288" s="228"/>
      <c r="R1288" s="231">
        <f t="shared" si="793"/>
        <v>7.4999999999999997E-3</v>
      </c>
      <c r="S1288" s="230">
        <f t="shared" si="781"/>
        <v>7.4999999999999997E-3</v>
      </c>
      <c r="T1288" s="231" t="str">
        <f t="shared" si="795"/>
        <v/>
      </c>
      <c r="U1288" s="232" t="str">
        <f t="shared" si="782"/>
        <v>t CO2-eq/ kg of protein</v>
      </c>
      <c r="V1288" s="28"/>
      <c r="W1288" s="28"/>
      <c r="Y1288" s="91"/>
      <c r="AO1288" s="91"/>
      <c r="AP1288" s="28"/>
      <c r="AQ1288" s="28"/>
      <c r="AR1288" s="237"/>
      <c r="AS1288" s="28"/>
      <c r="AT1288" s="304"/>
      <c r="AU1288" s="304"/>
      <c r="AV1288" s="28"/>
      <c r="AW1288" s="304"/>
      <c r="AX1288" s="304"/>
      <c r="AY1288" s="28"/>
      <c r="AZ1288" s="304"/>
      <c r="BA1288" s="304"/>
      <c r="BB1288" s="28"/>
      <c r="BC1288" s="304"/>
      <c r="BD1288" s="304"/>
      <c r="BE1288" s="28"/>
      <c r="BF1288" s="304"/>
      <c r="BG1288" s="304"/>
      <c r="BH1288" s="28"/>
      <c r="BI1288" s="304"/>
      <c r="BJ1288" s="304"/>
      <c r="BK1288" s="28"/>
      <c r="BL1288" s="304"/>
      <c r="BM1288" s="304"/>
      <c r="BN1288" s="28"/>
      <c r="BO1288" s="304"/>
      <c r="BP1288" s="304"/>
      <c r="BQ1288" s="28"/>
      <c r="BR1288" s="304"/>
      <c r="BS1288" s="304"/>
      <c r="BT1288" s="28"/>
      <c r="BU1288" s="304"/>
      <c r="BV1288" s="304"/>
      <c r="BW1288" s="28"/>
      <c r="BX1288" s="91"/>
    </row>
    <row r="1289" spans="1:76" s="55" customFormat="1" x14ac:dyDescent="0.25">
      <c r="A1289" s="195">
        <v>64</v>
      </c>
      <c r="B1289" s="216" t="str">
        <f t="shared" si="796"/>
        <v>Latin America: FAO. 2017. Reducing Enteric Methane for improving food security and livelihoods</v>
      </c>
      <c r="C1289" s="219" t="s">
        <v>488</v>
      </c>
      <c r="D1289" s="379" t="s">
        <v>228</v>
      </c>
      <c r="E1289" s="329" t="s">
        <v>100</v>
      </c>
      <c r="F1289" s="341" t="s">
        <v>190</v>
      </c>
      <c r="G1289" s="220" t="s">
        <v>26</v>
      </c>
      <c r="H1289" s="221">
        <v>2017</v>
      </c>
      <c r="I1289" s="240"/>
      <c r="J1289" s="377">
        <v>39</v>
      </c>
      <c r="K1289" s="382" t="s">
        <v>528</v>
      </c>
      <c r="L1289" s="383">
        <f t="shared" si="803"/>
        <v>9.75E-3</v>
      </c>
      <c r="M1289" s="225" t="str">
        <f>CONCATENATE("t CO2-eq/ ",IF('[1]Advanced Controls'!$F$169="Implementation",AdoptionUnitOfMeasure,FunctionalUnitOfMeasure))</f>
        <v>t CO2-eq/ kg of protein</v>
      </c>
      <c r="N1289" s="227"/>
      <c r="O1289" s="227" t="s">
        <v>736</v>
      </c>
      <c r="P1289" s="122"/>
      <c r="Q1289" s="228"/>
      <c r="R1289" s="231">
        <f t="shared" si="793"/>
        <v>9.75E-3</v>
      </c>
      <c r="S1289" s="230">
        <f t="shared" si="781"/>
        <v>9.75E-3</v>
      </c>
      <c r="T1289" s="231">
        <f t="shared" si="795"/>
        <v>0</v>
      </c>
      <c r="U1289" s="232" t="str">
        <f t="shared" si="782"/>
        <v>t CO2-eq/ kg of protein</v>
      </c>
      <c r="V1289" s="28"/>
      <c r="W1289" s="28"/>
      <c r="Y1289" s="91"/>
      <c r="AO1289" s="91"/>
      <c r="AP1289" s="28"/>
      <c r="AQ1289" s="28"/>
      <c r="AR1289" s="237"/>
      <c r="AS1289" s="28"/>
      <c r="AT1289" s="304" t="str">
        <f t="shared" si="794"/>
        <v/>
      </c>
      <c r="AU1289" s="304" t="str">
        <f t="shared" si="794"/>
        <v/>
      </c>
      <c r="AV1289" s="28"/>
      <c r="AW1289" s="304" t="str">
        <f t="shared" si="783"/>
        <v/>
      </c>
      <c r="AX1289" s="304" t="str">
        <f t="shared" si="783"/>
        <v/>
      </c>
      <c r="AY1289" s="28"/>
      <c r="AZ1289" s="304" t="str">
        <f t="shared" si="784"/>
        <v/>
      </c>
      <c r="BA1289" s="304" t="str">
        <f t="shared" si="784"/>
        <v/>
      </c>
      <c r="BB1289" s="28"/>
      <c r="BC1289" s="304" t="str">
        <f t="shared" si="785"/>
        <v/>
      </c>
      <c r="BD1289" s="304" t="str">
        <f t="shared" si="785"/>
        <v/>
      </c>
      <c r="BE1289" s="28"/>
      <c r="BF1289" s="304" t="str">
        <f t="shared" si="786"/>
        <v/>
      </c>
      <c r="BG1289" s="304" t="str">
        <f t="shared" si="786"/>
        <v/>
      </c>
      <c r="BH1289" s="28"/>
      <c r="BI1289" s="304">
        <f t="shared" si="787"/>
        <v>9.75E-3</v>
      </c>
      <c r="BJ1289" s="304">
        <f t="shared" si="787"/>
        <v>9.75E-3</v>
      </c>
      <c r="BK1289" s="28"/>
      <c r="BL1289" s="304" t="str">
        <f t="shared" si="788"/>
        <v/>
      </c>
      <c r="BM1289" s="304" t="str">
        <f t="shared" si="788"/>
        <v/>
      </c>
      <c r="BN1289" s="28"/>
      <c r="BO1289" s="304" t="str">
        <f t="shared" si="789"/>
        <v/>
      </c>
      <c r="BP1289" s="304" t="str">
        <f t="shared" si="789"/>
        <v/>
      </c>
      <c r="BQ1289" s="28"/>
      <c r="BR1289" s="304" t="str">
        <f t="shared" si="790"/>
        <v/>
      </c>
      <c r="BS1289" s="304" t="str">
        <f t="shared" si="790"/>
        <v/>
      </c>
      <c r="BT1289" s="28"/>
      <c r="BU1289" s="304" t="str">
        <f t="shared" si="791"/>
        <v/>
      </c>
      <c r="BV1289" s="304" t="str">
        <f t="shared" si="791"/>
        <v/>
      </c>
      <c r="BW1289" s="28"/>
      <c r="BX1289" s="91"/>
    </row>
    <row r="1290" spans="1:76" s="55" customFormat="1" x14ac:dyDescent="0.25">
      <c r="A1290" s="195">
        <v>65</v>
      </c>
      <c r="B1290" s="216" t="str">
        <f t="shared" si="796"/>
        <v>Latin America: FAO. 2017. Reducing Enteric Methane for improving food security and livelihoods</v>
      </c>
      <c r="C1290" s="219" t="s">
        <v>488</v>
      </c>
      <c r="D1290" s="379" t="s">
        <v>228</v>
      </c>
      <c r="E1290" s="329" t="s">
        <v>100</v>
      </c>
      <c r="F1290" s="341" t="s">
        <v>190</v>
      </c>
      <c r="G1290" s="220" t="s">
        <v>26</v>
      </c>
      <c r="H1290" s="221">
        <v>2017</v>
      </c>
      <c r="I1290" s="240"/>
      <c r="J1290" s="377">
        <v>52</v>
      </c>
      <c r="K1290" s="382" t="s">
        <v>528</v>
      </c>
      <c r="L1290" s="383">
        <f t="shared" si="803"/>
        <v>1.3000000000000001E-2</v>
      </c>
      <c r="M1290" s="225" t="str">
        <f>CONCATENATE("t CO2-eq/ ",IF('[1]Advanced Controls'!$F$169="Implementation",AdoptionUnitOfMeasure,FunctionalUnitOfMeasure))</f>
        <v>t CO2-eq/ kg of protein</v>
      </c>
      <c r="N1290" s="227"/>
      <c r="O1290" s="227" t="s">
        <v>737</v>
      </c>
      <c r="P1290" s="122"/>
      <c r="Q1290" s="228"/>
      <c r="R1290" s="231">
        <f t="shared" si="793"/>
        <v>1.3000000000000001E-2</v>
      </c>
      <c r="S1290" s="230">
        <f t="shared" ref="S1290:S1309" si="804">IF(R1290="","",IF($R$1433="Y",T1290,IF(R1290&gt;=$R$1425-$AA$35*$R$1429,IF(R1290&lt;=$R$1425+$AA$35*$R$1429,R1290,""),"")))</f>
        <v>1.3000000000000001E-2</v>
      </c>
      <c r="T1290" s="231">
        <f t="shared" si="795"/>
        <v>0</v>
      </c>
      <c r="U1290" s="232" t="str">
        <f t="shared" ref="U1290:U1353" si="805">IF(AND(M1290="",K1290=""),"",IF(M1290="",K1290,M1290))</f>
        <v>t CO2-eq/ kg of protein</v>
      </c>
      <c r="V1290" s="28"/>
      <c r="W1290" s="28"/>
      <c r="Y1290" s="91"/>
      <c r="AO1290" s="91"/>
      <c r="AP1290" s="28"/>
      <c r="AQ1290" s="28"/>
      <c r="AR1290" s="237"/>
      <c r="AS1290" s="28"/>
      <c r="AT1290" s="304" t="str">
        <f t="shared" si="794"/>
        <v/>
      </c>
      <c r="AU1290" s="304" t="str">
        <f t="shared" si="794"/>
        <v/>
      </c>
      <c r="AV1290" s="28"/>
      <c r="AW1290" s="304" t="str">
        <f t="shared" si="783"/>
        <v/>
      </c>
      <c r="AX1290" s="304" t="str">
        <f t="shared" si="783"/>
        <v/>
      </c>
      <c r="AY1290" s="28"/>
      <c r="AZ1290" s="304" t="str">
        <f t="shared" si="784"/>
        <v/>
      </c>
      <c r="BA1290" s="304" t="str">
        <f t="shared" si="784"/>
        <v/>
      </c>
      <c r="BB1290" s="28"/>
      <c r="BC1290" s="304" t="str">
        <f t="shared" si="785"/>
        <v/>
      </c>
      <c r="BD1290" s="304" t="str">
        <f t="shared" si="785"/>
        <v/>
      </c>
      <c r="BE1290" s="28"/>
      <c r="BF1290" s="304" t="str">
        <f t="shared" si="786"/>
        <v/>
      </c>
      <c r="BG1290" s="304" t="str">
        <f t="shared" si="786"/>
        <v/>
      </c>
      <c r="BH1290" s="28"/>
      <c r="BI1290" s="304">
        <f t="shared" si="787"/>
        <v>1.3000000000000001E-2</v>
      </c>
      <c r="BJ1290" s="304">
        <f t="shared" si="787"/>
        <v>1.3000000000000001E-2</v>
      </c>
      <c r="BK1290" s="28"/>
      <c r="BL1290" s="304" t="str">
        <f t="shared" si="788"/>
        <v/>
      </c>
      <c r="BM1290" s="304" t="str">
        <f t="shared" si="788"/>
        <v/>
      </c>
      <c r="BN1290" s="28"/>
      <c r="BO1290" s="304" t="str">
        <f t="shared" si="789"/>
        <v/>
      </c>
      <c r="BP1290" s="304" t="str">
        <f t="shared" si="789"/>
        <v/>
      </c>
      <c r="BQ1290" s="28"/>
      <c r="BR1290" s="304" t="str">
        <f t="shared" si="790"/>
        <v/>
      </c>
      <c r="BS1290" s="304" t="str">
        <f t="shared" si="790"/>
        <v/>
      </c>
      <c r="BT1290" s="28"/>
      <c r="BU1290" s="304" t="str">
        <f t="shared" si="791"/>
        <v/>
      </c>
      <c r="BV1290" s="304" t="str">
        <f t="shared" si="791"/>
        <v/>
      </c>
      <c r="BW1290" s="28"/>
      <c r="BX1290" s="91"/>
    </row>
    <row r="1291" spans="1:76" s="55" customFormat="1" x14ac:dyDescent="0.25">
      <c r="A1291" s="195">
        <v>66</v>
      </c>
      <c r="B1291" s="216" t="str">
        <f t="shared" si="796"/>
        <v>Latin America: FAO. 2017. Reducing Enteric Methane for improving food security and livelihoods</v>
      </c>
      <c r="C1291" s="219" t="s">
        <v>488</v>
      </c>
      <c r="D1291" s="379" t="s">
        <v>228</v>
      </c>
      <c r="E1291" s="329" t="s">
        <v>100</v>
      </c>
      <c r="F1291" s="341" t="s">
        <v>190</v>
      </c>
      <c r="G1291" s="220" t="s">
        <v>26</v>
      </c>
      <c r="H1291" s="221">
        <v>2017</v>
      </c>
      <c r="I1291" s="240"/>
      <c r="J1291" s="377">
        <v>7.2</v>
      </c>
      <c r="K1291" s="382" t="s">
        <v>528</v>
      </c>
      <c r="L1291" s="383">
        <f t="shared" si="803"/>
        <v>1.8000000000000002E-3</v>
      </c>
      <c r="M1291" s="225" t="str">
        <f>CONCATENATE("t CO2-eq/ ",IF('[1]Advanced Controls'!$F$169="Implementation",AdoptionUnitOfMeasure,FunctionalUnitOfMeasure))</f>
        <v>t CO2-eq/ kg of protein</v>
      </c>
      <c r="N1291" s="227"/>
      <c r="O1291" s="227" t="s">
        <v>738</v>
      </c>
      <c r="P1291" s="122"/>
      <c r="Q1291" s="228"/>
      <c r="R1291" s="231">
        <f t="shared" ref="R1291:R1314" si="806">IF(Q1291="Y","",IF(AND(L1291="",J1291=""),"",IF(L1291="",J1291,L1291)))</f>
        <v>1.8000000000000002E-3</v>
      </c>
      <c r="S1291" s="230">
        <f t="shared" si="804"/>
        <v>1.8000000000000002E-3</v>
      </c>
      <c r="T1291" s="231" t="str">
        <f t="shared" si="795"/>
        <v/>
      </c>
      <c r="U1291" s="232" t="str">
        <f t="shared" si="805"/>
        <v>t CO2-eq/ kg of protein</v>
      </c>
      <c r="V1291" s="28"/>
      <c r="W1291" s="28"/>
      <c r="Y1291" s="91"/>
      <c r="AO1291" s="91"/>
      <c r="AP1291" s="28"/>
      <c r="AQ1291" s="28"/>
      <c r="AR1291" s="237"/>
      <c r="AS1291" s="28"/>
      <c r="AT1291" s="304" t="str">
        <f t="shared" si="794"/>
        <v/>
      </c>
      <c r="AU1291" s="304" t="str">
        <f t="shared" si="794"/>
        <v/>
      </c>
      <c r="AV1291" s="28"/>
      <c r="AW1291" s="304" t="str">
        <f t="shared" si="783"/>
        <v/>
      </c>
      <c r="AX1291" s="304" t="str">
        <f t="shared" si="783"/>
        <v/>
      </c>
      <c r="AY1291" s="28"/>
      <c r="AZ1291" s="304" t="str">
        <f t="shared" si="784"/>
        <v/>
      </c>
      <c r="BA1291" s="304" t="str">
        <f t="shared" si="784"/>
        <v/>
      </c>
      <c r="BB1291" s="28"/>
      <c r="BC1291" s="304" t="str">
        <f t="shared" si="785"/>
        <v/>
      </c>
      <c r="BD1291" s="304" t="str">
        <f t="shared" si="785"/>
        <v/>
      </c>
      <c r="BE1291" s="28"/>
      <c r="BF1291" s="304" t="str">
        <f t="shared" si="786"/>
        <v/>
      </c>
      <c r="BG1291" s="304" t="str">
        <f t="shared" si="786"/>
        <v/>
      </c>
      <c r="BH1291" s="28"/>
      <c r="BI1291" s="304">
        <f t="shared" si="787"/>
        <v>1.8000000000000002E-3</v>
      </c>
      <c r="BJ1291" s="304">
        <f t="shared" si="787"/>
        <v>1.8000000000000002E-3</v>
      </c>
      <c r="BK1291" s="28"/>
      <c r="BL1291" s="304" t="str">
        <f t="shared" si="788"/>
        <v/>
      </c>
      <c r="BM1291" s="304" t="str">
        <f t="shared" si="788"/>
        <v/>
      </c>
      <c r="BN1291" s="28"/>
      <c r="BO1291" s="304" t="str">
        <f t="shared" si="789"/>
        <v/>
      </c>
      <c r="BP1291" s="304" t="str">
        <f t="shared" si="789"/>
        <v/>
      </c>
      <c r="BQ1291" s="28"/>
      <c r="BR1291" s="304" t="str">
        <f t="shared" si="790"/>
        <v/>
      </c>
      <c r="BS1291" s="304" t="str">
        <f t="shared" si="790"/>
        <v/>
      </c>
      <c r="BT1291" s="28"/>
      <c r="BU1291" s="304" t="str">
        <f t="shared" si="791"/>
        <v/>
      </c>
      <c r="BV1291" s="304" t="str">
        <f t="shared" si="791"/>
        <v/>
      </c>
      <c r="BW1291" s="28"/>
      <c r="BX1291" s="91"/>
    </row>
    <row r="1292" spans="1:76" s="55" customFormat="1" x14ac:dyDescent="0.25">
      <c r="A1292" s="195">
        <v>67</v>
      </c>
      <c r="B1292" s="216" t="str">
        <f t="shared" si="796"/>
        <v>Latin America: FAO. 2017. Reducing Enteric Methane for improving food security and livelihoods</v>
      </c>
      <c r="C1292" s="219" t="s">
        <v>488</v>
      </c>
      <c r="D1292" s="379" t="s">
        <v>228</v>
      </c>
      <c r="E1292" s="329" t="s">
        <v>100</v>
      </c>
      <c r="F1292" s="341" t="s">
        <v>190</v>
      </c>
      <c r="G1292" s="220" t="s">
        <v>26</v>
      </c>
      <c r="H1292" s="221">
        <v>2017</v>
      </c>
      <c r="I1292" s="240"/>
      <c r="J1292" s="377">
        <v>9.6</v>
      </c>
      <c r="K1292" s="382" t="s">
        <v>528</v>
      </c>
      <c r="L1292" s="383">
        <f t="shared" si="803"/>
        <v>2.3999999999999998E-3</v>
      </c>
      <c r="M1292" s="225" t="str">
        <f>CONCATENATE("t CO2-eq/ ",IF('[1]Advanced Controls'!$F$169="Implementation",AdoptionUnitOfMeasure,FunctionalUnitOfMeasure))</f>
        <v>t CO2-eq/ kg of protein</v>
      </c>
      <c r="N1292" s="227"/>
      <c r="O1292" s="227" t="s">
        <v>739</v>
      </c>
      <c r="P1292" s="122"/>
      <c r="Q1292" s="228"/>
      <c r="R1292" s="231">
        <f t="shared" si="806"/>
        <v>2.3999999999999998E-3</v>
      </c>
      <c r="S1292" s="230">
        <f t="shared" si="804"/>
        <v>2.3999999999999998E-3</v>
      </c>
      <c r="T1292" s="231" t="str">
        <f t="shared" ref="T1292:T1309" si="807">IF(OR(Q1292="Y",IFERROR(R1292&gt;R1386+R1390*$AA$35,0),IFERROR(R1292&lt;R1386-R1390*$AA$35,0)),"",IFERROR(R1292*N1292,""))</f>
        <v/>
      </c>
      <c r="U1292" s="232" t="str">
        <f t="shared" si="805"/>
        <v>t CO2-eq/ kg of protein</v>
      </c>
      <c r="V1292" s="28"/>
      <c r="W1292" s="28"/>
      <c r="Y1292" s="91"/>
      <c r="AO1292" s="91"/>
      <c r="AP1292" s="28"/>
      <c r="AQ1292" s="28"/>
      <c r="AR1292" s="237"/>
      <c r="AS1292" s="28"/>
      <c r="AT1292" s="304" t="str">
        <f t="shared" si="794"/>
        <v/>
      </c>
      <c r="AU1292" s="304" t="str">
        <f t="shared" si="794"/>
        <v/>
      </c>
      <c r="AV1292" s="28"/>
      <c r="AW1292" s="304" t="str">
        <f t="shared" si="783"/>
        <v/>
      </c>
      <c r="AX1292" s="304" t="str">
        <f t="shared" si="783"/>
        <v/>
      </c>
      <c r="AY1292" s="28"/>
      <c r="AZ1292" s="304" t="str">
        <f t="shared" si="784"/>
        <v/>
      </c>
      <c r="BA1292" s="304" t="str">
        <f t="shared" si="784"/>
        <v/>
      </c>
      <c r="BB1292" s="28"/>
      <c r="BC1292" s="304" t="str">
        <f t="shared" si="785"/>
        <v/>
      </c>
      <c r="BD1292" s="304" t="str">
        <f t="shared" si="785"/>
        <v/>
      </c>
      <c r="BE1292" s="28"/>
      <c r="BF1292" s="304" t="str">
        <f t="shared" si="786"/>
        <v/>
      </c>
      <c r="BG1292" s="304" t="str">
        <f t="shared" si="786"/>
        <v/>
      </c>
      <c r="BH1292" s="28"/>
      <c r="BI1292" s="304">
        <f t="shared" si="787"/>
        <v>2.3999999999999998E-3</v>
      </c>
      <c r="BJ1292" s="304">
        <f t="shared" si="787"/>
        <v>2.3999999999999998E-3</v>
      </c>
      <c r="BK1292" s="28"/>
      <c r="BL1292" s="304" t="str">
        <f t="shared" si="788"/>
        <v/>
      </c>
      <c r="BM1292" s="304" t="str">
        <f t="shared" si="788"/>
        <v/>
      </c>
      <c r="BN1292" s="28"/>
      <c r="BO1292" s="304" t="str">
        <f t="shared" si="789"/>
        <v/>
      </c>
      <c r="BP1292" s="304" t="str">
        <f t="shared" si="789"/>
        <v/>
      </c>
      <c r="BQ1292" s="28"/>
      <c r="BR1292" s="304" t="str">
        <f t="shared" si="790"/>
        <v/>
      </c>
      <c r="BS1292" s="304" t="str">
        <f t="shared" si="790"/>
        <v/>
      </c>
      <c r="BT1292" s="28"/>
      <c r="BU1292" s="304" t="str">
        <f t="shared" si="791"/>
        <v/>
      </c>
      <c r="BV1292" s="304" t="str">
        <f t="shared" si="791"/>
        <v/>
      </c>
      <c r="BW1292" s="28"/>
      <c r="BX1292" s="91"/>
    </row>
    <row r="1293" spans="1:76" s="55" customFormat="1" x14ac:dyDescent="0.25">
      <c r="A1293" s="195">
        <v>68</v>
      </c>
      <c r="B1293" s="216" t="str">
        <f t="shared" ref="B1293:B1314" si="808">CONCATENATE(E1293,": ",C1293)</f>
        <v>Latin America: FAO. 2017. Reducing Enteric Methane for improving food security and livelihoods</v>
      </c>
      <c r="C1293" s="219" t="s">
        <v>488</v>
      </c>
      <c r="D1293" s="379" t="s">
        <v>228</v>
      </c>
      <c r="E1293" s="329" t="s">
        <v>100</v>
      </c>
      <c r="F1293" s="341" t="s">
        <v>190</v>
      </c>
      <c r="G1293" s="220" t="s">
        <v>26</v>
      </c>
      <c r="H1293" s="221">
        <v>2017</v>
      </c>
      <c r="I1293" s="240"/>
      <c r="J1293" s="377">
        <v>7.1</v>
      </c>
      <c r="K1293" s="382" t="s">
        <v>528</v>
      </c>
      <c r="L1293" s="383">
        <f t="shared" si="803"/>
        <v>1.7749999999999999E-3</v>
      </c>
      <c r="M1293" s="225" t="str">
        <f>CONCATENATE("t CO2-eq/ ",IF('[1]Advanced Controls'!$F$169="Implementation",AdoptionUnitOfMeasure,FunctionalUnitOfMeasure))</f>
        <v>t CO2-eq/ kg of protein</v>
      </c>
      <c r="N1293" s="227"/>
      <c r="O1293" s="227" t="s">
        <v>740</v>
      </c>
      <c r="P1293" s="122"/>
      <c r="Q1293" s="228"/>
      <c r="R1293" s="231">
        <f t="shared" si="806"/>
        <v>1.7749999999999999E-3</v>
      </c>
      <c r="S1293" s="230">
        <f t="shared" si="804"/>
        <v>1.7749999999999999E-3</v>
      </c>
      <c r="T1293" s="231" t="str">
        <f t="shared" si="807"/>
        <v/>
      </c>
      <c r="U1293" s="232" t="str">
        <f t="shared" si="805"/>
        <v>t CO2-eq/ kg of protein</v>
      </c>
      <c r="V1293" s="28"/>
      <c r="W1293" s="28"/>
      <c r="Y1293" s="91"/>
      <c r="AO1293" s="91"/>
      <c r="AP1293" s="28"/>
      <c r="AQ1293" s="28"/>
      <c r="AR1293" s="237"/>
      <c r="AS1293" s="28"/>
      <c r="AT1293" s="304" t="str">
        <f t="shared" si="794"/>
        <v/>
      </c>
      <c r="AU1293" s="304" t="str">
        <f t="shared" si="794"/>
        <v/>
      </c>
      <c r="AV1293" s="28"/>
      <c r="AW1293" s="304" t="str">
        <f t="shared" si="783"/>
        <v/>
      </c>
      <c r="AX1293" s="304" t="str">
        <f t="shared" si="783"/>
        <v/>
      </c>
      <c r="AY1293" s="28"/>
      <c r="AZ1293" s="304" t="str">
        <f t="shared" si="784"/>
        <v/>
      </c>
      <c r="BA1293" s="304" t="str">
        <f t="shared" si="784"/>
        <v/>
      </c>
      <c r="BB1293" s="28"/>
      <c r="BC1293" s="304" t="str">
        <f t="shared" si="785"/>
        <v/>
      </c>
      <c r="BD1293" s="304" t="str">
        <f t="shared" si="785"/>
        <v/>
      </c>
      <c r="BE1293" s="28"/>
      <c r="BF1293" s="304" t="str">
        <f t="shared" si="786"/>
        <v/>
      </c>
      <c r="BG1293" s="304" t="str">
        <f t="shared" si="786"/>
        <v/>
      </c>
      <c r="BH1293" s="28"/>
      <c r="BI1293" s="304">
        <f t="shared" si="787"/>
        <v>1.7749999999999999E-3</v>
      </c>
      <c r="BJ1293" s="304">
        <f t="shared" si="787"/>
        <v>1.7749999999999999E-3</v>
      </c>
      <c r="BK1293" s="28"/>
      <c r="BL1293" s="304" t="str">
        <f t="shared" si="788"/>
        <v/>
      </c>
      <c r="BM1293" s="304" t="str">
        <f t="shared" si="788"/>
        <v/>
      </c>
      <c r="BN1293" s="28"/>
      <c r="BO1293" s="304" t="str">
        <f t="shared" si="789"/>
        <v/>
      </c>
      <c r="BP1293" s="304" t="str">
        <f t="shared" si="789"/>
        <v/>
      </c>
      <c r="BQ1293" s="28"/>
      <c r="BR1293" s="304" t="str">
        <f t="shared" si="790"/>
        <v/>
      </c>
      <c r="BS1293" s="304" t="str">
        <f t="shared" si="790"/>
        <v/>
      </c>
      <c r="BT1293" s="28"/>
      <c r="BU1293" s="304" t="str">
        <f t="shared" si="791"/>
        <v/>
      </c>
      <c r="BV1293" s="304" t="str">
        <f t="shared" si="791"/>
        <v/>
      </c>
      <c r="BW1293" s="28"/>
      <c r="BX1293" s="91"/>
    </row>
    <row r="1294" spans="1:76" s="55" customFormat="1" x14ac:dyDescent="0.25">
      <c r="A1294" s="195">
        <v>69</v>
      </c>
      <c r="B1294" s="216" t="str">
        <f t="shared" si="808"/>
        <v>Latin America: FAO. 2017. Reducing Enteric Methane for improving food security and livelihoods</v>
      </c>
      <c r="C1294" s="219" t="s">
        <v>488</v>
      </c>
      <c r="D1294" s="379" t="s">
        <v>228</v>
      </c>
      <c r="E1294" s="329" t="s">
        <v>100</v>
      </c>
      <c r="F1294" s="341" t="s">
        <v>190</v>
      </c>
      <c r="G1294" s="220" t="s">
        <v>26</v>
      </c>
      <c r="H1294" s="221">
        <v>2017</v>
      </c>
      <c r="I1294" s="240"/>
      <c r="J1294" s="377">
        <v>7.2</v>
      </c>
      <c r="K1294" s="382" t="s">
        <v>528</v>
      </c>
      <c r="L1294" s="383">
        <f t="shared" si="803"/>
        <v>1.8000000000000002E-3</v>
      </c>
      <c r="M1294" s="225" t="str">
        <f>CONCATENATE("t CO2-eq/ ",IF('[1]Advanced Controls'!$F$169="Implementation",AdoptionUnitOfMeasure,FunctionalUnitOfMeasure))</f>
        <v>t CO2-eq/ kg of protein</v>
      </c>
      <c r="N1294" s="227"/>
      <c r="O1294" s="227" t="s">
        <v>741</v>
      </c>
      <c r="P1294" s="122"/>
      <c r="Q1294" s="228"/>
      <c r="R1294" s="231">
        <f t="shared" si="806"/>
        <v>1.8000000000000002E-3</v>
      </c>
      <c r="S1294" s="230">
        <f t="shared" si="804"/>
        <v>1.8000000000000002E-3</v>
      </c>
      <c r="T1294" s="231" t="str">
        <f t="shared" si="807"/>
        <v/>
      </c>
      <c r="U1294" s="232" t="str">
        <f t="shared" si="805"/>
        <v>t CO2-eq/ kg of protein</v>
      </c>
      <c r="V1294" s="28"/>
      <c r="W1294" s="28"/>
      <c r="Y1294" s="91"/>
      <c r="AO1294" s="91"/>
      <c r="AP1294" s="28"/>
      <c r="AQ1294" s="28"/>
      <c r="AR1294" s="237"/>
      <c r="AS1294" s="28"/>
      <c r="AT1294" s="304"/>
      <c r="AU1294" s="304"/>
      <c r="AV1294" s="28"/>
      <c r="AW1294" s="304"/>
      <c r="AX1294" s="304"/>
      <c r="AY1294" s="28"/>
      <c r="AZ1294" s="304"/>
      <c r="BA1294" s="304"/>
      <c r="BB1294" s="28"/>
      <c r="BC1294" s="304"/>
      <c r="BD1294" s="304"/>
      <c r="BE1294" s="28"/>
      <c r="BF1294" s="304"/>
      <c r="BG1294" s="304"/>
      <c r="BH1294" s="28"/>
      <c r="BI1294" s="304"/>
      <c r="BJ1294" s="304"/>
      <c r="BK1294" s="28"/>
      <c r="BL1294" s="304"/>
      <c r="BM1294" s="304"/>
      <c r="BN1294" s="28"/>
      <c r="BO1294" s="304"/>
      <c r="BP1294" s="304"/>
      <c r="BQ1294" s="28"/>
      <c r="BR1294" s="304"/>
      <c r="BS1294" s="304"/>
      <c r="BT1294" s="28"/>
      <c r="BU1294" s="304"/>
      <c r="BV1294" s="304"/>
      <c r="BW1294" s="28"/>
      <c r="BX1294" s="91"/>
    </row>
    <row r="1295" spans="1:76" s="55" customFormat="1" x14ac:dyDescent="0.25">
      <c r="A1295" s="195">
        <v>70</v>
      </c>
      <c r="B1295" s="216" t="str">
        <f t="shared" si="808"/>
        <v>Latin America: FAO. 2017. Reducing Enteric Methane for improving food security and livelihoods</v>
      </c>
      <c r="C1295" s="219" t="s">
        <v>488</v>
      </c>
      <c r="D1295" s="379" t="s">
        <v>228</v>
      </c>
      <c r="E1295" s="329" t="s">
        <v>100</v>
      </c>
      <c r="F1295" s="341" t="s">
        <v>190</v>
      </c>
      <c r="G1295" s="220" t="s">
        <v>26</v>
      </c>
      <c r="H1295" s="221">
        <v>2017</v>
      </c>
      <c r="I1295" s="240"/>
      <c r="J1295" s="377">
        <v>9.6</v>
      </c>
      <c r="K1295" s="382" t="s">
        <v>528</v>
      </c>
      <c r="L1295" s="383">
        <f t="shared" si="803"/>
        <v>2.3999999999999998E-3</v>
      </c>
      <c r="M1295" s="225" t="str">
        <f>CONCATENATE("t CO2-eq/ ",IF('[1]Advanced Controls'!$F$169="Implementation",AdoptionUnitOfMeasure,FunctionalUnitOfMeasure))</f>
        <v>t CO2-eq/ kg of protein</v>
      </c>
      <c r="N1295" s="227"/>
      <c r="O1295" s="227" t="s">
        <v>742</v>
      </c>
      <c r="P1295" s="122"/>
      <c r="Q1295" s="228"/>
      <c r="R1295" s="231">
        <f t="shared" si="806"/>
        <v>2.3999999999999998E-3</v>
      </c>
      <c r="S1295" s="230">
        <f t="shared" si="804"/>
        <v>2.3999999999999998E-3</v>
      </c>
      <c r="T1295" s="231">
        <f t="shared" si="807"/>
        <v>0</v>
      </c>
      <c r="U1295" s="232" t="str">
        <f t="shared" si="805"/>
        <v>t CO2-eq/ kg of protein</v>
      </c>
      <c r="V1295" s="28"/>
      <c r="W1295" s="28"/>
      <c r="Y1295" s="91"/>
      <c r="AO1295" s="91"/>
      <c r="AP1295" s="28"/>
      <c r="AQ1295" s="28"/>
      <c r="AR1295" s="237"/>
      <c r="AS1295" s="28"/>
      <c r="AT1295" s="304"/>
      <c r="AU1295" s="304"/>
      <c r="AV1295" s="28"/>
      <c r="AW1295" s="304"/>
      <c r="AX1295" s="304"/>
      <c r="AY1295" s="28"/>
      <c r="AZ1295" s="304"/>
      <c r="BA1295" s="304"/>
      <c r="BB1295" s="28"/>
      <c r="BC1295" s="304"/>
      <c r="BD1295" s="304"/>
      <c r="BE1295" s="28"/>
      <c r="BF1295" s="304"/>
      <c r="BG1295" s="304"/>
      <c r="BH1295" s="28"/>
      <c r="BI1295" s="304"/>
      <c r="BJ1295" s="304"/>
      <c r="BK1295" s="28"/>
      <c r="BL1295" s="304"/>
      <c r="BM1295" s="304"/>
      <c r="BN1295" s="28"/>
      <c r="BO1295" s="304"/>
      <c r="BP1295" s="304"/>
      <c r="BQ1295" s="28"/>
      <c r="BR1295" s="304"/>
      <c r="BS1295" s="304"/>
      <c r="BT1295" s="28"/>
      <c r="BU1295" s="304"/>
      <c r="BV1295" s="304"/>
      <c r="BW1295" s="28"/>
      <c r="BX1295" s="91"/>
    </row>
    <row r="1296" spans="1:76" s="55" customFormat="1" x14ac:dyDescent="0.25">
      <c r="A1296" s="195">
        <v>71</v>
      </c>
      <c r="B1296" s="216" t="str">
        <f t="shared" si="808"/>
        <v>Latin America: FAO. 2017. Reducing Enteric Methane for improving food security and livelihoods</v>
      </c>
      <c r="C1296" s="219" t="s">
        <v>488</v>
      </c>
      <c r="D1296" s="379" t="s">
        <v>228</v>
      </c>
      <c r="E1296" s="329" t="s">
        <v>100</v>
      </c>
      <c r="F1296" s="341" t="s">
        <v>190</v>
      </c>
      <c r="G1296" s="220" t="s">
        <v>26</v>
      </c>
      <c r="H1296" s="221">
        <v>2017</v>
      </c>
      <c r="I1296" s="240"/>
      <c r="J1296" s="377">
        <v>7.1</v>
      </c>
      <c r="K1296" s="382" t="s">
        <v>528</v>
      </c>
      <c r="L1296" s="383">
        <f>(J1296*0.001*0.032/0.032)</f>
        <v>7.0999999999999995E-3</v>
      </c>
      <c r="M1296" s="225" t="str">
        <f>CONCATENATE("t CO2-eq/ ",IF('[1]Advanced Controls'!$F$169="Implementation",AdoptionUnitOfMeasure,FunctionalUnitOfMeasure))</f>
        <v>t CO2-eq/ kg of protein</v>
      </c>
      <c r="N1296" s="227"/>
      <c r="O1296" s="227" t="s">
        <v>743</v>
      </c>
      <c r="P1296" s="122"/>
      <c r="Q1296" s="228"/>
      <c r="R1296" s="231">
        <f t="shared" si="806"/>
        <v>7.0999999999999995E-3</v>
      </c>
      <c r="S1296" s="230">
        <f t="shared" si="804"/>
        <v>7.0999999999999995E-3</v>
      </c>
      <c r="T1296" s="231">
        <f t="shared" si="807"/>
        <v>0</v>
      </c>
      <c r="U1296" s="232" t="str">
        <f t="shared" si="805"/>
        <v>t CO2-eq/ kg of protein</v>
      </c>
      <c r="V1296" s="28"/>
      <c r="W1296" s="28"/>
      <c r="Y1296" s="91"/>
      <c r="AO1296" s="91"/>
      <c r="AP1296" s="28"/>
      <c r="AQ1296" s="28"/>
      <c r="AR1296" s="237"/>
      <c r="AS1296" s="28"/>
      <c r="AT1296" s="304"/>
      <c r="AU1296" s="304"/>
      <c r="AV1296" s="28"/>
      <c r="AW1296" s="304"/>
      <c r="AX1296" s="304"/>
      <c r="AY1296" s="28"/>
      <c r="AZ1296" s="304"/>
      <c r="BA1296" s="304"/>
      <c r="BB1296" s="28"/>
      <c r="BC1296" s="304"/>
      <c r="BD1296" s="304"/>
      <c r="BE1296" s="28"/>
      <c r="BF1296" s="304"/>
      <c r="BG1296" s="304"/>
      <c r="BH1296" s="28"/>
      <c r="BI1296" s="304"/>
      <c r="BJ1296" s="304"/>
      <c r="BK1296" s="28"/>
      <c r="BL1296" s="304"/>
      <c r="BM1296" s="304"/>
      <c r="BN1296" s="28"/>
      <c r="BO1296" s="304"/>
      <c r="BP1296" s="304"/>
      <c r="BQ1296" s="28"/>
      <c r="BR1296" s="304"/>
      <c r="BS1296" s="304"/>
      <c r="BT1296" s="28"/>
      <c r="BU1296" s="304"/>
      <c r="BV1296" s="304"/>
      <c r="BW1296" s="28"/>
      <c r="BX1296" s="91"/>
    </row>
    <row r="1297" spans="1:76" s="55" customFormat="1" x14ac:dyDescent="0.25">
      <c r="A1297" s="195">
        <v>72</v>
      </c>
      <c r="B1297" s="216" t="str">
        <f t="shared" si="808"/>
        <v>Latin America: FAO. 2017. Reducing Enteric Methane for improving food security and livelihoods</v>
      </c>
      <c r="C1297" s="219" t="s">
        <v>488</v>
      </c>
      <c r="D1297" s="379" t="s">
        <v>295</v>
      </c>
      <c r="E1297" s="329" t="s">
        <v>100</v>
      </c>
      <c r="F1297" s="341" t="s">
        <v>532</v>
      </c>
      <c r="G1297" s="220" t="s">
        <v>26</v>
      </c>
      <c r="H1297" s="221">
        <v>2017</v>
      </c>
      <c r="I1297" s="240"/>
      <c r="J1297" s="377">
        <v>35.5</v>
      </c>
      <c r="K1297" s="382" t="s">
        <v>528</v>
      </c>
      <c r="L1297" s="383">
        <f t="shared" ref="L1297:L1309" si="809">(J1297*0.001*0.032/0.032)</f>
        <v>3.5500000000000004E-2</v>
      </c>
      <c r="M1297" s="225" t="str">
        <f>CONCATENATE("t CO2-eq/ ",IF('[1]Advanced Controls'!$F$169="Implementation",AdoptionUnitOfMeasure,FunctionalUnitOfMeasure))</f>
        <v>t CO2-eq/ kg of protein</v>
      </c>
      <c r="N1297" s="227"/>
      <c r="O1297" s="227" t="s">
        <v>744</v>
      </c>
      <c r="P1297" s="122"/>
      <c r="Q1297" s="228"/>
      <c r="R1297" s="231">
        <f t="shared" si="806"/>
        <v>3.5500000000000004E-2</v>
      </c>
      <c r="S1297" s="230">
        <f t="shared" si="804"/>
        <v>3.5500000000000004E-2</v>
      </c>
      <c r="T1297" s="231">
        <f t="shared" si="807"/>
        <v>0</v>
      </c>
      <c r="U1297" s="232" t="str">
        <f t="shared" si="805"/>
        <v>t CO2-eq/ kg of protein</v>
      </c>
      <c r="V1297" s="28"/>
      <c r="W1297" s="28"/>
      <c r="Y1297" s="91"/>
      <c r="AO1297" s="91"/>
      <c r="AP1297" s="28"/>
      <c r="AQ1297" s="28"/>
      <c r="AR1297" s="237"/>
      <c r="AS1297" s="28"/>
      <c r="AT1297" s="304"/>
      <c r="AU1297" s="304"/>
      <c r="AV1297" s="28"/>
      <c r="AW1297" s="304"/>
      <c r="AX1297" s="304"/>
      <c r="AY1297" s="28"/>
      <c r="AZ1297" s="304"/>
      <c r="BA1297" s="304"/>
      <c r="BB1297" s="28"/>
      <c r="BC1297" s="304"/>
      <c r="BD1297" s="304"/>
      <c r="BE1297" s="28"/>
      <c r="BF1297" s="304"/>
      <c r="BG1297" s="304"/>
      <c r="BH1297" s="28"/>
      <c r="BI1297" s="304"/>
      <c r="BJ1297" s="304"/>
      <c r="BK1297" s="28"/>
      <c r="BL1297" s="304"/>
      <c r="BM1297" s="304"/>
      <c r="BN1297" s="28"/>
      <c r="BO1297" s="304"/>
      <c r="BP1297" s="304"/>
      <c r="BQ1297" s="28"/>
      <c r="BR1297" s="304"/>
      <c r="BS1297" s="304"/>
      <c r="BT1297" s="28"/>
      <c r="BU1297" s="304"/>
      <c r="BV1297" s="304"/>
      <c r="BW1297" s="28"/>
      <c r="BX1297" s="91"/>
    </row>
    <row r="1298" spans="1:76" s="55" customFormat="1" x14ac:dyDescent="0.25">
      <c r="A1298" s="195">
        <v>73</v>
      </c>
      <c r="B1298" s="216" t="str">
        <f t="shared" si="808"/>
        <v>Latin America: FAO. 2017. Reducing Enteric Methane for improving food security and livelihoods</v>
      </c>
      <c r="C1298" s="219" t="s">
        <v>488</v>
      </c>
      <c r="D1298" s="379" t="s">
        <v>295</v>
      </c>
      <c r="E1298" s="329" t="s">
        <v>100</v>
      </c>
      <c r="F1298" s="341" t="s">
        <v>532</v>
      </c>
      <c r="G1298" s="220" t="s">
        <v>26</v>
      </c>
      <c r="H1298" s="221">
        <v>2017</v>
      </c>
      <c r="I1298" s="240"/>
      <c r="J1298" s="377">
        <v>24.8</v>
      </c>
      <c r="K1298" s="382" t="s">
        <v>528</v>
      </c>
      <c r="L1298" s="383">
        <f t="shared" si="809"/>
        <v>2.4800000000000003E-2</v>
      </c>
      <c r="M1298" s="225" t="str">
        <f>CONCATENATE("t CO2-eq/ ",IF('[1]Advanced Controls'!$F$169="Implementation",AdoptionUnitOfMeasure,FunctionalUnitOfMeasure))</f>
        <v>t CO2-eq/ kg of protein</v>
      </c>
      <c r="N1298" s="227"/>
      <c r="O1298" s="227" t="s">
        <v>745</v>
      </c>
      <c r="P1298" s="122"/>
      <c r="Q1298" s="228"/>
      <c r="R1298" s="231">
        <f t="shared" si="806"/>
        <v>2.4800000000000003E-2</v>
      </c>
      <c r="S1298" s="230">
        <f t="shared" si="804"/>
        <v>2.4800000000000003E-2</v>
      </c>
      <c r="T1298" s="231">
        <f t="shared" si="807"/>
        <v>0</v>
      </c>
      <c r="U1298" s="232" t="str">
        <f t="shared" si="805"/>
        <v>t CO2-eq/ kg of protein</v>
      </c>
      <c r="V1298" s="28"/>
      <c r="W1298" s="28"/>
      <c r="Y1298" s="91"/>
      <c r="AO1298" s="91"/>
      <c r="AP1298" s="28"/>
      <c r="AQ1298" s="28"/>
      <c r="AR1298" s="237"/>
      <c r="AS1298" s="28"/>
      <c r="AT1298" s="304"/>
      <c r="AU1298" s="304"/>
      <c r="AV1298" s="28"/>
      <c r="AW1298" s="304"/>
      <c r="AX1298" s="304"/>
      <c r="AY1298" s="28"/>
      <c r="AZ1298" s="304"/>
      <c r="BA1298" s="304"/>
      <c r="BB1298" s="28"/>
      <c r="BC1298" s="304"/>
      <c r="BD1298" s="304"/>
      <c r="BE1298" s="28"/>
      <c r="BF1298" s="304"/>
      <c r="BG1298" s="304"/>
      <c r="BH1298" s="28"/>
      <c r="BI1298" s="304"/>
      <c r="BJ1298" s="304"/>
      <c r="BK1298" s="28"/>
      <c r="BL1298" s="304"/>
      <c r="BM1298" s="304"/>
      <c r="BN1298" s="28"/>
      <c r="BO1298" s="304"/>
      <c r="BP1298" s="304"/>
      <c r="BQ1298" s="28"/>
      <c r="BR1298" s="304"/>
      <c r="BS1298" s="304"/>
      <c r="BT1298" s="28"/>
      <c r="BU1298" s="304"/>
      <c r="BV1298" s="304"/>
      <c r="BW1298" s="28"/>
      <c r="BX1298" s="91"/>
    </row>
    <row r="1299" spans="1:76" s="55" customFormat="1" x14ac:dyDescent="0.25">
      <c r="A1299" s="195">
        <v>74</v>
      </c>
      <c r="B1299" s="216" t="str">
        <f t="shared" si="808"/>
        <v>Latin America: FAO. 2017. Reducing Enteric Methane for improving food security and livelihoods</v>
      </c>
      <c r="C1299" s="219" t="s">
        <v>488</v>
      </c>
      <c r="D1299" s="379" t="s">
        <v>295</v>
      </c>
      <c r="E1299" s="329" t="s">
        <v>100</v>
      </c>
      <c r="F1299" s="341" t="s">
        <v>532</v>
      </c>
      <c r="G1299" s="220" t="s">
        <v>26</v>
      </c>
      <c r="H1299" s="221">
        <v>2017</v>
      </c>
      <c r="I1299" s="240"/>
      <c r="J1299" s="377">
        <v>41</v>
      </c>
      <c r="K1299" s="382" t="s">
        <v>528</v>
      </c>
      <c r="L1299" s="383">
        <f t="shared" si="809"/>
        <v>4.1000000000000002E-2</v>
      </c>
      <c r="M1299" s="225" t="str">
        <f>CONCATENATE("t CO2-eq/ ",IF('[1]Advanced Controls'!$F$169="Implementation",AdoptionUnitOfMeasure,FunctionalUnitOfMeasure))</f>
        <v>t CO2-eq/ kg of protein</v>
      </c>
      <c r="N1299" s="227"/>
      <c r="O1299" s="227" t="s">
        <v>746</v>
      </c>
      <c r="P1299" s="122"/>
      <c r="Q1299" s="228"/>
      <c r="R1299" s="231">
        <f t="shared" si="806"/>
        <v>4.1000000000000002E-2</v>
      </c>
      <c r="S1299" s="230">
        <f t="shared" si="804"/>
        <v>4.1000000000000002E-2</v>
      </c>
      <c r="T1299" s="231">
        <f t="shared" si="807"/>
        <v>0</v>
      </c>
      <c r="U1299" s="232" t="str">
        <f t="shared" si="805"/>
        <v>t CO2-eq/ kg of protein</v>
      </c>
      <c r="V1299" s="28"/>
      <c r="W1299" s="28"/>
      <c r="Y1299" s="91"/>
      <c r="AO1299" s="91"/>
      <c r="AP1299" s="28"/>
      <c r="AQ1299" s="28"/>
      <c r="AR1299" s="237"/>
      <c r="AS1299" s="28"/>
      <c r="AT1299" s="304"/>
      <c r="AU1299" s="304"/>
      <c r="AV1299" s="28"/>
      <c r="AW1299" s="304"/>
      <c r="AX1299" s="304"/>
      <c r="AY1299" s="28"/>
      <c r="AZ1299" s="304"/>
      <c r="BA1299" s="304"/>
      <c r="BB1299" s="28"/>
      <c r="BC1299" s="304"/>
      <c r="BD1299" s="304"/>
      <c r="BE1299" s="28"/>
      <c r="BF1299" s="304"/>
      <c r="BG1299" s="304"/>
      <c r="BH1299" s="28"/>
      <c r="BI1299" s="304"/>
      <c r="BJ1299" s="304"/>
      <c r="BK1299" s="28"/>
      <c r="BL1299" s="304"/>
      <c r="BM1299" s="304"/>
      <c r="BN1299" s="28"/>
      <c r="BO1299" s="304"/>
      <c r="BP1299" s="304"/>
      <c r="BQ1299" s="28"/>
      <c r="BR1299" s="304"/>
      <c r="BS1299" s="304"/>
      <c r="BT1299" s="28"/>
      <c r="BU1299" s="304"/>
      <c r="BV1299" s="304"/>
      <c r="BW1299" s="28"/>
      <c r="BX1299" s="91"/>
    </row>
    <row r="1300" spans="1:76" s="55" customFormat="1" x14ac:dyDescent="0.25">
      <c r="A1300" s="195">
        <v>75</v>
      </c>
      <c r="B1300" s="216" t="str">
        <f t="shared" si="808"/>
        <v>Latin America: FAO. 2017. Reducing Enteric Methane for improving food security and livelihoods</v>
      </c>
      <c r="C1300" s="219" t="s">
        <v>488</v>
      </c>
      <c r="D1300" s="379" t="s">
        <v>295</v>
      </c>
      <c r="E1300" s="329" t="s">
        <v>100</v>
      </c>
      <c r="F1300" s="341" t="s">
        <v>532</v>
      </c>
      <c r="G1300" s="220" t="s">
        <v>26</v>
      </c>
      <c r="H1300" s="221">
        <v>2017</v>
      </c>
      <c r="I1300" s="240"/>
      <c r="J1300" s="377">
        <v>35.5</v>
      </c>
      <c r="K1300" s="382" t="s">
        <v>528</v>
      </c>
      <c r="L1300" s="383">
        <f t="shared" si="809"/>
        <v>3.5500000000000004E-2</v>
      </c>
      <c r="M1300" s="225" t="str">
        <f>CONCATENATE("t CO2-eq/ ",IF('[1]Advanced Controls'!$F$169="Implementation",AdoptionUnitOfMeasure,FunctionalUnitOfMeasure))</f>
        <v>t CO2-eq/ kg of protein</v>
      </c>
      <c r="N1300" s="227"/>
      <c r="O1300" s="227" t="s">
        <v>747</v>
      </c>
      <c r="P1300" s="122"/>
      <c r="Q1300" s="228"/>
      <c r="R1300" s="231">
        <f t="shared" si="806"/>
        <v>3.5500000000000004E-2</v>
      </c>
      <c r="S1300" s="230">
        <f t="shared" si="804"/>
        <v>3.5500000000000004E-2</v>
      </c>
      <c r="T1300" s="231" t="str">
        <f t="shared" si="807"/>
        <v/>
      </c>
      <c r="U1300" s="232" t="str">
        <f t="shared" si="805"/>
        <v>t CO2-eq/ kg of protein</v>
      </c>
      <c r="V1300" s="28"/>
      <c r="W1300" s="28"/>
      <c r="Y1300" s="91"/>
      <c r="AO1300" s="91"/>
      <c r="AP1300" s="28"/>
      <c r="AQ1300" s="28"/>
      <c r="AR1300" s="237"/>
      <c r="AS1300" s="28"/>
      <c r="AT1300" s="304"/>
      <c r="AU1300" s="304"/>
      <c r="AV1300" s="28"/>
      <c r="AW1300" s="304"/>
      <c r="AX1300" s="304"/>
      <c r="AY1300" s="28"/>
      <c r="AZ1300" s="304"/>
      <c r="BA1300" s="304"/>
      <c r="BB1300" s="28"/>
      <c r="BC1300" s="304"/>
      <c r="BD1300" s="304"/>
      <c r="BE1300" s="28"/>
      <c r="BF1300" s="304"/>
      <c r="BG1300" s="304"/>
      <c r="BH1300" s="28"/>
      <c r="BI1300" s="304"/>
      <c r="BJ1300" s="304"/>
      <c r="BK1300" s="28"/>
      <c r="BL1300" s="304"/>
      <c r="BM1300" s="304"/>
      <c r="BN1300" s="28"/>
      <c r="BO1300" s="304"/>
      <c r="BP1300" s="304"/>
      <c r="BQ1300" s="28"/>
      <c r="BR1300" s="304"/>
      <c r="BS1300" s="304"/>
      <c r="BT1300" s="28"/>
      <c r="BU1300" s="304"/>
      <c r="BV1300" s="304"/>
      <c r="BW1300" s="28"/>
      <c r="BX1300" s="91"/>
    </row>
    <row r="1301" spans="1:76" s="55" customFormat="1" x14ac:dyDescent="0.25">
      <c r="A1301" s="195">
        <v>76</v>
      </c>
      <c r="B1301" s="216" t="str">
        <f t="shared" si="808"/>
        <v>Latin America: FAO. 2017. Reducing Enteric Methane for improving food security and livelihoods</v>
      </c>
      <c r="C1301" s="219" t="s">
        <v>488</v>
      </c>
      <c r="D1301" s="379" t="s">
        <v>295</v>
      </c>
      <c r="E1301" s="329" t="s">
        <v>100</v>
      </c>
      <c r="F1301" s="341" t="s">
        <v>532</v>
      </c>
      <c r="G1301" s="220" t="s">
        <v>26</v>
      </c>
      <c r="H1301" s="221">
        <v>2017</v>
      </c>
      <c r="I1301" s="240"/>
      <c r="J1301" s="377">
        <v>24.8</v>
      </c>
      <c r="K1301" s="382" t="s">
        <v>528</v>
      </c>
      <c r="L1301" s="383">
        <f t="shared" si="809"/>
        <v>2.4800000000000003E-2</v>
      </c>
      <c r="M1301" s="225" t="str">
        <f>CONCATENATE("t CO2-eq/ ",IF('[1]Advanced Controls'!$F$169="Implementation",AdoptionUnitOfMeasure,FunctionalUnitOfMeasure))</f>
        <v>t CO2-eq/ kg of protein</v>
      </c>
      <c r="N1301" s="227"/>
      <c r="O1301" s="227" t="s">
        <v>748</v>
      </c>
      <c r="P1301" s="122"/>
      <c r="Q1301" s="228"/>
      <c r="R1301" s="231">
        <f t="shared" si="806"/>
        <v>2.4800000000000003E-2</v>
      </c>
      <c r="S1301" s="230">
        <f t="shared" si="804"/>
        <v>2.4800000000000003E-2</v>
      </c>
      <c r="T1301" s="231" t="str">
        <f t="shared" si="807"/>
        <v/>
      </c>
      <c r="U1301" s="232" t="str">
        <f t="shared" si="805"/>
        <v>t CO2-eq/ kg of protein</v>
      </c>
      <c r="V1301" s="28"/>
      <c r="W1301" s="28"/>
      <c r="Y1301" s="91"/>
      <c r="AO1301" s="91"/>
      <c r="AP1301" s="28"/>
      <c r="AQ1301" s="28"/>
      <c r="AR1301" s="237"/>
      <c r="AS1301" s="28"/>
      <c r="AT1301" s="304"/>
      <c r="AU1301" s="304"/>
      <c r="AV1301" s="28"/>
      <c r="AW1301" s="304"/>
      <c r="AX1301" s="304"/>
      <c r="AY1301" s="28"/>
      <c r="AZ1301" s="304"/>
      <c r="BA1301" s="304"/>
      <c r="BB1301" s="28"/>
      <c r="BC1301" s="304"/>
      <c r="BD1301" s="304"/>
      <c r="BE1301" s="28"/>
      <c r="BF1301" s="304"/>
      <c r="BG1301" s="304"/>
      <c r="BH1301" s="28"/>
      <c r="BI1301" s="304"/>
      <c r="BJ1301" s="304"/>
      <c r="BK1301" s="28"/>
      <c r="BL1301" s="304"/>
      <c r="BM1301" s="304"/>
      <c r="BN1301" s="28"/>
      <c r="BO1301" s="304"/>
      <c r="BP1301" s="304"/>
      <c r="BQ1301" s="28"/>
      <c r="BR1301" s="304"/>
      <c r="BS1301" s="304"/>
      <c r="BT1301" s="28"/>
      <c r="BU1301" s="304"/>
      <c r="BV1301" s="304"/>
      <c r="BW1301" s="28"/>
      <c r="BX1301" s="91"/>
    </row>
    <row r="1302" spans="1:76" s="55" customFormat="1" x14ac:dyDescent="0.25">
      <c r="A1302" s="195">
        <v>77</v>
      </c>
      <c r="B1302" s="216" t="str">
        <f t="shared" si="808"/>
        <v>Latin America: FAO. 2017. Reducing Enteric Methane for improving food security and livelihoods</v>
      </c>
      <c r="C1302" s="219" t="s">
        <v>488</v>
      </c>
      <c r="D1302" s="379" t="s">
        <v>295</v>
      </c>
      <c r="E1302" s="329" t="s">
        <v>100</v>
      </c>
      <c r="F1302" s="341" t="s">
        <v>532</v>
      </c>
      <c r="G1302" s="220" t="s">
        <v>26</v>
      </c>
      <c r="H1302" s="221">
        <v>2017</v>
      </c>
      <c r="I1302" s="240"/>
      <c r="J1302" s="377">
        <v>41</v>
      </c>
      <c r="K1302" s="382" t="s">
        <v>528</v>
      </c>
      <c r="L1302" s="383">
        <f t="shared" si="809"/>
        <v>4.1000000000000002E-2</v>
      </c>
      <c r="M1302" s="225" t="str">
        <f>CONCATENATE("t CO2-eq/ ",IF('[1]Advanced Controls'!$F$169="Implementation",AdoptionUnitOfMeasure,FunctionalUnitOfMeasure))</f>
        <v>t CO2-eq/ kg of protein</v>
      </c>
      <c r="N1302" s="227"/>
      <c r="O1302" s="227" t="s">
        <v>749</v>
      </c>
      <c r="P1302" s="122"/>
      <c r="Q1302" s="228"/>
      <c r="R1302" s="231">
        <f t="shared" si="806"/>
        <v>4.1000000000000002E-2</v>
      </c>
      <c r="S1302" s="230">
        <f t="shared" si="804"/>
        <v>4.1000000000000002E-2</v>
      </c>
      <c r="T1302" s="231" t="str">
        <f t="shared" si="807"/>
        <v/>
      </c>
      <c r="U1302" s="232" t="str">
        <f t="shared" si="805"/>
        <v>t CO2-eq/ kg of protein</v>
      </c>
      <c r="V1302" s="28"/>
      <c r="W1302" s="28"/>
      <c r="Y1302" s="91"/>
      <c r="AO1302" s="91"/>
      <c r="AP1302" s="28"/>
      <c r="AQ1302" s="28"/>
      <c r="AR1302" s="237"/>
      <c r="AS1302" s="28"/>
      <c r="AT1302" s="304"/>
      <c r="AU1302" s="304"/>
      <c r="AV1302" s="28"/>
      <c r="AW1302" s="304"/>
      <c r="AX1302" s="304"/>
      <c r="AY1302" s="28"/>
      <c r="AZ1302" s="304"/>
      <c r="BA1302" s="304"/>
      <c r="BB1302" s="28"/>
      <c r="BC1302" s="304"/>
      <c r="BD1302" s="304"/>
      <c r="BE1302" s="28"/>
      <c r="BF1302" s="304"/>
      <c r="BG1302" s="304"/>
      <c r="BH1302" s="28"/>
      <c r="BI1302" s="304"/>
      <c r="BJ1302" s="304"/>
      <c r="BK1302" s="28"/>
      <c r="BL1302" s="304"/>
      <c r="BM1302" s="304"/>
      <c r="BN1302" s="28"/>
      <c r="BO1302" s="304"/>
      <c r="BP1302" s="304"/>
      <c r="BQ1302" s="28"/>
      <c r="BR1302" s="304"/>
      <c r="BS1302" s="304"/>
      <c r="BT1302" s="28"/>
      <c r="BU1302" s="304"/>
      <c r="BV1302" s="304"/>
      <c r="BW1302" s="28"/>
      <c r="BX1302" s="91"/>
    </row>
    <row r="1303" spans="1:76" s="55" customFormat="1" x14ac:dyDescent="0.25">
      <c r="A1303" s="195">
        <v>78</v>
      </c>
      <c r="B1303" s="216" t="str">
        <f t="shared" si="808"/>
        <v>Latin America: FAO. 2017. Reducing Enteric Methane for improving food security and livelihoods</v>
      </c>
      <c r="C1303" s="219" t="s">
        <v>488</v>
      </c>
      <c r="D1303" s="379" t="s">
        <v>295</v>
      </c>
      <c r="E1303" s="329" t="s">
        <v>100</v>
      </c>
      <c r="F1303" s="341" t="s">
        <v>532</v>
      </c>
      <c r="G1303" s="220" t="s">
        <v>26</v>
      </c>
      <c r="H1303" s="221">
        <v>2017</v>
      </c>
      <c r="I1303" s="240"/>
      <c r="J1303" s="377">
        <v>35.5</v>
      </c>
      <c r="K1303" s="382" t="s">
        <v>528</v>
      </c>
      <c r="L1303" s="383">
        <f t="shared" si="809"/>
        <v>3.5500000000000004E-2</v>
      </c>
      <c r="M1303" s="225" t="str">
        <f>CONCATENATE("t CO2-eq/ ",IF('[1]Advanced Controls'!$F$169="Implementation",AdoptionUnitOfMeasure,FunctionalUnitOfMeasure))</f>
        <v>t CO2-eq/ kg of protein</v>
      </c>
      <c r="N1303" s="227"/>
      <c r="O1303" s="227" t="s">
        <v>750</v>
      </c>
      <c r="P1303" s="122"/>
      <c r="Q1303" s="228"/>
      <c r="R1303" s="231">
        <f t="shared" si="806"/>
        <v>3.5500000000000004E-2</v>
      </c>
      <c r="S1303" s="230">
        <f t="shared" si="804"/>
        <v>3.5500000000000004E-2</v>
      </c>
      <c r="T1303" s="231">
        <f t="shared" si="807"/>
        <v>0</v>
      </c>
      <c r="U1303" s="232" t="str">
        <f t="shared" si="805"/>
        <v>t CO2-eq/ kg of protein</v>
      </c>
      <c r="V1303" s="28"/>
      <c r="W1303" s="28"/>
      <c r="Y1303" s="91"/>
      <c r="AO1303" s="91"/>
      <c r="AP1303" s="28"/>
      <c r="AQ1303" s="28"/>
      <c r="AR1303" s="237"/>
      <c r="AS1303" s="28"/>
      <c r="AT1303" s="304" t="str">
        <f t="shared" si="794"/>
        <v/>
      </c>
      <c r="AU1303" s="304" t="str">
        <f t="shared" si="794"/>
        <v/>
      </c>
      <c r="AV1303" s="28"/>
      <c r="AW1303" s="304" t="str">
        <f t="shared" si="783"/>
        <v/>
      </c>
      <c r="AX1303" s="304" t="str">
        <f t="shared" si="783"/>
        <v/>
      </c>
      <c r="AY1303" s="28"/>
      <c r="AZ1303" s="304" t="str">
        <f t="shared" si="784"/>
        <v/>
      </c>
      <c r="BA1303" s="304" t="str">
        <f t="shared" si="784"/>
        <v/>
      </c>
      <c r="BB1303" s="28"/>
      <c r="BC1303" s="304" t="str">
        <f t="shared" si="785"/>
        <v/>
      </c>
      <c r="BD1303" s="304" t="str">
        <f t="shared" si="785"/>
        <v/>
      </c>
      <c r="BE1303" s="28"/>
      <c r="BF1303" s="304" t="str">
        <f t="shared" si="786"/>
        <v/>
      </c>
      <c r="BG1303" s="304" t="str">
        <f t="shared" si="786"/>
        <v/>
      </c>
      <c r="BH1303" s="28"/>
      <c r="BI1303" s="304">
        <f t="shared" si="787"/>
        <v>3.5500000000000004E-2</v>
      </c>
      <c r="BJ1303" s="304">
        <f t="shared" si="787"/>
        <v>3.5500000000000004E-2</v>
      </c>
      <c r="BK1303" s="28"/>
      <c r="BL1303" s="304" t="str">
        <f t="shared" si="788"/>
        <v/>
      </c>
      <c r="BM1303" s="304" t="str">
        <f t="shared" si="788"/>
        <v/>
      </c>
      <c r="BN1303" s="28"/>
      <c r="BO1303" s="304" t="str">
        <f t="shared" si="789"/>
        <v/>
      </c>
      <c r="BP1303" s="304" t="str">
        <f t="shared" si="789"/>
        <v/>
      </c>
      <c r="BQ1303" s="28"/>
      <c r="BR1303" s="304" t="str">
        <f t="shared" si="790"/>
        <v/>
      </c>
      <c r="BS1303" s="304" t="str">
        <f t="shared" si="790"/>
        <v/>
      </c>
      <c r="BT1303" s="28"/>
      <c r="BU1303" s="304" t="str">
        <f t="shared" si="791"/>
        <v/>
      </c>
      <c r="BV1303" s="304" t="str">
        <f t="shared" si="791"/>
        <v/>
      </c>
      <c r="BW1303" s="28"/>
      <c r="BX1303" s="91"/>
    </row>
    <row r="1304" spans="1:76" s="55" customFormat="1" x14ac:dyDescent="0.25">
      <c r="A1304" s="195">
        <v>79</v>
      </c>
      <c r="B1304" s="216" t="str">
        <f t="shared" si="808"/>
        <v>Latin America: FAO. 2017. Reducing Enteric Methane for improving food security and livelihoods</v>
      </c>
      <c r="C1304" s="219" t="s">
        <v>488</v>
      </c>
      <c r="D1304" s="379" t="s">
        <v>295</v>
      </c>
      <c r="E1304" s="329" t="s">
        <v>100</v>
      </c>
      <c r="F1304" s="341" t="s">
        <v>532</v>
      </c>
      <c r="G1304" s="220" t="s">
        <v>26</v>
      </c>
      <c r="H1304" s="221">
        <v>2017</v>
      </c>
      <c r="I1304" s="240"/>
      <c r="J1304" s="377">
        <v>24.8</v>
      </c>
      <c r="K1304" s="382" t="s">
        <v>528</v>
      </c>
      <c r="L1304" s="383">
        <f t="shared" si="809"/>
        <v>2.4800000000000003E-2</v>
      </c>
      <c r="M1304" s="225" t="str">
        <f>CONCATENATE("t CO2-eq/ ",IF('[1]Advanced Controls'!$F$169="Implementation",AdoptionUnitOfMeasure,FunctionalUnitOfMeasure))</f>
        <v>t CO2-eq/ kg of protein</v>
      </c>
      <c r="N1304" s="227"/>
      <c r="O1304" s="227" t="s">
        <v>751</v>
      </c>
      <c r="P1304" s="122"/>
      <c r="Q1304" s="228"/>
      <c r="R1304" s="231">
        <f t="shared" si="806"/>
        <v>2.4800000000000003E-2</v>
      </c>
      <c r="S1304" s="230">
        <f t="shared" si="804"/>
        <v>2.4800000000000003E-2</v>
      </c>
      <c r="T1304" s="231">
        <f t="shared" si="807"/>
        <v>0</v>
      </c>
      <c r="U1304" s="232" t="str">
        <f t="shared" si="805"/>
        <v>t CO2-eq/ kg of protein</v>
      </c>
      <c r="V1304" s="28"/>
      <c r="W1304" s="28"/>
      <c r="Y1304" s="91"/>
      <c r="AO1304" s="91"/>
      <c r="AP1304" s="28"/>
      <c r="AQ1304" s="28"/>
      <c r="AR1304" s="237"/>
      <c r="AS1304" s="28"/>
      <c r="AT1304" s="304" t="str">
        <f t="shared" si="794"/>
        <v/>
      </c>
      <c r="AU1304" s="304" t="str">
        <f t="shared" si="794"/>
        <v/>
      </c>
      <c r="AV1304" s="28"/>
      <c r="AW1304" s="304" t="str">
        <f t="shared" si="783"/>
        <v/>
      </c>
      <c r="AX1304" s="304" t="str">
        <f t="shared" si="783"/>
        <v/>
      </c>
      <c r="AY1304" s="28"/>
      <c r="AZ1304" s="304" t="str">
        <f t="shared" si="784"/>
        <v/>
      </c>
      <c r="BA1304" s="304" t="str">
        <f t="shared" si="784"/>
        <v/>
      </c>
      <c r="BB1304" s="28"/>
      <c r="BC1304" s="304" t="str">
        <f t="shared" si="785"/>
        <v/>
      </c>
      <c r="BD1304" s="304" t="str">
        <f t="shared" si="785"/>
        <v/>
      </c>
      <c r="BE1304" s="28"/>
      <c r="BF1304" s="304" t="str">
        <f t="shared" si="786"/>
        <v/>
      </c>
      <c r="BG1304" s="304" t="str">
        <f t="shared" si="786"/>
        <v/>
      </c>
      <c r="BH1304" s="28"/>
      <c r="BI1304" s="304">
        <f t="shared" si="787"/>
        <v>2.4800000000000003E-2</v>
      </c>
      <c r="BJ1304" s="304">
        <f t="shared" si="787"/>
        <v>2.4800000000000003E-2</v>
      </c>
      <c r="BK1304" s="28"/>
      <c r="BL1304" s="304" t="str">
        <f t="shared" si="788"/>
        <v/>
      </c>
      <c r="BM1304" s="304" t="str">
        <f t="shared" si="788"/>
        <v/>
      </c>
      <c r="BN1304" s="28"/>
      <c r="BO1304" s="304" t="str">
        <f t="shared" si="789"/>
        <v/>
      </c>
      <c r="BP1304" s="304" t="str">
        <f t="shared" si="789"/>
        <v/>
      </c>
      <c r="BQ1304" s="28"/>
      <c r="BR1304" s="304" t="str">
        <f t="shared" si="790"/>
        <v/>
      </c>
      <c r="BS1304" s="304" t="str">
        <f t="shared" si="790"/>
        <v/>
      </c>
      <c r="BT1304" s="28"/>
      <c r="BU1304" s="304" t="str">
        <f t="shared" si="791"/>
        <v/>
      </c>
      <c r="BV1304" s="304" t="str">
        <f t="shared" si="791"/>
        <v/>
      </c>
      <c r="BW1304" s="28"/>
      <c r="BX1304" s="91"/>
    </row>
    <row r="1305" spans="1:76" s="55" customFormat="1" x14ac:dyDescent="0.25">
      <c r="A1305" s="195">
        <v>80</v>
      </c>
      <c r="B1305" s="216" t="str">
        <f t="shared" si="808"/>
        <v>Latin America: FAO. 2017. Reducing Enteric Methane for improving food security and livelihoods</v>
      </c>
      <c r="C1305" s="219" t="s">
        <v>488</v>
      </c>
      <c r="D1305" s="379" t="s">
        <v>295</v>
      </c>
      <c r="E1305" s="329" t="s">
        <v>100</v>
      </c>
      <c r="F1305" s="341" t="s">
        <v>532</v>
      </c>
      <c r="G1305" s="220" t="s">
        <v>26</v>
      </c>
      <c r="H1305" s="221">
        <v>2017</v>
      </c>
      <c r="I1305" s="240"/>
      <c r="J1305" s="377">
        <v>35.5</v>
      </c>
      <c r="K1305" s="382" t="s">
        <v>528</v>
      </c>
      <c r="L1305" s="383">
        <f t="shared" si="809"/>
        <v>3.5500000000000004E-2</v>
      </c>
      <c r="M1305" s="225" t="str">
        <f>CONCATENATE("t CO2-eq/ ",IF('[1]Advanced Controls'!$F$169="Implementation",AdoptionUnitOfMeasure,FunctionalUnitOfMeasure))</f>
        <v>t CO2-eq/ kg of protein</v>
      </c>
      <c r="N1305" s="227"/>
      <c r="O1305" s="227" t="s">
        <v>752</v>
      </c>
      <c r="P1305" s="122"/>
      <c r="Q1305" s="228"/>
      <c r="R1305" s="231">
        <f t="shared" si="806"/>
        <v>3.5500000000000004E-2</v>
      </c>
      <c r="S1305" s="230">
        <f t="shared" si="804"/>
        <v>3.5500000000000004E-2</v>
      </c>
      <c r="T1305" s="231">
        <f t="shared" si="807"/>
        <v>0</v>
      </c>
      <c r="U1305" s="232" t="str">
        <f t="shared" si="805"/>
        <v>t CO2-eq/ kg of protein</v>
      </c>
      <c r="V1305" s="28"/>
      <c r="W1305" s="28"/>
      <c r="Y1305" s="91"/>
      <c r="AO1305" s="91"/>
      <c r="AP1305" s="28"/>
      <c r="AQ1305" s="28"/>
      <c r="AR1305" s="237"/>
      <c r="AS1305" s="28"/>
      <c r="AT1305" s="304" t="str">
        <f t="shared" si="794"/>
        <v/>
      </c>
      <c r="AU1305" s="304" t="str">
        <f t="shared" si="794"/>
        <v/>
      </c>
      <c r="AV1305" s="28"/>
      <c r="AW1305" s="304" t="str">
        <f t="shared" si="783"/>
        <v/>
      </c>
      <c r="AX1305" s="304" t="str">
        <f t="shared" si="783"/>
        <v/>
      </c>
      <c r="AY1305" s="28"/>
      <c r="AZ1305" s="304" t="str">
        <f t="shared" si="784"/>
        <v/>
      </c>
      <c r="BA1305" s="304" t="str">
        <f t="shared" si="784"/>
        <v/>
      </c>
      <c r="BB1305" s="28"/>
      <c r="BC1305" s="304" t="str">
        <f t="shared" si="785"/>
        <v/>
      </c>
      <c r="BD1305" s="304" t="str">
        <f t="shared" si="785"/>
        <v/>
      </c>
      <c r="BE1305" s="28"/>
      <c r="BF1305" s="304" t="str">
        <f t="shared" si="786"/>
        <v/>
      </c>
      <c r="BG1305" s="304" t="str">
        <f t="shared" si="786"/>
        <v/>
      </c>
      <c r="BH1305" s="28"/>
      <c r="BI1305" s="304">
        <f t="shared" si="787"/>
        <v>3.5500000000000004E-2</v>
      </c>
      <c r="BJ1305" s="304">
        <f t="shared" si="787"/>
        <v>3.5500000000000004E-2</v>
      </c>
      <c r="BK1305" s="28"/>
      <c r="BL1305" s="304" t="str">
        <f t="shared" si="788"/>
        <v/>
      </c>
      <c r="BM1305" s="304" t="str">
        <f t="shared" si="788"/>
        <v/>
      </c>
      <c r="BN1305" s="28"/>
      <c r="BO1305" s="304" t="str">
        <f t="shared" si="789"/>
        <v/>
      </c>
      <c r="BP1305" s="304" t="str">
        <f t="shared" si="789"/>
        <v/>
      </c>
      <c r="BQ1305" s="28"/>
      <c r="BR1305" s="304" t="str">
        <f t="shared" si="790"/>
        <v/>
      </c>
      <c r="BS1305" s="304" t="str">
        <f t="shared" si="790"/>
        <v/>
      </c>
      <c r="BT1305" s="28"/>
      <c r="BU1305" s="304" t="str">
        <f t="shared" si="791"/>
        <v/>
      </c>
      <c r="BV1305" s="304" t="str">
        <f t="shared" si="791"/>
        <v/>
      </c>
      <c r="BW1305" s="28"/>
      <c r="BX1305" s="91"/>
    </row>
    <row r="1306" spans="1:76" s="55" customFormat="1" x14ac:dyDescent="0.25">
      <c r="A1306" s="195">
        <v>81</v>
      </c>
      <c r="B1306" s="216" t="str">
        <f t="shared" si="808"/>
        <v>Latin America: FAO. 2017. Reducing Enteric Methane for improving food security and livelihoods</v>
      </c>
      <c r="C1306" s="219" t="s">
        <v>488</v>
      </c>
      <c r="D1306" s="379" t="s">
        <v>295</v>
      </c>
      <c r="E1306" s="329" t="s">
        <v>100</v>
      </c>
      <c r="F1306" s="341" t="s">
        <v>532</v>
      </c>
      <c r="G1306" s="220" t="s">
        <v>26</v>
      </c>
      <c r="H1306" s="221">
        <v>2017</v>
      </c>
      <c r="I1306" s="240"/>
      <c r="J1306" s="377">
        <v>24.8</v>
      </c>
      <c r="K1306" s="382" t="s">
        <v>528</v>
      </c>
      <c r="L1306" s="383">
        <f t="shared" si="809"/>
        <v>2.4800000000000003E-2</v>
      </c>
      <c r="M1306" s="225" t="str">
        <f>CONCATENATE("t CO2-eq/ ",IF('[1]Advanced Controls'!$F$169="Implementation",AdoptionUnitOfMeasure,FunctionalUnitOfMeasure))</f>
        <v>t CO2-eq/ kg of protein</v>
      </c>
      <c r="N1306" s="227"/>
      <c r="O1306" s="227" t="s">
        <v>753</v>
      </c>
      <c r="P1306" s="122"/>
      <c r="Q1306" s="228"/>
      <c r="R1306" s="231">
        <f t="shared" si="806"/>
        <v>2.4800000000000003E-2</v>
      </c>
      <c r="S1306" s="230">
        <f t="shared" si="804"/>
        <v>2.4800000000000003E-2</v>
      </c>
      <c r="T1306" s="231">
        <f t="shared" si="807"/>
        <v>0</v>
      </c>
      <c r="U1306" s="232" t="str">
        <f t="shared" si="805"/>
        <v>t CO2-eq/ kg of protein</v>
      </c>
      <c r="V1306" s="28"/>
      <c r="W1306" s="28"/>
      <c r="Y1306" s="91"/>
      <c r="AO1306" s="91"/>
      <c r="AP1306" s="28"/>
      <c r="AQ1306" s="28"/>
      <c r="AR1306" s="237"/>
      <c r="AS1306" s="28"/>
      <c r="AT1306" s="304" t="str">
        <f t="shared" si="794"/>
        <v/>
      </c>
      <c r="AU1306" s="304" t="str">
        <f t="shared" si="794"/>
        <v/>
      </c>
      <c r="AV1306" s="28"/>
      <c r="AW1306" s="304" t="str">
        <f t="shared" si="783"/>
        <v/>
      </c>
      <c r="AX1306" s="304" t="str">
        <f t="shared" si="783"/>
        <v/>
      </c>
      <c r="AY1306" s="28"/>
      <c r="AZ1306" s="304" t="str">
        <f t="shared" si="784"/>
        <v/>
      </c>
      <c r="BA1306" s="304" t="str">
        <f t="shared" si="784"/>
        <v/>
      </c>
      <c r="BB1306" s="28"/>
      <c r="BC1306" s="304" t="str">
        <f t="shared" si="785"/>
        <v/>
      </c>
      <c r="BD1306" s="304" t="str">
        <f t="shared" si="785"/>
        <v/>
      </c>
      <c r="BE1306" s="28"/>
      <c r="BF1306" s="304" t="str">
        <f t="shared" si="786"/>
        <v/>
      </c>
      <c r="BG1306" s="304" t="str">
        <f t="shared" si="786"/>
        <v/>
      </c>
      <c r="BH1306" s="28"/>
      <c r="BI1306" s="304">
        <f t="shared" si="787"/>
        <v>2.4800000000000003E-2</v>
      </c>
      <c r="BJ1306" s="304">
        <f t="shared" si="787"/>
        <v>2.4800000000000003E-2</v>
      </c>
      <c r="BK1306" s="28"/>
      <c r="BL1306" s="304" t="str">
        <f t="shared" si="788"/>
        <v/>
      </c>
      <c r="BM1306" s="304" t="str">
        <f t="shared" si="788"/>
        <v/>
      </c>
      <c r="BN1306" s="28"/>
      <c r="BO1306" s="304" t="str">
        <f t="shared" si="789"/>
        <v/>
      </c>
      <c r="BP1306" s="304" t="str">
        <f t="shared" si="789"/>
        <v/>
      </c>
      <c r="BQ1306" s="28"/>
      <c r="BR1306" s="304" t="str">
        <f t="shared" si="790"/>
        <v/>
      </c>
      <c r="BS1306" s="304" t="str">
        <f t="shared" si="790"/>
        <v/>
      </c>
      <c r="BT1306" s="28"/>
      <c r="BU1306" s="304" t="str">
        <f t="shared" si="791"/>
        <v/>
      </c>
      <c r="BV1306" s="304" t="str">
        <f t="shared" si="791"/>
        <v/>
      </c>
      <c r="BW1306" s="28"/>
      <c r="BX1306" s="91"/>
    </row>
    <row r="1307" spans="1:76" s="55" customFormat="1" x14ac:dyDescent="0.25">
      <c r="A1307" s="195">
        <v>82</v>
      </c>
      <c r="B1307" s="216" t="str">
        <f t="shared" si="808"/>
        <v>Latin America: FAO. 2017. Reducing Enteric Methane for improving food security and livelihoods</v>
      </c>
      <c r="C1307" s="219" t="s">
        <v>488</v>
      </c>
      <c r="D1307" s="379" t="s">
        <v>295</v>
      </c>
      <c r="E1307" s="329" t="s">
        <v>100</v>
      </c>
      <c r="F1307" s="341" t="s">
        <v>532</v>
      </c>
      <c r="G1307" s="220" t="s">
        <v>26</v>
      </c>
      <c r="H1307" s="221">
        <v>2017</v>
      </c>
      <c r="I1307" s="240"/>
      <c r="J1307" s="377">
        <v>41</v>
      </c>
      <c r="K1307" s="382" t="s">
        <v>528</v>
      </c>
      <c r="L1307" s="383">
        <f t="shared" si="809"/>
        <v>4.1000000000000002E-2</v>
      </c>
      <c r="M1307" s="225" t="str">
        <f>CONCATENATE("t CO2-eq/ ",IF('[1]Advanced Controls'!$F$169="Implementation",AdoptionUnitOfMeasure,FunctionalUnitOfMeasure))</f>
        <v>t CO2-eq/ kg of protein</v>
      </c>
      <c r="N1307" s="227"/>
      <c r="O1307" s="227" t="s">
        <v>754</v>
      </c>
      <c r="P1307" s="122"/>
      <c r="Q1307" s="228"/>
      <c r="R1307" s="231">
        <f t="shared" si="806"/>
        <v>4.1000000000000002E-2</v>
      </c>
      <c r="S1307" s="230">
        <f t="shared" si="804"/>
        <v>4.1000000000000002E-2</v>
      </c>
      <c r="T1307" s="231">
        <f t="shared" si="807"/>
        <v>0</v>
      </c>
      <c r="U1307" s="232" t="str">
        <f t="shared" si="805"/>
        <v>t CO2-eq/ kg of protein</v>
      </c>
      <c r="V1307" s="28"/>
      <c r="W1307" s="28"/>
      <c r="Y1307" s="91"/>
      <c r="AO1307" s="91"/>
      <c r="AP1307" s="28"/>
      <c r="AQ1307" s="28"/>
      <c r="AR1307" s="237"/>
      <c r="AS1307" s="28"/>
      <c r="AT1307" s="304" t="str">
        <f t="shared" si="794"/>
        <v/>
      </c>
      <c r="AU1307" s="304" t="str">
        <f t="shared" si="794"/>
        <v/>
      </c>
      <c r="AV1307" s="28"/>
      <c r="AW1307" s="304" t="str">
        <f t="shared" si="783"/>
        <v/>
      </c>
      <c r="AX1307" s="304" t="str">
        <f t="shared" si="783"/>
        <v/>
      </c>
      <c r="AY1307" s="28"/>
      <c r="AZ1307" s="304" t="str">
        <f t="shared" si="784"/>
        <v/>
      </c>
      <c r="BA1307" s="304" t="str">
        <f t="shared" si="784"/>
        <v/>
      </c>
      <c r="BB1307" s="28"/>
      <c r="BC1307" s="304" t="str">
        <f t="shared" si="785"/>
        <v/>
      </c>
      <c r="BD1307" s="304" t="str">
        <f t="shared" si="785"/>
        <v/>
      </c>
      <c r="BE1307" s="28"/>
      <c r="BF1307" s="304" t="str">
        <f t="shared" si="786"/>
        <v/>
      </c>
      <c r="BG1307" s="304" t="str">
        <f t="shared" si="786"/>
        <v/>
      </c>
      <c r="BH1307" s="28"/>
      <c r="BI1307" s="304">
        <f t="shared" si="787"/>
        <v>4.1000000000000002E-2</v>
      </c>
      <c r="BJ1307" s="304">
        <f t="shared" si="787"/>
        <v>4.1000000000000002E-2</v>
      </c>
      <c r="BK1307" s="28"/>
      <c r="BL1307" s="304" t="str">
        <f t="shared" si="788"/>
        <v/>
      </c>
      <c r="BM1307" s="304" t="str">
        <f t="shared" si="788"/>
        <v/>
      </c>
      <c r="BN1307" s="28"/>
      <c r="BO1307" s="304" t="str">
        <f t="shared" si="789"/>
        <v/>
      </c>
      <c r="BP1307" s="304" t="str">
        <f t="shared" si="789"/>
        <v/>
      </c>
      <c r="BQ1307" s="28"/>
      <c r="BR1307" s="304" t="str">
        <f t="shared" si="790"/>
        <v/>
      </c>
      <c r="BS1307" s="304" t="str">
        <f t="shared" si="790"/>
        <v/>
      </c>
      <c r="BT1307" s="28"/>
      <c r="BU1307" s="304" t="str">
        <f t="shared" si="791"/>
        <v/>
      </c>
      <c r="BV1307" s="304" t="str">
        <f t="shared" si="791"/>
        <v/>
      </c>
      <c r="BW1307" s="28"/>
      <c r="BX1307" s="91"/>
    </row>
    <row r="1308" spans="1:76" s="55" customFormat="1" x14ac:dyDescent="0.25">
      <c r="A1308" s="195">
        <v>83</v>
      </c>
      <c r="B1308" s="216" t="str">
        <f t="shared" si="808"/>
        <v>Latin America: FAO. 2017. Reducing Enteric Methane for improving food security and livelihoods</v>
      </c>
      <c r="C1308" s="219" t="s">
        <v>488</v>
      </c>
      <c r="D1308" s="379" t="s">
        <v>295</v>
      </c>
      <c r="E1308" s="329" t="s">
        <v>100</v>
      </c>
      <c r="F1308" s="341" t="s">
        <v>532</v>
      </c>
      <c r="G1308" s="220" t="s">
        <v>26</v>
      </c>
      <c r="H1308" s="221">
        <v>2017</v>
      </c>
      <c r="I1308" s="240"/>
      <c r="J1308" s="377">
        <v>35.5</v>
      </c>
      <c r="K1308" s="382" t="s">
        <v>528</v>
      </c>
      <c r="L1308" s="383">
        <f t="shared" si="809"/>
        <v>3.5500000000000004E-2</v>
      </c>
      <c r="M1308" s="225" t="str">
        <f>CONCATENATE("t CO2-eq/ ",IF('[1]Advanced Controls'!$F$169="Implementation",AdoptionUnitOfMeasure,FunctionalUnitOfMeasure))</f>
        <v>t CO2-eq/ kg of protein</v>
      </c>
      <c r="N1308" s="227"/>
      <c r="O1308" s="227" t="s">
        <v>755</v>
      </c>
      <c r="P1308" s="122"/>
      <c r="Q1308" s="228"/>
      <c r="R1308" s="231">
        <f t="shared" si="806"/>
        <v>3.5500000000000004E-2</v>
      </c>
      <c r="S1308" s="230">
        <f t="shared" si="804"/>
        <v>3.5500000000000004E-2</v>
      </c>
      <c r="T1308" s="231">
        <f t="shared" si="807"/>
        <v>0</v>
      </c>
      <c r="U1308" s="232" t="str">
        <f t="shared" si="805"/>
        <v>t CO2-eq/ kg of protein</v>
      </c>
      <c r="V1308" s="28"/>
      <c r="W1308" s="28"/>
      <c r="Y1308" s="91"/>
      <c r="AO1308" s="91"/>
      <c r="AP1308" s="28"/>
      <c r="AQ1308" s="28"/>
      <c r="AR1308" s="237"/>
      <c r="AS1308" s="28"/>
      <c r="AT1308" s="304" t="str">
        <f t="shared" si="794"/>
        <v/>
      </c>
      <c r="AU1308" s="304" t="str">
        <f t="shared" si="794"/>
        <v/>
      </c>
      <c r="AV1308" s="28"/>
      <c r="AW1308" s="304" t="str">
        <f t="shared" si="783"/>
        <v/>
      </c>
      <c r="AX1308" s="304" t="str">
        <f t="shared" si="783"/>
        <v/>
      </c>
      <c r="AY1308" s="28"/>
      <c r="AZ1308" s="304" t="str">
        <f t="shared" si="784"/>
        <v/>
      </c>
      <c r="BA1308" s="304" t="str">
        <f t="shared" si="784"/>
        <v/>
      </c>
      <c r="BB1308" s="28"/>
      <c r="BC1308" s="304" t="str">
        <f t="shared" si="785"/>
        <v/>
      </c>
      <c r="BD1308" s="304" t="str">
        <f t="shared" si="785"/>
        <v/>
      </c>
      <c r="BE1308" s="28"/>
      <c r="BF1308" s="304" t="str">
        <f t="shared" si="786"/>
        <v/>
      </c>
      <c r="BG1308" s="304" t="str">
        <f t="shared" si="786"/>
        <v/>
      </c>
      <c r="BH1308" s="28"/>
      <c r="BI1308" s="304">
        <f t="shared" si="787"/>
        <v>3.5500000000000004E-2</v>
      </c>
      <c r="BJ1308" s="304">
        <f t="shared" si="787"/>
        <v>3.5500000000000004E-2</v>
      </c>
      <c r="BK1308" s="28"/>
      <c r="BL1308" s="304" t="str">
        <f t="shared" si="788"/>
        <v/>
      </c>
      <c r="BM1308" s="304" t="str">
        <f t="shared" si="788"/>
        <v/>
      </c>
      <c r="BN1308" s="28"/>
      <c r="BO1308" s="304" t="str">
        <f t="shared" si="789"/>
        <v/>
      </c>
      <c r="BP1308" s="304" t="str">
        <f t="shared" si="789"/>
        <v/>
      </c>
      <c r="BQ1308" s="28"/>
      <c r="BR1308" s="304" t="str">
        <f t="shared" si="790"/>
        <v/>
      </c>
      <c r="BS1308" s="304" t="str">
        <f t="shared" si="790"/>
        <v/>
      </c>
      <c r="BT1308" s="28"/>
      <c r="BU1308" s="304" t="str">
        <f t="shared" si="791"/>
        <v/>
      </c>
      <c r="BV1308" s="304" t="str">
        <f t="shared" si="791"/>
        <v/>
      </c>
      <c r="BW1308" s="28"/>
      <c r="BX1308" s="91"/>
    </row>
    <row r="1309" spans="1:76" s="55" customFormat="1" x14ac:dyDescent="0.25">
      <c r="A1309" s="195">
        <v>84</v>
      </c>
      <c r="B1309" s="216" t="str">
        <f t="shared" si="808"/>
        <v>Latin America: FAO. 2017. Reducing Enteric Methane for improving food security and livelihoods</v>
      </c>
      <c r="C1309" s="219" t="s">
        <v>488</v>
      </c>
      <c r="D1309" s="379" t="s">
        <v>295</v>
      </c>
      <c r="E1309" s="329" t="s">
        <v>100</v>
      </c>
      <c r="F1309" s="341" t="s">
        <v>532</v>
      </c>
      <c r="G1309" s="220" t="s">
        <v>26</v>
      </c>
      <c r="H1309" s="221">
        <v>2017</v>
      </c>
      <c r="I1309" s="240"/>
      <c r="J1309" s="377">
        <v>24.8</v>
      </c>
      <c r="K1309" s="382" t="s">
        <v>528</v>
      </c>
      <c r="L1309" s="383">
        <f t="shared" si="809"/>
        <v>2.4800000000000003E-2</v>
      </c>
      <c r="M1309" s="225" t="str">
        <f>CONCATENATE("t CO2-eq/ ",IF('[1]Advanced Controls'!$F$169="Implementation",AdoptionUnitOfMeasure,FunctionalUnitOfMeasure))</f>
        <v>t CO2-eq/ kg of protein</v>
      </c>
      <c r="N1309" s="227"/>
      <c r="O1309" s="227" t="s">
        <v>756</v>
      </c>
      <c r="P1309" s="122"/>
      <c r="Q1309" s="228"/>
      <c r="R1309" s="231">
        <f t="shared" si="806"/>
        <v>2.4800000000000003E-2</v>
      </c>
      <c r="S1309" s="230">
        <f t="shared" si="804"/>
        <v>2.4800000000000003E-2</v>
      </c>
      <c r="T1309" s="231">
        <f t="shared" si="807"/>
        <v>0</v>
      </c>
      <c r="U1309" s="232" t="str">
        <f t="shared" si="805"/>
        <v>t CO2-eq/ kg of protein</v>
      </c>
      <c r="V1309" s="28"/>
      <c r="W1309" s="28"/>
      <c r="Y1309" s="91"/>
      <c r="AO1309" s="91"/>
      <c r="AP1309" s="28"/>
      <c r="AQ1309" s="28"/>
      <c r="AR1309" s="237"/>
      <c r="AS1309" s="28"/>
      <c r="AT1309" s="304" t="str">
        <f t="shared" si="794"/>
        <v/>
      </c>
      <c r="AU1309" s="304" t="str">
        <f t="shared" si="794"/>
        <v/>
      </c>
      <c r="AV1309" s="28"/>
      <c r="AW1309" s="304" t="str">
        <f t="shared" si="783"/>
        <v/>
      </c>
      <c r="AX1309" s="304" t="str">
        <f t="shared" si="783"/>
        <v/>
      </c>
      <c r="AY1309" s="28"/>
      <c r="AZ1309" s="304" t="str">
        <f t="shared" si="784"/>
        <v/>
      </c>
      <c r="BA1309" s="304" t="str">
        <f t="shared" si="784"/>
        <v/>
      </c>
      <c r="BB1309" s="28"/>
      <c r="BC1309" s="304" t="str">
        <f t="shared" si="785"/>
        <v/>
      </c>
      <c r="BD1309" s="304" t="str">
        <f t="shared" si="785"/>
        <v/>
      </c>
      <c r="BE1309" s="28"/>
      <c r="BF1309" s="304" t="str">
        <f t="shared" si="786"/>
        <v/>
      </c>
      <c r="BG1309" s="304" t="str">
        <f t="shared" si="786"/>
        <v/>
      </c>
      <c r="BH1309" s="28"/>
      <c r="BI1309" s="304">
        <f t="shared" si="787"/>
        <v>2.4800000000000003E-2</v>
      </c>
      <c r="BJ1309" s="304">
        <f t="shared" si="787"/>
        <v>2.4800000000000003E-2</v>
      </c>
      <c r="BK1309" s="28"/>
      <c r="BL1309" s="304" t="str">
        <f t="shared" si="788"/>
        <v/>
      </c>
      <c r="BM1309" s="304" t="str">
        <f t="shared" si="788"/>
        <v/>
      </c>
      <c r="BN1309" s="28"/>
      <c r="BO1309" s="304" t="str">
        <f t="shared" si="789"/>
        <v/>
      </c>
      <c r="BP1309" s="304" t="str">
        <f t="shared" si="789"/>
        <v/>
      </c>
      <c r="BQ1309" s="28"/>
      <c r="BR1309" s="304" t="str">
        <f t="shared" si="790"/>
        <v/>
      </c>
      <c r="BS1309" s="304" t="str">
        <f t="shared" si="790"/>
        <v/>
      </c>
      <c r="BT1309" s="28"/>
      <c r="BU1309" s="304" t="str">
        <f t="shared" si="791"/>
        <v/>
      </c>
      <c r="BV1309" s="304" t="str">
        <f t="shared" si="791"/>
        <v/>
      </c>
      <c r="BW1309" s="28"/>
      <c r="BX1309" s="91"/>
    </row>
    <row r="1310" spans="1:76" s="55" customFormat="1" x14ac:dyDescent="0.25">
      <c r="A1310" s="195">
        <v>85</v>
      </c>
      <c r="B1310" s="216" t="str">
        <f t="shared" si="808"/>
        <v xml:space="preserve">: </v>
      </c>
      <c r="C1310" s="221"/>
      <c r="D1310" s="221"/>
      <c r="E1310" s="221"/>
      <c r="F1310" s="221"/>
      <c r="G1310" s="240"/>
      <c r="H1310" s="221"/>
      <c r="I1310" s="240"/>
      <c r="J1310" s="241"/>
      <c r="K1310" s="241"/>
      <c r="L1310" s="241"/>
      <c r="M1310" s="225" t="str">
        <f>CONCATENATE("t CO2-eq/ ",IF('[1]Advanced Controls'!$F$169="Implementation",AdoptionUnitOfMeasure,FunctionalUnitOfMeasure))</f>
        <v>t CO2-eq/ kg of protein</v>
      </c>
      <c r="N1310" s="227"/>
      <c r="O1310" s="241"/>
      <c r="P1310" s="122"/>
      <c r="Q1310" s="228"/>
      <c r="R1310" s="231" t="str">
        <f t="shared" si="806"/>
        <v/>
      </c>
      <c r="S1310" s="230" t="str">
        <f>IF(R1310="","",IF($R$1323="Y",T1310,IF(R1310&gt;=$R$1315-$AA$35*$R$1319,IF(R1310&lt;=$R$1315+$AA$35*$R$1319,R1310,""),"")))</f>
        <v/>
      </c>
      <c r="T1310" s="231" t="str">
        <f t="shared" ref="T1310:T1314" si="810">IF(OR(Q1310="Y",IFERROR(R1310&gt;R1397+R1401*$AA$35,0),IFERROR(R1310&lt;R1397-R1401*$AA$35,0)),"",IFERROR(R1310*N1310,""))</f>
        <v/>
      </c>
      <c r="U1310" s="232" t="str">
        <f t="shared" si="805"/>
        <v>t CO2-eq/ kg of protein</v>
      </c>
      <c r="V1310" s="28"/>
      <c r="W1310" s="28"/>
      <c r="Y1310" s="91"/>
      <c r="AO1310" s="91"/>
      <c r="AP1310" s="28"/>
      <c r="AQ1310" s="28"/>
      <c r="AR1310" s="237"/>
      <c r="AS1310" s="28"/>
      <c r="AT1310" s="304" t="str">
        <f t="shared" si="794"/>
        <v/>
      </c>
      <c r="AU1310" s="304" t="str">
        <f t="shared" si="794"/>
        <v/>
      </c>
      <c r="AV1310" s="28"/>
      <c r="AW1310" s="304" t="str">
        <f t="shared" si="783"/>
        <v/>
      </c>
      <c r="AX1310" s="304" t="str">
        <f t="shared" si="783"/>
        <v/>
      </c>
      <c r="AY1310" s="28"/>
      <c r="AZ1310" s="304" t="str">
        <f t="shared" si="784"/>
        <v/>
      </c>
      <c r="BA1310" s="304" t="str">
        <f t="shared" si="784"/>
        <v/>
      </c>
      <c r="BB1310" s="28"/>
      <c r="BC1310" s="304" t="str">
        <f t="shared" si="785"/>
        <v/>
      </c>
      <c r="BD1310" s="304" t="str">
        <f t="shared" si="785"/>
        <v/>
      </c>
      <c r="BE1310" s="28"/>
      <c r="BF1310" s="304" t="str">
        <f t="shared" si="786"/>
        <v/>
      </c>
      <c r="BG1310" s="304" t="str">
        <f t="shared" si="786"/>
        <v/>
      </c>
      <c r="BH1310" s="28"/>
      <c r="BI1310" s="304" t="str">
        <f t="shared" si="787"/>
        <v/>
      </c>
      <c r="BJ1310" s="304" t="str">
        <f t="shared" si="787"/>
        <v/>
      </c>
      <c r="BK1310" s="28"/>
      <c r="BL1310" s="304" t="str">
        <f t="shared" si="788"/>
        <v/>
      </c>
      <c r="BM1310" s="304" t="str">
        <f t="shared" si="788"/>
        <v/>
      </c>
      <c r="BN1310" s="28"/>
      <c r="BO1310" s="304" t="str">
        <f t="shared" si="789"/>
        <v/>
      </c>
      <c r="BP1310" s="304" t="str">
        <f t="shared" si="789"/>
        <v/>
      </c>
      <c r="BQ1310" s="28"/>
      <c r="BR1310" s="304" t="str">
        <f t="shared" si="790"/>
        <v/>
      </c>
      <c r="BS1310" s="304" t="str">
        <f t="shared" si="790"/>
        <v/>
      </c>
      <c r="BT1310" s="28"/>
      <c r="BU1310" s="304" t="str">
        <f t="shared" si="791"/>
        <v/>
      </c>
      <c r="BV1310" s="304" t="str">
        <f t="shared" si="791"/>
        <v/>
      </c>
      <c r="BW1310" s="28"/>
      <c r="BX1310" s="91"/>
    </row>
    <row r="1311" spans="1:76" s="55" customFormat="1" x14ac:dyDescent="0.25">
      <c r="A1311" s="195">
        <v>86</v>
      </c>
      <c r="B1311" s="216" t="str">
        <f t="shared" si="808"/>
        <v xml:space="preserve">: </v>
      </c>
      <c r="C1311" s="221"/>
      <c r="D1311" s="221"/>
      <c r="E1311" s="221"/>
      <c r="F1311" s="221"/>
      <c r="G1311" s="240"/>
      <c r="H1311" s="221"/>
      <c r="I1311" s="240"/>
      <c r="J1311" s="241"/>
      <c r="K1311" s="241"/>
      <c r="L1311" s="241"/>
      <c r="M1311" s="225" t="str">
        <f>CONCATENATE("t CO2-eq/ ",IF('[1]Advanced Controls'!$F$169="Implementation",AdoptionUnitOfMeasure,FunctionalUnitOfMeasure))</f>
        <v>t CO2-eq/ kg of protein</v>
      </c>
      <c r="N1311" s="227"/>
      <c r="O1311" s="241"/>
      <c r="P1311" s="122"/>
      <c r="Q1311" s="228"/>
      <c r="R1311" s="231" t="str">
        <f t="shared" si="806"/>
        <v/>
      </c>
      <c r="S1311" s="230" t="str">
        <f>IF(R1311="","",IF($R$1323="Y",T1311,IF(R1311&gt;=$R$1315-$AA$35*$R$1319,IF(R1311&lt;=$R$1315+$AA$35*$R$1319,R1311,""),"")))</f>
        <v/>
      </c>
      <c r="T1311" s="231" t="str">
        <f t="shared" si="810"/>
        <v/>
      </c>
      <c r="U1311" s="232" t="str">
        <f t="shared" si="805"/>
        <v>t CO2-eq/ kg of protein</v>
      </c>
      <c r="V1311" s="28"/>
      <c r="W1311" s="28"/>
      <c r="Y1311" s="91"/>
      <c r="AO1311" s="91"/>
      <c r="AP1311" s="28"/>
      <c r="AQ1311" s="28"/>
      <c r="AR1311" s="237"/>
      <c r="AS1311" s="28"/>
      <c r="AT1311" s="304" t="str">
        <f t="shared" si="794"/>
        <v/>
      </c>
      <c r="AU1311" s="304" t="str">
        <f t="shared" si="794"/>
        <v/>
      </c>
      <c r="AV1311" s="28"/>
      <c r="AW1311" s="304" t="str">
        <f t="shared" si="783"/>
        <v/>
      </c>
      <c r="AX1311" s="304" t="str">
        <f t="shared" si="783"/>
        <v/>
      </c>
      <c r="AY1311" s="28"/>
      <c r="AZ1311" s="304" t="str">
        <f t="shared" si="784"/>
        <v/>
      </c>
      <c r="BA1311" s="304" t="str">
        <f t="shared" si="784"/>
        <v/>
      </c>
      <c r="BB1311" s="28"/>
      <c r="BC1311" s="304" t="str">
        <f t="shared" si="785"/>
        <v/>
      </c>
      <c r="BD1311" s="304" t="str">
        <f t="shared" si="785"/>
        <v/>
      </c>
      <c r="BE1311" s="28"/>
      <c r="BF1311" s="304" t="str">
        <f t="shared" si="786"/>
        <v/>
      </c>
      <c r="BG1311" s="304" t="str">
        <f t="shared" si="786"/>
        <v/>
      </c>
      <c r="BH1311" s="28"/>
      <c r="BI1311" s="304" t="str">
        <f t="shared" si="787"/>
        <v/>
      </c>
      <c r="BJ1311" s="304" t="str">
        <f t="shared" si="787"/>
        <v/>
      </c>
      <c r="BK1311" s="28"/>
      <c r="BL1311" s="304" t="str">
        <f t="shared" si="788"/>
        <v/>
      </c>
      <c r="BM1311" s="304" t="str">
        <f t="shared" si="788"/>
        <v/>
      </c>
      <c r="BN1311" s="28"/>
      <c r="BO1311" s="304" t="str">
        <f t="shared" si="789"/>
        <v/>
      </c>
      <c r="BP1311" s="304" t="str">
        <f t="shared" si="789"/>
        <v/>
      </c>
      <c r="BQ1311" s="28"/>
      <c r="BR1311" s="304" t="str">
        <f t="shared" si="790"/>
        <v/>
      </c>
      <c r="BS1311" s="304" t="str">
        <f t="shared" si="790"/>
        <v/>
      </c>
      <c r="BT1311" s="28"/>
      <c r="BU1311" s="304" t="str">
        <f t="shared" si="791"/>
        <v/>
      </c>
      <c r="BV1311" s="304" t="str">
        <f t="shared" si="791"/>
        <v/>
      </c>
      <c r="BW1311" s="28"/>
      <c r="BX1311" s="91"/>
    </row>
    <row r="1312" spans="1:76" s="55" customFormat="1" x14ac:dyDescent="0.25">
      <c r="A1312" s="195">
        <v>87</v>
      </c>
      <c r="B1312" s="216" t="str">
        <f t="shared" si="808"/>
        <v xml:space="preserve">: </v>
      </c>
      <c r="C1312" s="221"/>
      <c r="D1312" s="221"/>
      <c r="E1312" s="221"/>
      <c r="F1312" s="221"/>
      <c r="G1312" s="240"/>
      <c r="H1312" s="221"/>
      <c r="I1312" s="240"/>
      <c r="J1312" s="241"/>
      <c r="K1312" s="241"/>
      <c r="L1312" s="241"/>
      <c r="M1312" s="225" t="str">
        <f>CONCATENATE("t CO2-eq/ ",IF('[1]Advanced Controls'!$F$169="Implementation",AdoptionUnitOfMeasure,FunctionalUnitOfMeasure))</f>
        <v>t CO2-eq/ kg of protein</v>
      </c>
      <c r="N1312" s="227"/>
      <c r="O1312" s="241"/>
      <c r="P1312" s="122"/>
      <c r="Q1312" s="228"/>
      <c r="R1312" s="231" t="str">
        <f t="shared" si="806"/>
        <v/>
      </c>
      <c r="S1312" s="230" t="str">
        <f>IF(R1312="","",IF($R$1323="Y",T1312,IF(R1312&gt;=$R$1315-$AA$35*$R$1319,IF(R1312&lt;=$R$1315+$AA$35*$R$1319,R1312,""),"")))</f>
        <v/>
      </c>
      <c r="T1312" s="231" t="str">
        <f t="shared" si="810"/>
        <v/>
      </c>
      <c r="U1312" s="232" t="str">
        <f t="shared" si="805"/>
        <v>t CO2-eq/ kg of protein</v>
      </c>
      <c r="V1312" s="28"/>
      <c r="W1312" s="28"/>
      <c r="Y1312" s="91"/>
      <c r="AO1312" s="91"/>
      <c r="AP1312" s="28"/>
      <c r="AQ1312" s="28"/>
      <c r="AR1312" s="237"/>
      <c r="AS1312" s="28"/>
      <c r="AT1312" s="304" t="str">
        <f t="shared" si="794"/>
        <v/>
      </c>
      <c r="AU1312" s="304" t="str">
        <f t="shared" si="794"/>
        <v/>
      </c>
      <c r="AV1312" s="28"/>
      <c r="AW1312" s="304" t="str">
        <f t="shared" si="783"/>
        <v/>
      </c>
      <c r="AX1312" s="304" t="str">
        <f t="shared" si="783"/>
        <v/>
      </c>
      <c r="AY1312" s="28"/>
      <c r="AZ1312" s="304" t="str">
        <f t="shared" si="784"/>
        <v/>
      </c>
      <c r="BA1312" s="304" t="str">
        <f t="shared" si="784"/>
        <v/>
      </c>
      <c r="BB1312" s="28"/>
      <c r="BC1312" s="304" t="str">
        <f t="shared" si="785"/>
        <v/>
      </c>
      <c r="BD1312" s="304" t="str">
        <f t="shared" si="785"/>
        <v/>
      </c>
      <c r="BE1312" s="28"/>
      <c r="BF1312" s="304" t="str">
        <f t="shared" si="786"/>
        <v/>
      </c>
      <c r="BG1312" s="304" t="str">
        <f t="shared" si="786"/>
        <v/>
      </c>
      <c r="BH1312" s="28"/>
      <c r="BI1312" s="304" t="str">
        <f t="shared" si="787"/>
        <v/>
      </c>
      <c r="BJ1312" s="304" t="str">
        <f t="shared" si="787"/>
        <v/>
      </c>
      <c r="BK1312" s="28"/>
      <c r="BL1312" s="304" t="str">
        <f t="shared" si="788"/>
        <v/>
      </c>
      <c r="BM1312" s="304" t="str">
        <f t="shared" si="788"/>
        <v/>
      </c>
      <c r="BN1312" s="28"/>
      <c r="BO1312" s="304" t="str">
        <f t="shared" si="789"/>
        <v/>
      </c>
      <c r="BP1312" s="304" t="str">
        <f t="shared" si="789"/>
        <v/>
      </c>
      <c r="BQ1312" s="28"/>
      <c r="BR1312" s="304" t="str">
        <f t="shared" si="790"/>
        <v/>
      </c>
      <c r="BS1312" s="304" t="str">
        <f t="shared" si="790"/>
        <v/>
      </c>
      <c r="BT1312" s="28"/>
      <c r="BU1312" s="304" t="str">
        <f t="shared" si="791"/>
        <v/>
      </c>
      <c r="BV1312" s="304" t="str">
        <f t="shared" si="791"/>
        <v/>
      </c>
      <c r="BW1312" s="28"/>
      <c r="BX1312" s="91"/>
    </row>
    <row r="1313" spans="1:76" s="55" customFormat="1" x14ac:dyDescent="0.25">
      <c r="A1313" s="195">
        <v>88</v>
      </c>
      <c r="B1313" s="216" t="str">
        <f t="shared" si="808"/>
        <v xml:space="preserve">: </v>
      </c>
      <c r="C1313" s="221"/>
      <c r="D1313" s="221"/>
      <c r="E1313" s="221"/>
      <c r="F1313" s="221"/>
      <c r="G1313" s="240"/>
      <c r="H1313" s="221"/>
      <c r="I1313" s="240"/>
      <c r="J1313" s="241"/>
      <c r="K1313" s="241"/>
      <c r="L1313" s="241"/>
      <c r="M1313" s="225" t="str">
        <f>CONCATENATE("t CO2-eq/ ",IF('[1]Advanced Controls'!$F$169="Implementation",AdoptionUnitOfMeasure,FunctionalUnitOfMeasure))</f>
        <v>t CO2-eq/ kg of protein</v>
      </c>
      <c r="N1313" s="227"/>
      <c r="O1313" s="241"/>
      <c r="P1313" s="122"/>
      <c r="Q1313" s="228"/>
      <c r="R1313" s="231" t="str">
        <f t="shared" si="806"/>
        <v/>
      </c>
      <c r="S1313" s="230" t="str">
        <f>IF(R1313="","",IF($R$1323="Y",T1313,IF(R1313&gt;=$R$1315-$AA$35*$R$1319,IF(R1313&lt;=$R$1315+$AA$35*$R$1319,R1313,""),"")))</f>
        <v/>
      </c>
      <c r="T1313" s="231" t="str">
        <f t="shared" si="810"/>
        <v/>
      </c>
      <c r="U1313" s="232" t="str">
        <f t="shared" si="805"/>
        <v>t CO2-eq/ kg of protein</v>
      </c>
      <c r="V1313" s="28"/>
      <c r="W1313" s="28"/>
      <c r="Y1313" s="91"/>
      <c r="AO1313" s="91"/>
      <c r="AP1313" s="28"/>
      <c r="AQ1313" s="28"/>
      <c r="AR1313" s="237"/>
      <c r="AS1313" s="28"/>
      <c r="AT1313" s="304" t="str">
        <f t="shared" si="794"/>
        <v/>
      </c>
      <c r="AU1313" s="304" t="str">
        <f t="shared" si="794"/>
        <v/>
      </c>
      <c r="AV1313" s="28"/>
      <c r="AW1313" s="304" t="str">
        <f t="shared" si="783"/>
        <v/>
      </c>
      <c r="AX1313" s="304" t="str">
        <f t="shared" si="783"/>
        <v/>
      </c>
      <c r="AY1313" s="28"/>
      <c r="AZ1313" s="304" t="str">
        <f t="shared" si="784"/>
        <v/>
      </c>
      <c r="BA1313" s="304" t="str">
        <f t="shared" si="784"/>
        <v/>
      </c>
      <c r="BB1313" s="28"/>
      <c r="BC1313" s="304" t="str">
        <f t="shared" si="785"/>
        <v/>
      </c>
      <c r="BD1313" s="304" t="str">
        <f t="shared" si="785"/>
        <v/>
      </c>
      <c r="BE1313" s="28"/>
      <c r="BF1313" s="304" t="str">
        <f t="shared" si="786"/>
        <v/>
      </c>
      <c r="BG1313" s="304" t="str">
        <f t="shared" si="786"/>
        <v/>
      </c>
      <c r="BH1313" s="28"/>
      <c r="BI1313" s="304" t="str">
        <f t="shared" si="787"/>
        <v/>
      </c>
      <c r="BJ1313" s="304" t="str">
        <f t="shared" si="787"/>
        <v/>
      </c>
      <c r="BK1313" s="28"/>
      <c r="BL1313" s="304" t="str">
        <f t="shared" si="788"/>
        <v/>
      </c>
      <c r="BM1313" s="304" t="str">
        <f t="shared" si="788"/>
        <v/>
      </c>
      <c r="BN1313" s="28"/>
      <c r="BO1313" s="304" t="str">
        <f t="shared" si="789"/>
        <v/>
      </c>
      <c r="BP1313" s="304" t="str">
        <f t="shared" si="789"/>
        <v/>
      </c>
      <c r="BQ1313" s="28"/>
      <c r="BR1313" s="304" t="str">
        <f t="shared" si="790"/>
        <v/>
      </c>
      <c r="BS1313" s="304" t="str">
        <f t="shared" si="790"/>
        <v/>
      </c>
      <c r="BT1313" s="28"/>
      <c r="BU1313" s="304" t="str">
        <f t="shared" si="791"/>
        <v/>
      </c>
      <c r="BV1313" s="304" t="str">
        <f t="shared" si="791"/>
        <v/>
      </c>
      <c r="BW1313" s="28"/>
      <c r="BX1313" s="91"/>
    </row>
    <row r="1314" spans="1:76" s="55" customFormat="1" x14ac:dyDescent="0.25">
      <c r="A1314" s="195">
        <v>89</v>
      </c>
      <c r="B1314" s="216" t="str">
        <f t="shared" si="808"/>
        <v xml:space="preserve">: </v>
      </c>
      <c r="C1314" s="221"/>
      <c r="D1314" s="221"/>
      <c r="E1314" s="221"/>
      <c r="F1314" s="221"/>
      <c r="G1314" s="240"/>
      <c r="H1314" s="221"/>
      <c r="I1314" s="240"/>
      <c r="J1314" s="241"/>
      <c r="K1314" s="241"/>
      <c r="L1314" s="241"/>
      <c r="M1314" s="225" t="str">
        <f>CONCATENATE("t CO2-eq/ ",IF('[1]Advanced Controls'!$F$169="Implementation",AdoptionUnitOfMeasure,FunctionalUnitOfMeasure))</f>
        <v>t CO2-eq/ kg of protein</v>
      </c>
      <c r="N1314" s="227"/>
      <c r="O1314" s="241"/>
      <c r="P1314" s="122"/>
      <c r="Q1314" s="228"/>
      <c r="R1314" s="231" t="str">
        <f t="shared" si="806"/>
        <v/>
      </c>
      <c r="S1314" s="230" t="str">
        <f>IF(R1314="","",IF($R$1323="Y",T1314,IF(R1314&gt;=$R$1315-$AA$35*$R$1319,IF(R1314&lt;=$R$1315+$AA$35*$R$1319,R1314,""),"")))</f>
        <v/>
      </c>
      <c r="T1314" s="231" t="str">
        <f t="shared" si="810"/>
        <v/>
      </c>
      <c r="U1314" s="232" t="str">
        <f t="shared" si="805"/>
        <v>t CO2-eq/ kg of protein</v>
      </c>
      <c r="V1314" s="28"/>
      <c r="W1314" s="28"/>
      <c r="Y1314" s="91"/>
      <c r="AO1314" s="91"/>
      <c r="AP1314" s="28"/>
      <c r="AQ1314" s="28"/>
      <c r="AR1314" s="237"/>
      <c r="AS1314" s="28"/>
      <c r="AT1314" s="304" t="str">
        <f t="shared" si="794"/>
        <v/>
      </c>
      <c r="AU1314" s="304" t="str">
        <f t="shared" si="794"/>
        <v/>
      </c>
      <c r="AV1314" s="28"/>
      <c r="AW1314" s="304" t="str">
        <f t="shared" si="783"/>
        <v/>
      </c>
      <c r="AX1314" s="304" t="str">
        <f t="shared" si="783"/>
        <v/>
      </c>
      <c r="AY1314" s="28"/>
      <c r="AZ1314" s="304" t="str">
        <f t="shared" si="784"/>
        <v/>
      </c>
      <c r="BA1314" s="304" t="str">
        <f t="shared" si="784"/>
        <v/>
      </c>
      <c r="BB1314" s="28"/>
      <c r="BC1314" s="304" t="str">
        <f t="shared" si="785"/>
        <v/>
      </c>
      <c r="BD1314" s="304" t="str">
        <f t="shared" si="785"/>
        <v/>
      </c>
      <c r="BE1314" s="28"/>
      <c r="BF1314" s="304" t="str">
        <f t="shared" si="786"/>
        <v/>
      </c>
      <c r="BG1314" s="304" t="str">
        <f t="shared" si="786"/>
        <v/>
      </c>
      <c r="BH1314" s="28"/>
      <c r="BI1314" s="304" t="str">
        <f t="shared" si="787"/>
        <v/>
      </c>
      <c r="BJ1314" s="304" t="str">
        <f t="shared" si="787"/>
        <v/>
      </c>
      <c r="BK1314" s="28"/>
      <c r="BL1314" s="304" t="str">
        <f t="shared" si="788"/>
        <v/>
      </c>
      <c r="BM1314" s="304" t="str">
        <f t="shared" si="788"/>
        <v/>
      </c>
      <c r="BN1314" s="28"/>
      <c r="BO1314" s="304" t="str">
        <f t="shared" si="789"/>
        <v/>
      </c>
      <c r="BP1314" s="304" t="str">
        <f t="shared" si="789"/>
        <v/>
      </c>
      <c r="BQ1314" s="28"/>
      <c r="BR1314" s="304" t="str">
        <f t="shared" si="790"/>
        <v/>
      </c>
      <c r="BS1314" s="304" t="str">
        <f t="shared" si="790"/>
        <v/>
      </c>
      <c r="BT1314" s="28"/>
      <c r="BU1314" s="304" t="str">
        <f t="shared" si="791"/>
        <v/>
      </c>
      <c r="BV1314" s="304" t="str">
        <f t="shared" si="791"/>
        <v/>
      </c>
      <c r="BW1314" s="28"/>
      <c r="BX1314" s="91"/>
    </row>
    <row r="1315" spans="1:76" s="55" customFormat="1" x14ac:dyDescent="0.25">
      <c r="A1315" s="195"/>
      <c r="B1315" s="244" t="s">
        <v>163</v>
      </c>
      <c r="C1315" s="199"/>
      <c r="D1315" s="199"/>
      <c r="E1315" s="199"/>
      <c r="F1315" s="199"/>
      <c r="G1315" s="122"/>
      <c r="H1315" s="28"/>
      <c r="I1315" s="245"/>
      <c r="J1315" s="122"/>
      <c r="K1315" s="122"/>
      <c r="L1315" s="122" t="s">
        <v>134</v>
      </c>
      <c r="M1315" s="122"/>
      <c r="N1315" s="122"/>
      <c r="O1315" s="122"/>
      <c r="P1315" s="122"/>
      <c r="Q1315" s="305" t="s">
        <v>136</v>
      </c>
      <c r="R1315" s="246">
        <f>AVERAGE(R1226:R1314)</f>
        <v>1.077228422619048E-2</v>
      </c>
      <c r="S1315" s="247">
        <f>IF(R1323="Y",SUM(S1226:S1314)/SUMPRODUCT(N1226:N1314,--ISNUMBER(S1226:S1314)),AVERAGE(S1226:S1314))</f>
        <v>1.077228422619048E-2</v>
      </c>
      <c r="T1315" s="248" t="e">
        <f>SUM(T1226:T1314)/SUMPRODUCT(N1226:N1314,--ISNUMBER(T1226:T1314))</f>
        <v>#DIV/0!</v>
      </c>
      <c r="U1315" s="28"/>
      <c r="V1315" s="28"/>
      <c r="W1315" s="28"/>
      <c r="Y1315" s="249"/>
      <c r="AO1315" s="91"/>
      <c r="AP1315" s="28"/>
      <c r="AQ1315" s="28"/>
      <c r="AR1315" s="28"/>
      <c r="AS1315" s="245" t="s">
        <v>136</v>
      </c>
      <c r="AT1315" s="307" t="e">
        <f>AVERAGE(AT1226:AT1314)</f>
        <v>#DIV/0!</v>
      </c>
      <c r="AU1315" s="307" t="e">
        <f>SUM(AU1226:AU1314)/COUNTIF(AU1226:AU1314,"&gt;0")</f>
        <v>#DIV/0!</v>
      </c>
      <c r="AV1315" s="245"/>
      <c r="AW1315" s="307" t="e">
        <f>AVERAGE(AW1226:AW1314)</f>
        <v>#DIV/0!</v>
      </c>
      <c r="AX1315" s="307" t="e">
        <f>SUM(AX1226:AX1314)/COUNTIF(AX1226:AX1314,"&gt;0")</f>
        <v>#DIV/0!</v>
      </c>
      <c r="AY1315" s="28"/>
      <c r="AZ1315" s="307" t="e">
        <f>AVERAGE(AZ1226:AZ1314)</f>
        <v>#DIV/0!</v>
      </c>
      <c r="BA1315" s="307" t="e">
        <f>SUM(BA1226:BA1314)/COUNTIF(BA1226:BA1314,"&gt;0")</f>
        <v>#DIV/0!</v>
      </c>
      <c r="BB1315" s="28"/>
      <c r="BC1315" s="307">
        <f>AVERAGE(BC1226:BC1314)</f>
        <v>5.7156249999999992E-2</v>
      </c>
      <c r="BD1315" s="307">
        <f>SUM(BD1226:BD1314)/COUNTIF(BD1226:BD1314,"&gt;0")</f>
        <v>5.7156249999999992E-2</v>
      </c>
      <c r="BE1315" s="28"/>
      <c r="BF1315" s="307" t="e">
        <f>AVERAGE(BF1226:BF1314)</f>
        <v>#DIV/0!</v>
      </c>
      <c r="BG1315" s="307" t="e">
        <f>SUM(BG1226:BG1314)/COUNTIF(BG1226:BG1314,"&gt;0")</f>
        <v>#DIV/0!</v>
      </c>
      <c r="BH1315" s="28"/>
      <c r="BI1315" s="307">
        <f>AVERAGE(BI1226:BI1314)</f>
        <v>2.088541666666667E-2</v>
      </c>
      <c r="BJ1315" s="307">
        <f>SUM(BJ1226:BJ1314)/COUNTIF(BJ1226:BJ1314,"&gt;0")</f>
        <v>2.088541666666667E-2</v>
      </c>
      <c r="BK1315" s="245"/>
      <c r="BL1315" s="307" t="e">
        <f>AVERAGE(BL1226:BL1314)</f>
        <v>#DIV/0!</v>
      </c>
      <c r="BM1315" s="307" t="e">
        <f>SUM(BM1226:BM1314)/COUNTIF(BM1226:BM1314,"&gt;0")</f>
        <v>#DIV/0!</v>
      </c>
      <c r="BN1315" s="28"/>
      <c r="BO1315" s="307" t="e">
        <f>AVERAGE(BO1226:BO1314)</f>
        <v>#DIV/0!</v>
      </c>
      <c r="BP1315" s="307" t="e">
        <f>SUM(BP1226:BP1314)/COUNTIF(BP1226:BP1314,"&gt;0")</f>
        <v>#DIV/0!</v>
      </c>
      <c r="BQ1315" s="28"/>
      <c r="BR1315" s="307" t="e">
        <f>AVERAGE(BR1226:BR1314)</f>
        <v>#DIV/0!</v>
      </c>
      <c r="BS1315" s="307" t="e">
        <f>SUM(BS1226:BS1314)/COUNTIF(BS1226:BS1314,"&gt;0")</f>
        <v>#DIV/0!</v>
      </c>
      <c r="BT1315" s="28"/>
      <c r="BU1315" s="307" t="e">
        <f>AVERAGE(BU1226:BU1314)</f>
        <v>#DIV/0!</v>
      </c>
      <c r="BV1315" s="307" t="e">
        <f>SUM(BV1226:BV1314)/COUNTIF(BV1226:BV1314,"&gt;0")</f>
        <v>#DIV/0!</v>
      </c>
      <c r="BW1315" s="28"/>
      <c r="BX1315" s="91"/>
    </row>
    <row r="1316" spans="1:76" s="55" customFormat="1" x14ac:dyDescent="0.25">
      <c r="A1316" s="195"/>
      <c r="B1316" s="244" t="s">
        <v>164</v>
      </c>
      <c r="C1316" s="199" t="s">
        <v>139</v>
      </c>
      <c r="D1316" s="252" t="s">
        <v>689</v>
      </c>
      <c r="E1316" s="253"/>
      <c r="F1316" s="253"/>
      <c r="G1316" s="253"/>
      <c r="H1316" s="253"/>
      <c r="I1316" s="253"/>
      <c r="J1316" s="254"/>
      <c r="K1316" s="122"/>
      <c r="L1316" s="122"/>
      <c r="M1316" s="122"/>
      <c r="N1316" s="122"/>
      <c r="O1316" s="122"/>
      <c r="P1316" s="122"/>
      <c r="Q1316" s="306" t="s">
        <v>144</v>
      </c>
      <c r="R1316" s="257">
        <f>R1315+U1316*R1319</f>
        <v>2.5847866829749405E-2</v>
      </c>
      <c r="S1316" s="257">
        <f>S1315+U1316*S1319</f>
        <v>2.5847866829749405E-2</v>
      </c>
      <c r="T1316" s="257" t="e">
        <f>T1315+U1316*T1319</f>
        <v>#DIV/0!</v>
      </c>
      <c r="U1316" s="258">
        <v>1</v>
      </c>
      <c r="V1316" s="122" t="s">
        <v>142</v>
      </c>
      <c r="W1316" s="28"/>
      <c r="X1316" s="259" t="s">
        <v>143</v>
      </c>
      <c r="Y1316" s="260"/>
      <c r="AO1316" s="91"/>
      <c r="AP1316" s="28"/>
      <c r="AQ1316" s="28"/>
      <c r="AR1316" s="28"/>
      <c r="AS1316" s="256" t="s">
        <v>144</v>
      </c>
      <c r="AT1316" s="261" t="e">
        <f>AT1315+(AT1321*AT1318)</f>
        <v>#DIV/0!</v>
      </c>
      <c r="AU1316" s="261" t="e">
        <f>AU1315+(AU1321*AT1318)</f>
        <v>#DIV/0!</v>
      </c>
      <c r="AV1316" s="256"/>
      <c r="AW1316" s="261" t="e">
        <f>AW1315+(AW1321*AW1318)</f>
        <v>#DIV/0!</v>
      </c>
      <c r="AX1316" s="261" t="e">
        <f>AX1315+(AX1321*AW1318)</f>
        <v>#DIV/0!</v>
      </c>
      <c r="AY1316" s="28"/>
      <c r="AZ1316" s="261" t="e">
        <f>AZ1315+(AZ1321*AZ1318)</f>
        <v>#DIV/0!</v>
      </c>
      <c r="BA1316" s="261" t="e">
        <f>BA1315+(BA1321*AZ1318)</f>
        <v>#DIV/0!</v>
      </c>
      <c r="BB1316" s="28"/>
      <c r="BC1316" s="261">
        <f>BC1315+(BC1321*BC1318)</f>
        <v>7.9829877602831306E-2</v>
      </c>
      <c r="BD1316" s="261">
        <f>BD1315+(BD1321*BC1318)</f>
        <v>7.9829877602831306E-2</v>
      </c>
      <c r="BE1316" s="28"/>
      <c r="BF1316" s="261" t="e">
        <f>BF1315+(BF1321*BF1318)</f>
        <v>#DIV/0!</v>
      </c>
      <c r="BG1316" s="261" t="e">
        <f>BG1315+(BG1321*BF1318)</f>
        <v>#DIV/0!</v>
      </c>
      <c r="BH1316" s="28"/>
      <c r="BI1316" s="261">
        <f>BI1315+(BI1321*BI1318)</f>
        <v>3.5497602032800044E-2</v>
      </c>
      <c r="BJ1316" s="261">
        <f>BJ1315+(BJ1321*BI1318)</f>
        <v>3.5497602032800044E-2</v>
      </c>
      <c r="BK1316" s="256"/>
      <c r="BL1316" s="261" t="e">
        <f>BL1315+(BL1321*BL1318)</f>
        <v>#DIV/0!</v>
      </c>
      <c r="BM1316" s="261" t="e">
        <f>BM1315+(BM1321*BL1318)</f>
        <v>#DIV/0!</v>
      </c>
      <c r="BN1316" s="28"/>
      <c r="BO1316" s="261" t="e">
        <f>BO1315+(BO1321*BO1318)</f>
        <v>#DIV/0!</v>
      </c>
      <c r="BP1316" s="261" t="e">
        <f>BP1315+(BP1321*BO1318)</f>
        <v>#DIV/0!</v>
      </c>
      <c r="BQ1316" s="28"/>
      <c r="BR1316" s="261" t="e">
        <f>BR1315+(BR1321*BR1318)</f>
        <v>#DIV/0!</v>
      </c>
      <c r="BS1316" s="261" t="e">
        <f>BS1315+(BS1321*BR1318)</f>
        <v>#DIV/0!</v>
      </c>
      <c r="BT1316" s="28"/>
      <c r="BU1316" s="261" t="e">
        <f>BU1315+(BU1321*BU1318)</f>
        <v>#DIV/0!</v>
      </c>
      <c r="BV1316" s="261" t="e">
        <f>BV1315+(BV1321*BU1318)</f>
        <v>#DIV/0!</v>
      </c>
      <c r="BW1316" s="28"/>
      <c r="BX1316" s="91"/>
    </row>
    <row r="1317" spans="1:76" s="55" customFormat="1" x14ac:dyDescent="0.25">
      <c r="A1317" s="195"/>
      <c r="B1317" s="244" t="s">
        <v>165</v>
      </c>
      <c r="C1317" s="195"/>
      <c r="D1317" s="263"/>
      <c r="E1317" s="264"/>
      <c r="F1317" s="264"/>
      <c r="G1317" s="264"/>
      <c r="H1317" s="264"/>
      <c r="I1317" s="264"/>
      <c r="J1317" s="265"/>
      <c r="K1317" s="28"/>
      <c r="L1317" s="28"/>
      <c r="M1317" s="122"/>
      <c r="N1317" s="122"/>
      <c r="O1317" s="122"/>
      <c r="P1317" s="122"/>
      <c r="Q1317" s="306" t="s">
        <v>150</v>
      </c>
      <c r="R1317" s="257">
        <f>IF($X1317="Y",MIN(R1226:R1314),R1315-$U1317*R1319)</f>
        <v>5.0000000000000002E-5</v>
      </c>
      <c r="S1317" s="257">
        <f t="shared" ref="S1317:T1317" si="811">IF($X1317="Y",MIN(S1226:S1314),S1315-$U1317*S1319)</f>
        <v>5.0000000000000002E-5</v>
      </c>
      <c r="T1317" s="257">
        <f t="shared" si="811"/>
        <v>0</v>
      </c>
      <c r="U1317" s="258">
        <v>1</v>
      </c>
      <c r="V1317" s="122" t="s">
        <v>148</v>
      </c>
      <c r="W1317" s="28"/>
      <c r="X1317" s="266" t="s">
        <v>327</v>
      </c>
      <c r="Y1317" s="260"/>
      <c r="AO1317" s="91"/>
      <c r="AP1317" s="28"/>
      <c r="AQ1317" s="28"/>
      <c r="AR1317" s="28"/>
      <c r="AS1317" s="256" t="s">
        <v>150</v>
      </c>
      <c r="AT1317" s="261" t="e">
        <f>AT1315-(AT1321*AT1319)</f>
        <v>#DIV/0!</v>
      </c>
      <c r="AU1317" s="261" t="e">
        <f>AU1315-(AU1321*AT1319)</f>
        <v>#DIV/0!</v>
      </c>
      <c r="AV1317" s="256"/>
      <c r="AW1317" s="261" t="e">
        <f>AW1315-(AW1321*AW1319)</f>
        <v>#DIV/0!</v>
      </c>
      <c r="AX1317" s="261" t="e">
        <f>AX1315-(AX1321*AW1319)</f>
        <v>#DIV/0!</v>
      </c>
      <c r="AY1317" s="28"/>
      <c r="AZ1317" s="261" t="e">
        <f>AZ1315-(AZ1321*AZ1319)</f>
        <v>#DIV/0!</v>
      </c>
      <c r="BA1317" s="261" t="e">
        <f>BA1315-(BA1321*AZ1319)</f>
        <v>#DIV/0!</v>
      </c>
      <c r="BB1317" s="28"/>
      <c r="BC1317" s="261">
        <f>BC1315-(BC1321*BC1319)</f>
        <v>3.448262239716867E-2</v>
      </c>
      <c r="BD1317" s="261">
        <f>BD1315-(BD1321*BC1319)</f>
        <v>3.448262239716867E-2</v>
      </c>
      <c r="BE1317" s="28"/>
      <c r="BF1317" s="261" t="e">
        <f>BF1315-(BF1321*BF1319)</f>
        <v>#DIV/0!</v>
      </c>
      <c r="BG1317" s="261" t="e">
        <f>BG1315-(BG1321*BF1319)</f>
        <v>#DIV/0!</v>
      </c>
      <c r="BH1317" s="28"/>
      <c r="BI1317" s="261">
        <f>BI1315-(BI1321*BI1319)</f>
        <v>6.2732313005332951E-3</v>
      </c>
      <c r="BJ1317" s="261">
        <f>BJ1315-(BJ1321*BI1319)</f>
        <v>6.2732313005332951E-3</v>
      </c>
      <c r="BK1317" s="256"/>
      <c r="BL1317" s="261" t="e">
        <f>BL1315-(BL1321*BL1319)</f>
        <v>#DIV/0!</v>
      </c>
      <c r="BM1317" s="261" t="e">
        <f>BM1315-(BM1321*BL1319)</f>
        <v>#DIV/0!</v>
      </c>
      <c r="BN1317" s="28"/>
      <c r="BO1317" s="261" t="e">
        <f>BO1315-(BO1321*BO1319)</f>
        <v>#DIV/0!</v>
      </c>
      <c r="BP1317" s="261" t="e">
        <f>BP1315-(BP1321*BO1319)</f>
        <v>#DIV/0!</v>
      </c>
      <c r="BQ1317" s="28"/>
      <c r="BR1317" s="261" t="e">
        <f>BR1315-(BR1321*BR1319)</f>
        <v>#DIV/0!</v>
      </c>
      <c r="BS1317" s="261" t="e">
        <f>BS1315-(BS1321*BR1319)</f>
        <v>#DIV/0!</v>
      </c>
      <c r="BT1317" s="28"/>
      <c r="BU1317" s="261" t="e">
        <f>BU1315-(BU1321*BU1319)</f>
        <v>#DIV/0!</v>
      </c>
      <c r="BV1317" s="261" t="e">
        <f>BV1315-(BV1321*BU1319)</f>
        <v>#DIV/0!</v>
      </c>
      <c r="BW1317" s="28"/>
      <c r="BX1317" s="91"/>
    </row>
    <row r="1318" spans="1:76" s="55" customFormat="1" ht="14.25" x14ac:dyDescent="0.2">
      <c r="A1318" s="195"/>
      <c r="B1318" s="196"/>
      <c r="C1318" s="195"/>
      <c r="D1318" s="263"/>
      <c r="E1318" s="264"/>
      <c r="F1318" s="264"/>
      <c r="G1318" s="264"/>
      <c r="H1318" s="264"/>
      <c r="I1318" s="264"/>
      <c r="J1318" s="265"/>
      <c r="K1318" s="122"/>
      <c r="L1318" s="122"/>
      <c r="M1318" s="122"/>
      <c r="N1318" s="122"/>
      <c r="O1318" s="122"/>
      <c r="P1318" s="122"/>
      <c r="Q1318" s="306" t="s">
        <v>151</v>
      </c>
      <c r="R1318" s="257" t="str">
        <f>IF((0.67*R1319)&gt;R1315,"no","yes")</f>
        <v>yes</v>
      </c>
      <c r="S1318" s="257" t="str">
        <f>IF((0.67*S1319)&gt;S1315,"no","yes")</f>
        <v>yes</v>
      </c>
      <c r="T1318" s="257" t="e">
        <f>IF((0.67*T1319)&gt;T1315,"no","yes")</f>
        <v>#DIV/0!</v>
      </c>
      <c r="U1318" s="122"/>
      <c r="V1318" s="122"/>
      <c r="W1318" s="122"/>
      <c r="Y1318" s="260"/>
      <c r="AO1318" s="91"/>
      <c r="AP1318" s="122"/>
      <c r="AQ1318" s="122"/>
      <c r="AR1318" s="267" t="s">
        <v>152</v>
      </c>
      <c r="AS1318" s="268"/>
      <c r="AT1318" s="258">
        <v>1</v>
      </c>
      <c r="AU1318" s="122"/>
      <c r="AV1318" s="308"/>
      <c r="AW1318" s="258">
        <v>1</v>
      </c>
      <c r="AX1318" s="122"/>
      <c r="AY1318" s="122"/>
      <c r="AZ1318" s="258">
        <v>1</v>
      </c>
      <c r="BA1318" s="122"/>
      <c r="BB1318" s="122"/>
      <c r="BC1318" s="258">
        <v>1</v>
      </c>
      <c r="BD1318" s="122"/>
      <c r="BE1318" s="122"/>
      <c r="BF1318" s="258">
        <v>1</v>
      </c>
      <c r="BG1318" s="122"/>
      <c r="BH1318" s="122"/>
      <c r="BI1318" s="258">
        <v>1</v>
      </c>
      <c r="BJ1318" s="122"/>
      <c r="BK1318" s="256"/>
      <c r="BL1318" s="258">
        <v>1</v>
      </c>
      <c r="BM1318" s="122"/>
      <c r="BN1318" s="122"/>
      <c r="BO1318" s="258">
        <v>1</v>
      </c>
      <c r="BP1318" s="122"/>
      <c r="BQ1318" s="122"/>
      <c r="BR1318" s="258">
        <v>1</v>
      </c>
      <c r="BS1318" s="122"/>
      <c r="BT1318" s="122"/>
      <c r="BU1318" s="258">
        <v>1</v>
      </c>
      <c r="BV1318" s="122"/>
      <c r="BW1318" s="122"/>
      <c r="BX1318" s="91"/>
    </row>
    <row r="1319" spans="1:76" s="55" customFormat="1" ht="28.5" x14ac:dyDescent="0.2">
      <c r="A1319" s="270" t="e">
        <f ca="1">HYPERLINK("#"&amp;"'"&amp;A$1&amp;"'!a1","Back to top")</f>
        <v>#VALUE!</v>
      </c>
      <c r="B1319" s="271"/>
      <c r="C1319" s="195"/>
      <c r="D1319" s="263"/>
      <c r="E1319" s="264"/>
      <c r="F1319" s="264"/>
      <c r="G1319" s="264"/>
      <c r="H1319" s="264"/>
      <c r="I1319" s="264"/>
      <c r="J1319" s="265"/>
      <c r="K1319" s="122"/>
      <c r="L1319" s="122"/>
      <c r="M1319" s="122"/>
      <c r="N1319" s="122"/>
      <c r="O1319" s="122"/>
      <c r="P1319" s="122"/>
      <c r="Q1319" s="306" t="s">
        <v>157</v>
      </c>
      <c r="R1319" s="257">
        <f>IF(COUNT(R1226:R1314)&gt;1,_xlfn.STDEV.S(R1226:R1314),0)</f>
        <v>1.5075582603558927E-2</v>
      </c>
      <c r="S1319" s="257">
        <f t="array" ref="S1319">IF(R1323="Y",SQRT(SUM(IFERROR(N1226:N1314*(R1226:R1314-(S1315))^2,0))/((COUNT(S1226:S1314)-1)/COUNT(S1226:S1314)*SUMPRODUCT(N1226:N1314,--ISNUMBER(S1226:S1314)))),_xlfn.STDEV.S(S1226:S1314))</f>
        <v>1.5075582603558927E-2</v>
      </c>
      <c r="T1319" s="257" t="e">
        <f t="array" ref="T1319">SQRT(SUM(IFERROR(N1226:N1314*(R1226:R1314-(T1315))^2,0))/((COUNT(T1226:T1314)-1)/COUNT(T1226:T1314)*SUMPRODUCT(N1226:N1314,--ISNUMBER(T1226:T1314))))</f>
        <v>#DIV/0!</v>
      </c>
      <c r="U1319" s="122"/>
      <c r="V1319" s="122"/>
      <c r="W1319" s="122"/>
      <c r="Y1319" s="260"/>
      <c r="AO1319" s="91"/>
      <c r="AP1319" s="122"/>
      <c r="AQ1319" s="122"/>
      <c r="AR1319" s="267"/>
      <c r="AS1319" s="268"/>
      <c r="AT1319" s="258">
        <v>1</v>
      </c>
      <c r="AU1319" s="122"/>
      <c r="AV1319" s="308"/>
      <c r="AW1319" s="258">
        <v>1</v>
      </c>
      <c r="AX1319" s="122"/>
      <c r="AY1319" s="122"/>
      <c r="AZ1319" s="258">
        <v>1</v>
      </c>
      <c r="BA1319" s="122"/>
      <c r="BB1319" s="122"/>
      <c r="BC1319" s="258">
        <v>1</v>
      </c>
      <c r="BD1319" s="122"/>
      <c r="BE1319" s="122"/>
      <c r="BF1319" s="258">
        <v>1</v>
      </c>
      <c r="BG1319" s="122"/>
      <c r="BH1319" s="122"/>
      <c r="BI1319" s="258">
        <v>1</v>
      </c>
      <c r="BJ1319" s="122"/>
      <c r="BK1319" s="256"/>
      <c r="BL1319" s="258">
        <v>1</v>
      </c>
      <c r="BM1319" s="122"/>
      <c r="BN1319" s="122"/>
      <c r="BO1319" s="258">
        <v>1</v>
      </c>
      <c r="BP1319" s="122"/>
      <c r="BQ1319" s="122"/>
      <c r="BR1319" s="258">
        <v>1</v>
      </c>
      <c r="BS1319" s="122"/>
      <c r="BT1319" s="122"/>
      <c r="BU1319" s="258">
        <v>1</v>
      </c>
      <c r="BV1319" s="122"/>
      <c r="BW1319" s="122"/>
      <c r="BX1319" s="91"/>
    </row>
    <row r="1320" spans="1:76" s="55" customFormat="1" ht="15" customHeight="1" x14ac:dyDescent="0.25">
      <c r="A1320" s="195"/>
      <c r="B1320" s="196"/>
      <c r="C1320" s="195"/>
      <c r="D1320" s="263"/>
      <c r="E1320" s="264"/>
      <c r="F1320" s="264"/>
      <c r="G1320" s="264"/>
      <c r="H1320" s="264"/>
      <c r="I1320" s="264"/>
      <c r="J1320" s="265"/>
      <c r="K1320" s="122"/>
      <c r="L1320" s="122"/>
      <c r="M1320" s="122"/>
      <c r="N1320" s="122"/>
      <c r="O1320" s="122"/>
      <c r="P1320" s="122"/>
      <c r="Q1320" s="309" t="s">
        <v>159</v>
      </c>
      <c r="R1320" s="310">
        <f>COUNT(R1226:R1314)</f>
        <v>84</v>
      </c>
      <c r="S1320" s="310">
        <f>COUNT(S1226:S1314)</f>
        <v>84</v>
      </c>
      <c r="T1320" s="118"/>
      <c r="U1320" s="273" t="s">
        <v>155</v>
      </c>
      <c r="V1320" s="122"/>
      <c r="W1320" s="122"/>
      <c r="Y1320" s="91"/>
      <c r="AO1320" s="91"/>
      <c r="AP1320" s="122"/>
      <c r="AQ1320" s="122"/>
      <c r="AR1320" s="122"/>
      <c r="AS1320" s="256" t="s">
        <v>151</v>
      </c>
      <c r="AT1320" s="261" t="e">
        <f>IF((0.67*AT1321)&gt;AT1315,"no","yes")</f>
        <v>#DIV/0!</v>
      </c>
      <c r="AU1320" s="261" t="e">
        <f>IF((0.67*AU1321)&gt;AU1315,"no","yes")</f>
        <v>#DIV/0!</v>
      </c>
      <c r="AV1320" s="256"/>
      <c r="AW1320" s="261" t="e">
        <f>IF((0.67*AW1321)&gt;AW1315,"no","yes")</f>
        <v>#DIV/0!</v>
      </c>
      <c r="AX1320" s="261" t="e">
        <f>IF((0.67*AX1321)&gt;AX1315,"no","yes")</f>
        <v>#DIV/0!</v>
      </c>
      <c r="AY1320" s="122"/>
      <c r="AZ1320" s="261" t="e">
        <f>IF((0.67*AZ1321)&gt;AZ1315,"no","yes")</f>
        <v>#DIV/0!</v>
      </c>
      <c r="BA1320" s="261" t="e">
        <f>IF((0.67*BA1321)&gt;BA1315,"no","yes")</f>
        <v>#DIV/0!</v>
      </c>
      <c r="BB1320" s="122"/>
      <c r="BC1320" s="261" t="str">
        <f>IF((0.67*BC1321)&gt;BC1315,"no","yes")</f>
        <v>yes</v>
      </c>
      <c r="BD1320" s="261" t="str">
        <f>IF((0.67*BD1321)&gt;BD1315,"no","yes")</f>
        <v>yes</v>
      </c>
      <c r="BE1320" s="122"/>
      <c r="BF1320" s="261" t="e">
        <f>IF((0.67*BF1321)&gt;BF1315,"no","yes")</f>
        <v>#DIV/0!</v>
      </c>
      <c r="BG1320" s="261" t="e">
        <f>IF((0.67*BG1321)&gt;BG1315,"no","yes")</f>
        <v>#DIV/0!</v>
      </c>
      <c r="BH1320" s="122"/>
      <c r="BI1320" s="261" t="str">
        <f>IF((0.67*BI1321)&gt;BI1315,"no","yes")</f>
        <v>yes</v>
      </c>
      <c r="BJ1320" s="261" t="str">
        <f>IF((0.67*BJ1321)&gt;BJ1315,"no","yes")</f>
        <v>yes</v>
      </c>
      <c r="BK1320" s="133"/>
      <c r="BL1320" s="261" t="e">
        <f>IF((0.67*BL1321)&gt;BL1315,"no","yes")</f>
        <v>#DIV/0!</v>
      </c>
      <c r="BM1320" s="261" t="e">
        <f>IF((0.67*BM1321)&gt;BM1315,"no","yes")</f>
        <v>#DIV/0!</v>
      </c>
      <c r="BN1320" s="122"/>
      <c r="BO1320" s="261" t="e">
        <f>IF((0.67*BO1321)&gt;BO1315,"no","yes")</f>
        <v>#DIV/0!</v>
      </c>
      <c r="BP1320" s="261" t="e">
        <f>IF((0.67*BP1321)&gt;BP1315,"no","yes")</f>
        <v>#DIV/0!</v>
      </c>
      <c r="BQ1320" s="122"/>
      <c r="BR1320" s="261" t="e">
        <f>IF((0.67*BR1321)&gt;BR1315,"no","yes")</f>
        <v>#DIV/0!</v>
      </c>
      <c r="BS1320" s="261" t="e">
        <f>IF((0.67*BS1321)&gt;BS1315,"no","yes")</f>
        <v>#DIV/0!</v>
      </c>
      <c r="BT1320" s="122"/>
      <c r="BU1320" s="261" t="e">
        <f>IF((0.67*BU1321)&gt;BU1315,"no","yes")</f>
        <v>#DIV/0!</v>
      </c>
      <c r="BV1320" s="261" t="e">
        <f>IF((0.67*BV1321)&gt;BV1315,"no","yes")</f>
        <v>#DIV/0!</v>
      </c>
      <c r="BW1320" s="122"/>
      <c r="BX1320" s="91"/>
    </row>
    <row r="1321" spans="1:76" s="55" customFormat="1" ht="14.25" x14ac:dyDescent="0.2">
      <c r="B1321" s="23"/>
      <c r="C1321" s="195"/>
      <c r="D1321" s="263"/>
      <c r="E1321" s="264"/>
      <c r="F1321" s="264"/>
      <c r="G1321" s="264"/>
      <c r="H1321" s="264"/>
      <c r="I1321" s="264"/>
      <c r="J1321" s="265"/>
      <c r="K1321" s="122"/>
      <c r="L1321" s="122"/>
      <c r="M1321" s="122"/>
      <c r="N1321" s="122"/>
      <c r="O1321" s="122"/>
      <c r="P1321" s="122"/>
      <c r="Q1321" s="311"/>
      <c r="R1321" s="118"/>
      <c r="S1321" s="118"/>
      <c r="T1321" s="118"/>
      <c r="U1321" s="274"/>
      <c r="V1321" s="275"/>
      <c r="W1321" s="276"/>
      <c r="Y1321" s="91"/>
      <c r="AO1321" s="91"/>
      <c r="AP1321" s="122"/>
      <c r="AQ1321" s="122"/>
      <c r="AR1321" s="122"/>
      <c r="AS1321" s="256" t="s">
        <v>157</v>
      </c>
      <c r="AT1321" s="261">
        <f>IF(AT1322&gt;1,_xlfn.STDEV.S(AT1226:AT1314),0)</f>
        <v>0</v>
      </c>
      <c r="AU1321" s="261">
        <f>IF(AU1322&gt;1,_xlfn.STDEV.S(AU1226:AU1314),0)</f>
        <v>0</v>
      </c>
      <c r="AV1321" s="122"/>
      <c r="AW1321" s="261">
        <f t="shared" ref="AW1321:AX1321" si="812">IF(AW1322&gt;1,_xlfn.STDEV.S(AW1226:AW1314),0)</f>
        <v>0</v>
      </c>
      <c r="AX1321" s="261">
        <f t="shared" si="812"/>
        <v>0</v>
      </c>
      <c r="AY1321" s="122"/>
      <c r="AZ1321" s="261">
        <f t="shared" ref="AZ1321:BA1321" si="813">IF(AZ1322&gt;1,_xlfn.STDEV.S(AZ1226:AZ1314),0)</f>
        <v>0</v>
      </c>
      <c r="BA1321" s="261">
        <f t="shared" si="813"/>
        <v>0</v>
      </c>
      <c r="BB1321" s="122"/>
      <c r="BC1321" s="261">
        <f t="shared" ref="BC1321:BD1321" si="814">IF(BC1322&gt;1,_xlfn.STDEV.S(BC1226:BC1314),0)</f>
        <v>2.2673627602831321E-2</v>
      </c>
      <c r="BD1321" s="261">
        <f t="shared" si="814"/>
        <v>2.2673627602831321E-2</v>
      </c>
      <c r="BE1321" s="122"/>
      <c r="BF1321" s="261">
        <f t="shared" ref="BF1321:BG1321" si="815">IF(BF1322&gt;1,_xlfn.STDEV.S(BF1226:BF1314),0)</f>
        <v>0</v>
      </c>
      <c r="BG1321" s="261">
        <f t="shared" si="815"/>
        <v>0</v>
      </c>
      <c r="BH1321" s="122"/>
      <c r="BI1321" s="261">
        <f t="shared" ref="BI1321:BJ1321" si="816">IF(BI1322&gt;1,_xlfn.STDEV.S(BI1226:BI1314),0)</f>
        <v>1.4612185366133375E-2</v>
      </c>
      <c r="BJ1321" s="261">
        <f t="shared" si="816"/>
        <v>1.4612185366133375E-2</v>
      </c>
      <c r="BK1321" s="122"/>
      <c r="BL1321" s="261">
        <f t="shared" ref="BL1321:BM1321" si="817">IF(BL1322&gt;1,_xlfn.STDEV.S(BL1226:BL1314),0)</f>
        <v>0</v>
      </c>
      <c r="BM1321" s="261">
        <f t="shared" si="817"/>
        <v>0</v>
      </c>
      <c r="BN1321" s="122"/>
      <c r="BO1321" s="261">
        <f t="shared" ref="BO1321:BP1321" si="818">IF(BO1322&gt;1,_xlfn.STDEV.S(BO1226:BO1314),0)</f>
        <v>0</v>
      </c>
      <c r="BP1321" s="261">
        <f t="shared" si="818"/>
        <v>0</v>
      </c>
      <c r="BQ1321" s="122"/>
      <c r="BR1321" s="261">
        <f t="shared" ref="BR1321:BS1321" si="819">IF(BR1322&gt;1,_xlfn.STDEV.S(BR1226:BR1314),0)</f>
        <v>0</v>
      </c>
      <c r="BS1321" s="261">
        <f t="shared" si="819"/>
        <v>0</v>
      </c>
      <c r="BT1321" s="122"/>
      <c r="BU1321" s="261">
        <f t="shared" ref="BU1321:BV1321" si="820">IF(BU1322&gt;1,_xlfn.STDEV.S(BU1226:BU1314),0)</f>
        <v>0</v>
      </c>
      <c r="BV1321" s="261">
        <f t="shared" si="820"/>
        <v>0</v>
      </c>
      <c r="BW1321" s="122"/>
      <c r="BX1321" s="91"/>
    </row>
    <row r="1322" spans="1:76" s="55" customFormat="1" x14ac:dyDescent="0.2">
      <c r="B1322" s="23"/>
      <c r="C1322" s="122"/>
      <c r="D1322" s="277"/>
      <c r="E1322" s="278"/>
      <c r="F1322" s="278"/>
      <c r="G1322" s="278"/>
      <c r="H1322" s="278"/>
      <c r="I1322" s="278"/>
      <c r="J1322" s="279"/>
      <c r="Q1322" s="81"/>
      <c r="R1322" s="280" t="s">
        <v>158</v>
      </c>
      <c r="S1322" s="23"/>
      <c r="T1322" s="118"/>
      <c r="U1322" s="281"/>
      <c r="V1322" s="282"/>
      <c r="W1322" s="283"/>
      <c r="Y1322" s="91"/>
      <c r="AO1322" s="91"/>
      <c r="AP1322" s="122"/>
      <c r="AQ1322" s="122"/>
      <c r="AR1322" s="122"/>
      <c r="AS1322" s="133" t="s">
        <v>159</v>
      </c>
      <c r="AT1322" s="284">
        <f>COUNT(AT1226:AT1314)</f>
        <v>0</v>
      </c>
      <c r="AU1322" s="284">
        <f>COUNT(AU1226:AU1314)</f>
        <v>0</v>
      </c>
      <c r="AV1322" s="122"/>
      <c r="AW1322" s="284">
        <f t="shared" ref="AW1322:AX1322" si="821">COUNT(AW1226:AW1314)</f>
        <v>0</v>
      </c>
      <c r="AX1322" s="284">
        <f t="shared" si="821"/>
        <v>0</v>
      </c>
      <c r="AY1322" s="122"/>
      <c r="AZ1322" s="284">
        <f t="shared" ref="AZ1322:BA1322" si="822">COUNT(AZ1226:AZ1314)</f>
        <v>0</v>
      </c>
      <c r="BA1322" s="284">
        <f t="shared" si="822"/>
        <v>0</v>
      </c>
      <c r="BB1322" s="122"/>
      <c r="BC1322" s="284">
        <f t="shared" ref="BC1322:BD1322" si="823">COUNT(BC1226:BC1314)</f>
        <v>3</v>
      </c>
      <c r="BD1322" s="284">
        <f t="shared" si="823"/>
        <v>3</v>
      </c>
      <c r="BE1322" s="122"/>
      <c r="BF1322" s="284">
        <f t="shared" ref="BF1322:BG1322" si="824">COUNT(BF1226:BF1314)</f>
        <v>0</v>
      </c>
      <c r="BG1322" s="284">
        <f t="shared" si="824"/>
        <v>0</v>
      </c>
      <c r="BH1322" s="122"/>
      <c r="BI1322" s="284">
        <f t="shared" ref="BI1322:BJ1322" si="825">COUNT(BI1226:BI1314)</f>
        <v>12</v>
      </c>
      <c r="BJ1322" s="284">
        <f t="shared" si="825"/>
        <v>12</v>
      </c>
      <c r="BK1322" s="122"/>
      <c r="BL1322" s="284">
        <f t="shared" ref="BL1322:BM1322" si="826">COUNT(BL1226:BL1314)</f>
        <v>0</v>
      </c>
      <c r="BM1322" s="284">
        <f t="shared" si="826"/>
        <v>0</v>
      </c>
      <c r="BN1322" s="122"/>
      <c r="BO1322" s="284">
        <f t="shared" ref="BO1322:BP1322" si="827">COUNT(BO1226:BO1314)</f>
        <v>0</v>
      </c>
      <c r="BP1322" s="284">
        <f t="shared" si="827"/>
        <v>0</v>
      </c>
      <c r="BQ1322" s="122"/>
      <c r="BR1322" s="284">
        <f t="shared" ref="BR1322:BS1322" si="828">COUNT(BR1226:BR1314)</f>
        <v>0</v>
      </c>
      <c r="BS1322" s="284">
        <f t="shared" si="828"/>
        <v>0</v>
      </c>
      <c r="BT1322" s="122"/>
      <c r="BU1322" s="284">
        <f t="shared" ref="BU1322:BV1322" si="829">COUNT(BU1226:BU1314)</f>
        <v>0</v>
      </c>
      <c r="BV1322" s="284">
        <f t="shared" si="829"/>
        <v>0</v>
      </c>
      <c r="BW1322" s="122"/>
      <c r="BX1322" s="91"/>
    </row>
    <row r="1323" spans="1:76" s="55" customFormat="1" ht="14.25" x14ac:dyDescent="0.2">
      <c r="B1323" s="23"/>
      <c r="C1323" s="122"/>
      <c r="D1323" s="314"/>
      <c r="E1323" s="314"/>
      <c r="F1323" s="314"/>
      <c r="G1323" s="314"/>
      <c r="H1323" s="314"/>
      <c r="I1323" s="314"/>
      <c r="J1323" s="314"/>
      <c r="Q1323" s="81"/>
      <c r="R1323" s="393" t="s">
        <v>149</v>
      </c>
      <c r="T1323" s="122"/>
      <c r="U1323" s="281"/>
      <c r="V1323" s="282"/>
      <c r="W1323" s="283"/>
      <c r="Y1323" s="91"/>
      <c r="AO1323" s="91"/>
      <c r="BX1323" s="91"/>
    </row>
    <row r="1324" spans="1:76" s="55" customFormat="1" ht="14.25" x14ac:dyDescent="0.2">
      <c r="B1324" s="23"/>
      <c r="C1324" s="122"/>
      <c r="D1324" s="314"/>
      <c r="E1324" s="314"/>
      <c r="F1324" s="314"/>
      <c r="G1324" s="314"/>
      <c r="H1324" s="314"/>
      <c r="I1324" s="314"/>
      <c r="J1324" s="314"/>
      <c r="Q1324" s="81"/>
      <c r="R1324" s="394"/>
      <c r="T1324" s="122"/>
      <c r="U1324" s="288"/>
      <c r="V1324" s="289"/>
      <c r="W1324" s="290"/>
      <c r="Y1324" s="91"/>
      <c r="AO1324" s="91"/>
      <c r="BX1324" s="91"/>
    </row>
    <row r="1325" spans="1:76" s="55" customFormat="1" ht="18" x14ac:dyDescent="0.25">
      <c r="B1325" s="23"/>
      <c r="C1325" s="122"/>
      <c r="D1325" s="314"/>
      <c r="E1325" s="314"/>
      <c r="F1325" s="314"/>
      <c r="G1325" s="314"/>
      <c r="H1325" s="314"/>
      <c r="I1325" s="314"/>
      <c r="J1325" s="314"/>
      <c r="Q1325" s="81"/>
      <c r="T1325" s="122"/>
      <c r="U1325" s="122"/>
      <c r="V1325" s="122"/>
      <c r="W1325" s="122"/>
      <c r="Y1325" s="91"/>
      <c r="AO1325" s="296"/>
      <c r="AP1325" s="345"/>
      <c r="AQ1325" s="345"/>
      <c r="AR1325" s="346"/>
      <c r="AS1325" s="346"/>
      <c r="AT1325" s="346"/>
      <c r="AU1325" s="346"/>
      <c r="AV1325" s="346"/>
      <c r="AW1325" s="346"/>
      <c r="AX1325" s="346"/>
      <c r="AY1325" s="346"/>
      <c r="AZ1325" s="346"/>
      <c r="BA1325" s="346"/>
      <c r="BB1325" s="346"/>
      <c r="BC1325" s="346"/>
      <c r="BD1325" s="346"/>
      <c r="BE1325" s="346"/>
      <c r="BF1325" s="346"/>
      <c r="BG1325" s="346"/>
      <c r="BH1325" s="346"/>
      <c r="BI1325" s="346"/>
      <c r="BJ1325" s="346"/>
      <c r="BK1325" s="346"/>
      <c r="BL1325" s="346"/>
      <c r="BM1325" s="346"/>
      <c r="BN1325" s="346"/>
      <c r="BO1325" s="346"/>
      <c r="BP1325" s="346"/>
      <c r="BQ1325" s="346"/>
      <c r="BR1325" s="346"/>
      <c r="BS1325" s="346"/>
      <c r="BT1325" s="346"/>
      <c r="BU1325" s="346"/>
      <c r="BV1325" s="346"/>
      <c r="BW1325" s="346"/>
      <c r="BX1325" s="296"/>
    </row>
    <row r="1326" spans="1:76" s="55" customFormat="1" x14ac:dyDescent="0.25">
      <c r="A1326" s="28"/>
      <c r="B1326" s="96"/>
      <c r="C1326" s="28"/>
      <c r="D1326" s="28"/>
      <c r="E1326" s="28"/>
      <c r="F1326" s="28"/>
      <c r="G1326" s="28"/>
      <c r="H1326" s="28"/>
      <c r="I1326" s="28"/>
      <c r="J1326" s="28"/>
      <c r="K1326" s="28"/>
      <c r="L1326" s="28"/>
      <c r="M1326" s="28"/>
      <c r="N1326" s="28"/>
      <c r="O1326" s="28"/>
      <c r="P1326" s="28"/>
      <c r="Q1326" s="130"/>
      <c r="R1326" s="28"/>
      <c r="S1326" s="28"/>
      <c r="Y1326" s="91"/>
      <c r="AO1326" s="91"/>
      <c r="AS1326" s="28"/>
      <c r="AT1326" s="28"/>
      <c r="AU1326" s="28"/>
      <c r="AV1326" s="28"/>
      <c r="BX1326" s="91"/>
    </row>
    <row r="1327" spans="1:76" s="9" customFormat="1" ht="18" x14ac:dyDescent="0.25">
      <c r="A1327" s="188">
        <f>A1223+1</f>
        <v>21</v>
      </c>
      <c r="B1327" s="189"/>
      <c r="C1327" s="293" t="str">
        <f>'[1]Advanced Controls'!I157</f>
        <v>CH4-CO2eq Tons Reduced</v>
      </c>
      <c r="D1327" s="191"/>
      <c r="E1327" s="191"/>
      <c r="F1327" s="191"/>
      <c r="G1327" s="191"/>
      <c r="J1327" s="191"/>
      <c r="K1327" s="191"/>
      <c r="L1327" s="192"/>
      <c r="M1327" s="192"/>
      <c r="N1327" s="192"/>
      <c r="Q1327" s="193"/>
      <c r="R1327" s="194" t="s">
        <v>93</v>
      </c>
      <c r="S1327" s="194"/>
      <c r="T1327" s="194"/>
      <c r="U1327" s="194"/>
      <c r="AP1327" s="175">
        <f>A1327</f>
        <v>21</v>
      </c>
      <c r="AQ1327" s="175" t="str">
        <f>C1327</f>
        <v>CH4-CO2eq Tons Reduced</v>
      </c>
    </row>
    <row r="1328" spans="1:76" s="55" customFormat="1" x14ac:dyDescent="0.25">
      <c r="A1328" s="195"/>
      <c r="B1328" s="196"/>
      <c r="C1328" s="195"/>
      <c r="D1328" s="120"/>
      <c r="E1328" s="120"/>
      <c r="F1328" s="120"/>
      <c r="G1328" s="120"/>
      <c r="J1328" s="120"/>
      <c r="K1328" s="120"/>
      <c r="L1328" s="122"/>
      <c r="M1328" s="122"/>
      <c r="N1328" s="122"/>
      <c r="Q1328" s="81"/>
      <c r="Y1328" s="91"/>
      <c r="AO1328" s="91"/>
      <c r="AP1328" s="28"/>
      <c r="AQ1328" s="28"/>
      <c r="AR1328" s="28"/>
      <c r="AS1328" s="28"/>
      <c r="AT1328" s="198" t="s">
        <v>171</v>
      </c>
      <c r="AU1328" s="198"/>
      <c r="AV1328" s="28"/>
      <c r="AW1328" s="198" t="s">
        <v>96</v>
      </c>
      <c r="AX1328" s="198"/>
      <c r="AY1328" s="28"/>
      <c r="AZ1328" s="198" t="s">
        <v>97</v>
      </c>
      <c r="BA1328" s="198"/>
      <c r="BB1328" s="28"/>
      <c r="BC1328" s="198" t="s">
        <v>98</v>
      </c>
      <c r="BD1328" s="198"/>
      <c r="BE1328" s="28"/>
      <c r="BF1328" s="198" t="s">
        <v>99</v>
      </c>
      <c r="BG1328" s="198"/>
      <c r="BH1328" s="28"/>
      <c r="BI1328" s="198" t="s">
        <v>100</v>
      </c>
      <c r="BJ1328" s="198"/>
      <c r="BK1328" s="28"/>
      <c r="BL1328" s="198" t="s">
        <v>101</v>
      </c>
      <c r="BM1328" s="198"/>
      <c r="BN1328" s="28"/>
      <c r="BO1328" s="198" t="s">
        <v>102</v>
      </c>
      <c r="BP1328" s="198"/>
      <c r="BQ1328" s="28"/>
      <c r="BR1328" s="198" t="s">
        <v>103</v>
      </c>
      <c r="BS1328" s="198"/>
      <c r="BT1328" s="28"/>
      <c r="BU1328" s="198" t="s">
        <v>104</v>
      </c>
      <c r="BV1328" s="198"/>
      <c r="BW1328" s="28"/>
      <c r="BX1328" s="91"/>
    </row>
    <row r="1329" spans="1:76" s="55" customFormat="1" ht="30.75" thickBot="1" x14ac:dyDescent="0.3">
      <c r="A1329" s="199" t="s">
        <v>105</v>
      </c>
      <c r="B1329" s="200" t="s">
        <v>106</v>
      </c>
      <c r="C1329" s="201" t="s">
        <v>107</v>
      </c>
      <c r="D1329" s="202" t="s">
        <v>108</v>
      </c>
      <c r="E1329" s="202" t="s">
        <v>109</v>
      </c>
      <c r="F1329" s="201" t="s">
        <v>110</v>
      </c>
      <c r="G1329" s="201" t="s">
        <v>111</v>
      </c>
      <c r="H1329" s="202" t="s">
        <v>112</v>
      </c>
      <c r="I1329" s="203" t="s">
        <v>113</v>
      </c>
      <c r="J1329" s="204" t="s">
        <v>114</v>
      </c>
      <c r="K1329" s="205" t="s">
        <v>115</v>
      </c>
      <c r="L1329" s="206" t="s">
        <v>116</v>
      </c>
      <c r="M1329" s="207" t="s">
        <v>117</v>
      </c>
      <c r="N1329" s="208" t="s">
        <v>118</v>
      </c>
      <c r="O1329" s="207" t="s">
        <v>119</v>
      </c>
      <c r="P1329" s="210"/>
      <c r="Q1329" s="211" t="s">
        <v>120</v>
      </c>
      <c r="R1329" s="212" t="s">
        <v>121</v>
      </c>
      <c r="S1329" s="212" t="s">
        <v>122</v>
      </c>
      <c r="T1329" s="212" t="s">
        <v>123</v>
      </c>
      <c r="U1329" s="213" t="s">
        <v>124</v>
      </c>
      <c r="V1329" s="210"/>
      <c r="W1329" s="210"/>
      <c r="Y1329" s="91"/>
      <c r="AO1329" s="91"/>
      <c r="AP1329" s="210"/>
      <c r="AQ1329" s="210"/>
      <c r="AR1329" s="213" t="s">
        <v>125</v>
      </c>
      <c r="AS1329" s="210"/>
      <c r="AT1329" s="215" t="s">
        <v>121</v>
      </c>
      <c r="AU1329" s="215" t="s">
        <v>122</v>
      </c>
      <c r="AV1329" s="210"/>
      <c r="AW1329" s="215" t="s">
        <v>121</v>
      </c>
      <c r="AX1329" s="215" t="s">
        <v>122</v>
      </c>
      <c r="AY1329" s="210"/>
      <c r="AZ1329" s="215" t="s">
        <v>121</v>
      </c>
      <c r="BA1329" s="215" t="s">
        <v>122</v>
      </c>
      <c r="BB1329" s="210"/>
      <c r="BC1329" s="215" t="s">
        <v>121</v>
      </c>
      <c r="BD1329" s="215" t="s">
        <v>122</v>
      </c>
      <c r="BE1329" s="210"/>
      <c r="BF1329" s="215" t="s">
        <v>121</v>
      </c>
      <c r="BG1329" s="215" t="s">
        <v>122</v>
      </c>
      <c r="BH1329" s="210"/>
      <c r="BI1329" s="215" t="s">
        <v>121</v>
      </c>
      <c r="BJ1329" s="215" t="s">
        <v>122</v>
      </c>
      <c r="BK1329" s="210"/>
      <c r="BL1329" s="215" t="s">
        <v>121</v>
      </c>
      <c r="BM1329" s="215" t="s">
        <v>122</v>
      </c>
      <c r="BN1329" s="210"/>
      <c r="BO1329" s="215" t="s">
        <v>121</v>
      </c>
      <c r="BP1329" s="215" t="s">
        <v>122</v>
      </c>
      <c r="BQ1329" s="210"/>
      <c r="BR1329" s="215" t="s">
        <v>121</v>
      </c>
      <c r="BS1329" s="215" t="s">
        <v>122</v>
      </c>
      <c r="BT1329" s="210"/>
      <c r="BU1329" s="215" t="s">
        <v>121</v>
      </c>
      <c r="BV1329" s="215" t="s">
        <v>122</v>
      </c>
      <c r="BW1329" s="210"/>
      <c r="BX1329" s="91"/>
    </row>
    <row r="1330" spans="1:76" s="55" customFormat="1" ht="15.95" customHeight="1" x14ac:dyDescent="0.25">
      <c r="A1330" s="195">
        <v>1</v>
      </c>
      <c r="B1330" s="216" t="str">
        <f t="shared" ref="B1330:B1393" si="830">CONCATENATE(E1330,": ",C1330)</f>
        <v>Asia (Sans Japan): FAO. 2017. Reducing Enteric Methane for improving food security and livelihoods</v>
      </c>
      <c r="C1330" s="219" t="s">
        <v>488</v>
      </c>
      <c r="D1330" s="381" t="s">
        <v>235</v>
      </c>
      <c r="E1330" s="219" t="s">
        <v>98</v>
      </c>
      <c r="F1330" s="330" t="s">
        <v>236</v>
      </c>
      <c r="G1330" s="220" t="s">
        <v>26</v>
      </c>
      <c r="H1330" s="221">
        <v>2017</v>
      </c>
      <c r="I1330" s="220"/>
      <c r="J1330" s="383">
        <f t="shared" ref="J1330:J1393" si="831">L818-L918</f>
        <v>1.1191874999999962E-2</v>
      </c>
      <c r="K1330" s="382" t="s">
        <v>757</v>
      </c>
      <c r="L1330" s="395"/>
      <c r="M1330" s="335" t="str">
        <f>'[1]Advanced Controls'!$I$158</f>
        <v>t CH4-CO2eq per kg of protein</v>
      </c>
      <c r="N1330" s="238"/>
      <c r="O1330" s="227" t="s">
        <v>539</v>
      </c>
      <c r="P1330" s="122"/>
      <c r="Q1330" s="228"/>
      <c r="R1330" s="231">
        <f>IF(Q1330="Y","",IF(AND(L1330="",J1330=""),"",IF(L1330="",J1330,L1330)))</f>
        <v>1.1191874999999962E-2</v>
      </c>
      <c r="S1330" s="230">
        <f t="shared" ref="S1330:S1393" si="832">IF(R1330="","",IF($R$1433="Y",T1330,IF(R1330&gt;=$R$1425-$AA$35*$R$1429,IF(R1330&lt;=$R$1425+$AA$35*$R$1429,R1330,""),"")))</f>
        <v>1.1191874999999962E-2</v>
      </c>
      <c r="T1330" s="231">
        <f>IF(OR(Q1330="Y",IFERROR(R1330&gt;R1425+R1429*$AA$35,0),IFERROR(R1330&lt;R1425-R1429*$AA$35,0)),"",IFERROR(R1330*N1330,""))</f>
        <v>0</v>
      </c>
      <c r="U1330" s="232" t="str">
        <f t="shared" ref="U1330:U1393" si="833">IF(AND(M1330="",K1330=""),"",IF(M1330="",K1330,M1330))</f>
        <v>t CH4-CO2eq per kg of protein</v>
      </c>
      <c r="V1330" s="28"/>
      <c r="W1330" s="28"/>
      <c r="Y1330" s="91"/>
      <c r="AO1330" s="91"/>
      <c r="AP1330" s="28"/>
      <c r="AQ1330" s="28"/>
      <c r="AR1330" s="233" t="str">
        <f>$U1330</f>
        <v>t CH4-CO2eq per kg of protein</v>
      </c>
      <c r="AS1330" s="28"/>
      <c r="AT1330" s="304" t="str">
        <f>IF($E1330=$AT$47,R1330,"")</f>
        <v/>
      </c>
      <c r="AU1330" s="304" t="str">
        <f>IF($E1330=$AT$47,S1330,"")</f>
        <v/>
      </c>
      <c r="AV1330" s="28"/>
      <c r="AW1330" s="304" t="str">
        <f t="shared" ref="AW1330:AX1345" si="834">IF($E1330=$AW$83,R1330,"")</f>
        <v/>
      </c>
      <c r="AX1330" s="304" t="str">
        <f t="shared" si="834"/>
        <v/>
      </c>
      <c r="AY1330" s="28"/>
      <c r="AZ1330" s="304" t="str">
        <f t="shared" ref="AZ1330:BA1345" si="835">IF($E1330=$AZ$83,R1330,"")</f>
        <v/>
      </c>
      <c r="BA1330" s="304" t="str">
        <f t="shared" si="835"/>
        <v/>
      </c>
      <c r="BB1330" s="28"/>
      <c r="BC1330" s="304">
        <f t="shared" ref="BC1330:BD1345" si="836">IF($E1330=$BC$83,R1330,"")</f>
        <v>1.1191874999999962E-2</v>
      </c>
      <c r="BD1330" s="304">
        <f t="shared" si="836"/>
        <v>1.1191874999999962E-2</v>
      </c>
      <c r="BE1330" s="28"/>
      <c r="BF1330" s="304" t="str">
        <f t="shared" ref="BF1330:BG1345" si="837">IF($E1330=$BF$83,R1330,"")</f>
        <v/>
      </c>
      <c r="BG1330" s="304" t="str">
        <f t="shared" si="837"/>
        <v/>
      </c>
      <c r="BH1330" s="28"/>
      <c r="BI1330" s="304" t="str">
        <f t="shared" ref="BI1330:BJ1345" si="838">IF($E1330=$BI$83,R1330,"")</f>
        <v/>
      </c>
      <c r="BJ1330" s="304" t="str">
        <f t="shared" si="838"/>
        <v/>
      </c>
      <c r="BK1330" s="28"/>
      <c r="BL1330" s="304" t="str">
        <f t="shared" ref="BL1330:BM1345" si="839">IF($E1330=$BL$83,R1330,"")</f>
        <v/>
      </c>
      <c r="BM1330" s="304" t="str">
        <f t="shared" si="839"/>
        <v/>
      </c>
      <c r="BN1330" s="28"/>
      <c r="BO1330" s="304" t="str">
        <f t="shared" ref="BO1330:BP1345" si="840">IF($E1330=$BO$83,R1330,"")</f>
        <v/>
      </c>
      <c r="BP1330" s="304" t="str">
        <f t="shared" si="840"/>
        <v/>
      </c>
      <c r="BQ1330" s="28"/>
      <c r="BR1330" s="304" t="str">
        <f t="shared" ref="BR1330:BS1345" si="841">IF($E1330=$BR$83,R1330,"")</f>
        <v/>
      </c>
      <c r="BS1330" s="304" t="str">
        <f t="shared" si="841"/>
        <v/>
      </c>
      <c r="BT1330" s="28"/>
      <c r="BU1330" s="304" t="str">
        <f t="shared" ref="BU1330:BV1345" si="842">IF($E1330=$BU$83,R1330,"")</f>
        <v/>
      </c>
      <c r="BV1330" s="304" t="str">
        <f t="shared" si="842"/>
        <v/>
      </c>
      <c r="BW1330" s="28"/>
      <c r="BX1330" s="91"/>
    </row>
    <row r="1331" spans="1:76" s="55" customFormat="1" x14ac:dyDescent="0.25">
      <c r="A1331" s="195">
        <v>2</v>
      </c>
      <c r="B1331" s="216" t="str">
        <f t="shared" si="830"/>
        <v>Asia (Sans Japan): FAO. 2017. Reducing Enteric Methane for improving food security and livelihoods</v>
      </c>
      <c r="C1331" s="219" t="s">
        <v>488</v>
      </c>
      <c r="D1331" s="379" t="s">
        <v>235</v>
      </c>
      <c r="E1331" s="219" t="s">
        <v>98</v>
      </c>
      <c r="F1331" s="330" t="s">
        <v>236</v>
      </c>
      <c r="G1331" s="220" t="s">
        <v>26</v>
      </c>
      <c r="H1331" s="221">
        <v>2017</v>
      </c>
      <c r="I1331" s="220"/>
      <c r="J1331" s="383">
        <f t="shared" si="831"/>
        <v>1.26E-2</v>
      </c>
      <c r="K1331" s="382" t="s">
        <v>757</v>
      </c>
      <c r="L1331" s="395"/>
      <c r="M1331" s="335" t="str">
        <f>'[1]Advanced Controls'!$I$158</f>
        <v>t CH4-CO2eq per kg of protein</v>
      </c>
      <c r="N1331" s="238"/>
      <c r="O1331" s="227" t="s">
        <v>540</v>
      </c>
      <c r="P1331" s="122"/>
      <c r="Q1331" s="228"/>
      <c r="R1331" s="231">
        <f t="shared" ref="R1331:R1394" si="843">IF(Q1331="Y","",IF(AND(L1331="",J1331=""),"",IF(L1331="",J1331,L1331)))</f>
        <v>1.26E-2</v>
      </c>
      <c r="S1331" s="230">
        <f t="shared" si="832"/>
        <v>1.26E-2</v>
      </c>
      <c r="T1331" s="231">
        <f>IF(OR(Q1331="Y",IFERROR(R1331&gt;R1425+R1429*$AA$35,0),IFERROR(R1331&lt;R1425-R1429*$AA$35,0)),"",IFERROR(R1331*N1331,""))</f>
        <v>0</v>
      </c>
      <c r="U1331" s="232" t="str">
        <f t="shared" si="833"/>
        <v>t CH4-CO2eq per kg of protein</v>
      </c>
      <c r="V1331" s="28"/>
      <c r="W1331" s="28"/>
      <c r="Y1331" s="91"/>
      <c r="AO1331" s="91"/>
      <c r="AP1331" s="28"/>
      <c r="AQ1331" s="28"/>
      <c r="AR1331" s="237"/>
      <c r="AS1331" s="28"/>
      <c r="AT1331" s="304" t="str">
        <f t="shared" ref="AT1331:AU1346" si="844">IF($E1331=$AT$47,R1331,"")</f>
        <v/>
      </c>
      <c r="AU1331" s="304" t="str">
        <f t="shared" si="844"/>
        <v/>
      </c>
      <c r="AV1331" s="28"/>
      <c r="AW1331" s="304" t="str">
        <f t="shared" si="834"/>
        <v/>
      </c>
      <c r="AX1331" s="304" t="str">
        <f t="shared" si="834"/>
        <v/>
      </c>
      <c r="AY1331" s="28"/>
      <c r="AZ1331" s="304" t="str">
        <f t="shared" si="835"/>
        <v/>
      </c>
      <c r="BA1331" s="304" t="str">
        <f t="shared" si="835"/>
        <v/>
      </c>
      <c r="BB1331" s="28"/>
      <c r="BC1331" s="304">
        <f t="shared" si="836"/>
        <v>1.26E-2</v>
      </c>
      <c r="BD1331" s="304">
        <f t="shared" si="836"/>
        <v>1.26E-2</v>
      </c>
      <c r="BE1331" s="28"/>
      <c r="BF1331" s="304" t="str">
        <f t="shared" si="837"/>
        <v/>
      </c>
      <c r="BG1331" s="304" t="str">
        <f t="shared" si="837"/>
        <v/>
      </c>
      <c r="BH1331" s="28"/>
      <c r="BI1331" s="304" t="str">
        <f t="shared" si="838"/>
        <v/>
      </c>
      <c r="BJ1331" s="304" t="str">
        <f t="shared" si="838"/>
        <v/>
      </c>
      <c r="BK1331" s="28"/>
      <c r="BL1331" s="304" t="str">
        <f t="shared" si="839"/>
        <v/>
      </c>
      <c r="BM1331" s="304" t="str">
        <f t="shared" si="839"/>
        <v/>
      </c>
      <c r="BN1331" s="28"/>
      <c r="BO1331" s="304" t="str">
        <f t="shared" si="840"/>
        <v/>
      </c>
      <c r="BP1331" s="304" t="str">
        <f t="shared" si="840"/>
        <v/>
      </c>
      <c r="BQ1331" s="28"/>
      <c r="BR1331" s="304" t="str">
        <f t="shared" si="841"/>
        <v/>
      </c>
      <c r="BS1331" s="304" t="str">
        <f t="shared" si="841"/>
        <v/>
      </c>
      <c r="BT1331" s="28"/>
      <c r="BU1331" s="304" t="str">
        <f t="shared" si="842"/>
        <v/>
      </c>
      <c r="BV1331" s="304" t="str">
        <f t="shared" si="842"/>
        <v/>
      </c>
      <c r="BW1331" s="28"/>
      <c r="BX1331" s="91"/>
    </row>
    <row r="1332" spans="1:76" s="55" customFormat="1" ht="15.95" customHeight="1" x14ac:dyDescent="0.25">
      <c r="A1332" s="195">
        <v>3</v>
      </c>
      <c r="B1332" s="216" t="str">
        <f t="shared" si="830"/>
        <v>Asia (Sans Japan): FAO. 2017. Reducing Enteric Methane for improving food security and livelihoods</v>
      </c>
      <c r="C1332" s="219" t="s">
        <v>488</v>
      </c>
      <c r="D1332" s="379" t="s">
        <v>235</v>
      </c>
      <c r="E1332" s="219" t="s">
        <v>98</v>
      </c>
      <c r="F1332" s="330" t="s">
        <v>236</v>
      </c>
      <c r="G1332" s="220" t="s">
        <v>26</v>
      </c>
      <c r="H1332" s="221">
        <v>2017</v>
      </c>
      <c r="I1332" s="240"/>
      <c r="J1332" s="383">
        <f t="shared" si="831"/>
        <v>6.8103750000000018E-2</v>
      </c>
      <c r="K1332" s="382" t="s">
        <v>757</v>
      </c>
      <c r="L1332" s="395"/>
      <c r="M1332" s="335" t="str">
        <f>'[1]Advanced Controls'!$I$158</f>
        <v>t CH4-CO2eq per kg of protein</v>
      </c>
      <c r="N1332" s="238"/>
      <c r="O1332" s="227" t="s">
        <v>541</v>
      </c>
      <c r="P1332" s="122"/>
      <c r="Q1332" s="228"/>
      <c r="R1332" s="231">
        <f t="shared" si="843"/>
        <v>6.8103750000000018E-2</v>
      </c>
      <c r="S1332" s="230">
        <f t="shared" si="832"/>
        <v>6.8103750000000018E-2</v>
      </c>
      <c r="T1332" s="231">
        <f t="shared" ref="T1332:T1395" si="845">IF(OR(Q1332="Y",IFERROR(R1332&gt;R1426+R1430*$AA$35,0),IFERROR(R1332&lt;R1426-R1430*$AA$35,0)),"",IFERROR(R1332*N1332,""))</f>
        <v>0</v>
      </c>
      <c r="U1332" s="232" t="str">
        <f t="shared" si="833"/>
        <v>t CH4-CO2eq per kg of protein</v>
      </c>
      <c r="V1332" s="28"/>
      <c r="W1332" s="28"/>
      <c r="Y1332" s="91"/>
      <c r="AO1332" s="91"/>
      <c r="AP1332" s="28"/>
      <c r="AQ1332" s="28"/>
      <c r="AR1332" s="237"/>
      <c r="AS1332" s="28"/>
      <c r="AT1332" s="304" t="str">
        <f t="shared" si="844"/>
        <v/>
      </c>
      <c r="AU1332" s="304" t="str">
        <f t="shared" si="844"/>
        <v/>
      </c>
      <c r="AV1332" s="28"/>
      <c r="AW1332" s="304" t="str">
        <f t="shared" si="834"/>
        <v/>
      </c>
      <c r="AX1332" s="304" t="str">
        <f t="shared" si="834"/>
        <v/>
      </c>
      <c r="AY1332" s="28"/>
      <c r="AZ1332" s="304" t="str">
        <f t="shared" si="835"/>
        <v/>
      </c>
      <c r="BA1332" s="304" t="str">
        <f t="shared" si="835"/>
        <v/>
      </c>
      <c r="BB1332" s="28"/>
      <c r="BC1332" s="304">
        <f t="shared" si="836"/>
        <v>6.8103750000000018E-2</v>
      </c>
      <c r="BD1332" s="304">
        <f t="shared" si="836"/>
        <v>6.8103750000000018E-2</v>
      </c>
      <c r="BE1332" s="28"/>
      <c r="BF1332" s="304" t="str">
        <f t="shared" si="837"/>
        <v/>
      </c>
      <c r="BG1332" s="304" t="str">
        <f t="shared" si="837"/>
        <v/>
      </c>
      <c r="BH1332" s="28"/>
      <c r="BI1332" s="304" t="str">
        <f t="shared" si="838"/>
        <v/>
      </c>
      <c r="BJ1332" s="304" t="str">
        <f t="shared" si="838"/>
        <v/>
      </c>
      <c r="BK1332" s="28"/>
      <c r="BL1332" s="304" t="str">
        <f t="shared" si="839"/>
        <v/>
      </c>
      <c r="BM1332" s="304" t="str">
        <f t="shared" si="839"/>
        <v/>
      </c>
      <c r="BN1332" s="28"/>
      <c r="BO1332" s="304" t="str">
        <f t="shared" si="840"/>
        <v/>
      </c>
      <c r="BP1332" s="304" t="str">
        <f t="shared" si="840"/>
        <v/>
      </c>
      <c r="BQ1332" s="28"/>
      <c r="BR1332" s="304" t="str">
        <f t="shared" si="841"/>
        <v/>
      </c>
      <c r="BS1332" s="304" t="str">
        <f t="shared" si="841"/>
        <v/>
      </c>
      <c r="BT1332" s="28"/>
      <c r="BU1332" s="304" t="str">
        <f t="shared" si="842"/>
        <v/>
      </c>
      <c r="BV1332" s="304" t="str">
        <f t="shared" si="842"/>
        <v/>
      </c>
      <c r="BW1332" s="28"/>
      <c r="BX1332" s="91"/>
    </row>
    <row r="1333" spans="1:76" s="55" customFormat="1" x14ac:dyDescent="0.25">
      <c r="A1333" s="195">
        <v>4</v>
      </c>
      <c r="B1333" s="216" t="str">
        <f t="shared" si="830"/>
        <v>Asia (Sans Japan): FAO. 2017. Reducing Enteric Methane for improving food security and livelihoods</v>
      </c>
      <c r="C1333" s="219" t="s">
        <v>488</v>
      </c>
      <c r="D1333" s="379" t="s">
        <v>235</v>
      </c>
      <c r="E1333" s="219" t="s">
        <v>98</v>
      </c>
      <c r="F1333" s="330" t="s">
        <v>236</v>
      </c>
      <c r="G1333" s="220" t="s">
        <v>26</v>
      </c>
      <c r="H1333" s="221">
        <v>2017</v>
      </c>
      <c r="I1333" s="240"/>
      <c r="J1333" s="383">
        <f t="shared" si="831"/>
        <v>2.4569999999999995E-2</v>
      </c>
      <c r="K1333" s="382" t="s">
        <v>757</v>
      </c>
      <c r="L1333" s="395"/>
      <c r="M1333" s="335" t="str">
        <f>'[1]Advanced Controls'!$I$158</f>
        <v>t CH4-CO2eq per kg of protein</v>
      </c>
      <c r="N1333" s="238"/>
      <c r="O1333" s="227" t="s">
        <v>542</v>
      </c>
      <c r="P1333" s="122"/>
      <c r="Q1333" s="228"/>
      <c r="R1333" s="231">
        <f t="shared" si="843"/>
        <v>2.4569999999999995E-2</v>
      </c>
      <c r="S1333" s="230">
        <f t="shared" si="832"/>
        <v>2.4569999999999995E-2</v>
      </c>
      <c r="T1333" s="231" t="str">
        <f t="shared" si="845"/>
        <v/>
      </c>
      <c r="U1333" s="232" t="str">
        <f t="shared" si="833"/>
        <v>t CH4-CO2eq per kg of protein</v>
      </c>
      <c r="V1333" s="28"/>
      <c r="W1333" s="28"/>
      <c r="Y1333" s="91"/>
      <c r="AO1333" s="91"/>
      <c r="AP1333" s="28"/>
      <c r="AQ1333" s="28"/>
      <c r="AR1333" s="237"/>
      <c r="AS1333" s="28"/>
      <c r="AT1333" s="304" t="str">
        <f t="shared" si="844"/>
        <v/>
      </c>
      <c r="AU1333" s="304" t="str">
        <f t="shared" si="844"/>
        <v/>
      </c>
      <c r="AV1333" s="28"/>
      <c r="AW1333" s="304" t="str">
        <f t="shared" si="834"/>
        <v/>
      </c>
      <c r="AX1333" s="304" t="str">
        <f t="shared" si="834"/>
        <v/>
      </c>
      <c r="AY1333" s="28"/>
      <c r="AZ1333" s="304" t="str">
        <f t="shared" si="835"/>
        <v/>
      </c>
      <c r="BA1333" s="304" t="str">
        <f t="shared" si="835"/>
        <v/>
      </c>
      <c r="BB1333" s="28"/>
      <c r="BC1333" s="304">
        <f t="shared" si="836"/>
        <v>2.4569999999999995E-2</v>
      </c>
      <c r="BD1333" s="304">
        <f t="shared" si="836"/>
        <v>2.4569999999999995E-2</v>
      </c>
      <c r="BE1333" s="28"/>
      <c r="BF1333" s="304" t="str">
        <f t="shared" si="837"/>
        <v/>
      </c>
      <c r="BG1333" s="304" t="str">
        <f t="shared" si="837"/>
        <v/>
      </c>
      <c r="BH1333" s="28"/>
      <c r="BI1333" s="304" t="str">
        <f t="shared" si="838"/>
        <v/>
      </c>
      <c r="BJ1333" s="304" t="str">
        <f t="shared" si="838"/>
        <v/>
      </c>
      <c r="BK1333" s="28"/>
      <c r="BL1333" s="304" t="str">
        <f t="shared" si="839"/>
        <v/>
      </c>
      <c r="BM1333" s="304" t="str">
        <f t="shared" si="839"/>
        <v/>
      </c>
      <c r="BN1333" s="28"/>
      <c r="BO1333" s="304" t="str">
        <f t="shared" si="840"/>
        <v/>
      </c>
      <c r="BP1333" s="304" t="str">
        <f t="shared" si="840"/>
        <v/>
      </c>
      <c r="BQ1333" s="28"/>
      <c r="BR1333" s="304" t="str">
        <f t="shared" si="841"/>
        <v/>
      </c>
      <c r="BS1333" s="304" t="str">
        <f t="shared" si="841"/>
        <v/>
      </c>
      <c r="BT1333" s="28"/>
      <c r="BU1333" s="304" t="str">
        <f t="shared" si="842"/>
        <v/>
      </c>
      <c r="BV1333" s="304" t="str">
        <f t="shared" si="842"/>
        <v/>
      </c>
      <c r="BW1333" s="28"/>
      <c r="BX1333" s="91"/>
    </row>
    <row r="1334" spans="1:76" s="55" customFormat="1" x14ac:dyDescent="0.25">
      <c r="A1334" s="195">
        <v>5</v>
      </c>
      <c r="B1334" s="216" t="str">
        <f t="shared" si="830"/>
        <v>Asia (Sans Japan): FAO. 2017. Reducing Enteric Methane for improving food security and livelihoods</v>
      </c>
      <c r="C1334" s="219" t="s">
        <v>488</v>
      </c>
      <c r="D1334" s="379" t="s">
        <v>269</v>
      </c>
      <c r="E1334" s="219" t="s">
        <v>98</v>
      </c>
      <c r="F1334" s="330" t="s">
        <v>270</v>
      </c>
      <c r="G1334" s="220" t="s">
        <v>26</v>
      </c>
      <c r="H1334" s="221">
        <v>2017</v>
      </c>
      <c r="I1334" s="240"/>
      <c r="J1334" s="383">
        <f t="shared" si="831"/>
        <v>7.2556000000000009E-2</v>
      </c>
      <c r="K1334" s="382" t="s">
        <v>757</v>
      </c>
      <c r="L1334" s="395"/>
      <c r="M1334" s="335" t="str">
        <f>'[1]Advanced Controls'!$I$158</f>
        <v>t CH4-CO2eq per kg of protein</v>
      </c>
      <c r="N1334" s="238"/>
      <c r="O1334" s="227" t="s">
        <v>543</v>
      </c>
      <c r="P1334" s="122"/>
      <c r="Q1334" s="228"/>
      <c r="R1334" s="231">
        <f t="shared" si="843"/>
        <v>7.2556000000000009E-2</v>
      </c>
      <c r="S1334" s="230">
        <f t="shared" si="832"/>
        <v>7.2556000000000009E-2</v>
      </c>
      <c r="T1334" s="231">
        <f t="shared" si="845"/>
        <v>0</v>
      </c>
      <c r="U1334" s="232" t="str">
        <f t="shared" si="833"/>
        <v>t CH4-CO2eq per kg of protein</v>
      </c>
      <c r="V1334" s="28"/>
      <c r="W1334" s="28"/>
      <c r="Y1334" s="91"/>
      <c r="AO1334" s="91"/>
      <c r="AP1334" s="28"/>
      <c r="AQ1334" s="28"/>
      <c r="AR1334" s="237"/>
      <c r="AS1334" s="28"/>
      <c r="AT1334" s="304" t="str">
        <f t="shared" si="844"/>
        <v/>
      </c>
      <c r="AU1334" s="304" t="str">
        <f t="shared" si="844"/>
        <v/>
      </c>
      <c r="AV1334" s="28"/>
      <c r="AW1334" s="304" t="str">
        <f t="shared" si="834"/>
        <v/>
      </c>
      <c r="AX1334" s="304" t="str">
        <f t="shared" si="834"/>
        <v/>
      </c>
      <c r="AY1334" s="28"/>
      <c r="AZ1334" s="304" t="str">
        <f t="shared" si="835"/>
        <v/>
      </c>
      <c r="BA1334" s="304" t="str">
        <f t="shared" si="835"/>
        <v/>
      </c>
      <c r="BB1334" s="28"/>
      <c r="BC1334" s="304">
        <f t="shared" si="836"/>
        <v>7.2556000000000009E-2</v>
      </c>
      <c r="BD1334" s="304">
        <f t="shared" si="836"/>
        <v>7.2556000000000009E-2</v>
      </c>
      <c r="BE1334" s="28"/>
      <c r="BF1334" s="304" t="str">
        <f t="shared" si="837"/>
        <v/>
      </c>
      <c r="BG1334" s="304" t="str">
        <f t="shared" si="837"/>
        <v/>
      </c>
      <c r="BH1334" s="28"/>
      <c r="BI1334" s="304" t="str">
        <f t="shared" si="838"/>
        <v/>
      </c>
      <c r="BJ1334" s="304" t="str">
        <f t="shared" si="838"/>
        <v/>
      </c>
      <c r="BK1334" s="28"/>
      <c r="BL1334" s="304" t="str">
        <f t="shared" si="839"/>
        <v/>
      </c>
      <c r="BM1334" s="304" t="str">
        <f t="shared" si="839"/>
        <v/>
      </c>
      <c r="BN1334" s="28"/>
      <c r="BO1334" s="304" t="str">
        <f t="shared" si="840"/>
        <v/>
      </c>
      <c r="BP1334" s="304" t="str">
        <f t="shared" si="840"/>
        <v/>
      </c>
      <c r="BQ1334" s="28"/>
      <c r="BR1334" s="304" t="str">
        <f t="shared" si="841"/>
        <v/>
      </c>
      <c r="BS1334" s="304" t="str">
        <f t="shared" si="841"/>
        <v/>
      </c>
      <c r="BT1334" s="28"/>
      <c r="BU1334" s="304" t="str">
        <f t="shared" si="842"/>
        <v/>
      </c>
      <c r="BV1334" s="304" t="str">
        <f t="shared" si="842"/>
        <v/>
      </c>
      <c r="BW1334" s="28"/>
      <c r="BX1334" s="91"/>
    </row>
    <row r="1335" spans="1:76" s="55" customFormat="1" x14ac:dyDescent="0.25">
      <c r="A1335" s="195">
        <v>6</v>
      </c>
      <c r="B1335" s="216" t="str">
        <f t="shared" si="830"/>
        <v>Asia (Sans Japan): FAO. 2017. Reducing Enteric Methane for improving food security and livelihoods</v>
      </c>
      <c r="C1335" s="219" t="s">
        <v>488</v>
      </c>
      <c r="D1335" s="379" t="s">
        <v>269</v>
      </c>
      <c r="E1335" s="219" t="s">
        <v>98</v>
      </c>
      <c r="F1335" s="330" t="s">
        <v>270</v>
      </c>
      <c r="G1335" s="220" t="s">
        <v>26</v>
      </c>
      <c r="H1335" s="221">
        <v>2017</v>
      </c>
      <c r="I1335" s="240"/>
      <c r="J1335" s="383">
        <f t="shared" si="831"/>
        <v>4.7652E-2</v>
      </c>
      <c r="K1335" s="382" t="s">
        <v>757</v>
      </c>
      <c r="L1335" s="395"/>
      <c r="M1335" s="335" t="str">
        <f>'[1]Advanced Controls'!$I$158</f>
        <v>t CH4-CO2eq per kg of protein</v>
      </c>
      <c r="N1335" s="238"/>
      <c r="O1335" s="227" t="s">
        <v>544</v>
      </c>
      <c r="P1335" s="122"/>
      <c r="Q1335" s="228"/>
      <c r="R1335" s="231">
        <f t="shared" si="843"/>
        <v>4.7652E-2</v>
      </c>
      <c r="S1335" s="230">
        <f t="shared" si="832"/>
        <v>4.7652E-2</v>
      </c>
      <c r="T1335" s="231">
        <f t="shared" si="845"/>
        <v>0</v>
      </c>
      <c r="U1335" s="232" t="str">
        <f t="shared" si="833"/>
        <v>t CH4-CO2eq per kg of protein</v>
      </c>
      <c r="V1335" s="28"/>
      <c r="W1335" s="28"/>
      <c r="Y1335" s="91"/>
      <c r="AO1335" s="91"/>
      <c r="AP1335" s="28"/>
      <c r="AQ1335" s="28"/>
      <c r="AR1335" s="237"/>
      <c r="AS1335" s="28"/>
      <c r="AT1335" s="304" t="str">
        <f t="shared" si="844"/>
        <v/>
      </c>
      <c r="AU1335" s="304" t="str">
        <f t="shared" si="844"/>
        <v/>
      </c>
      <c r="AV1335" s="28"/>
      <c r="AW1335" s="304" t="str">
        <f t="shared" si="834"/>
        <v/>
      </c>
      <c r="AX1335" s="304" t="str">
        <f t="shared" si="834"/>
        <v/>
      </c>
      <c r="AY1335" s="28"/>
      <c r="AZ1335" s="304" t="str">
        <f t="shared" si="835"/>
        <v/>
      </c>
      <c r="BA1335" s="304" t="str">
        <f t="shared" si="835"/>
        <v/>
      </c>
      <c r="BB1335" s="28"/>
      <c r="BC1335" s="304">
        <f t="shared" si="836"/>
        <v>4.7652E-2</v>
      </c>
      <c r="BD1335" s="304">
        <f t="shared" si="836"/>
        <v>4.7652E-2</v>
      </c>
      <c r="BE1335" s="28"/>
      <c r="BF1335" s="304" t="str">
        <f t="shared" si="837"/>
        <v/>
      </c>
      <c r="BG1335" s="304" t="str">
        <f t="shared" si="837"/>
        <v/>
      </c>
      <c r="BH1335" s="28"/>
      <c r="BI1335" s="304" t="str">
        <f t="shared" si="838"/>
        <v/>
      </c>
      <c r="BJ1335" s="304" t="str">
        <f t="shared" si="838"/>
        <v/>
      </c>
      <c r="BK1335" s="28"/>
      <c r="BL1335" s="304" t="str">
        <f t="shared" si="839"/>
        <v/>
      </c>
      <c r="BM1335" s="304" t="str">
        <f t="shared" si="839"/>
        <v/>
      </c>
      <c r="BN1335" s="28"/>
      <c r="BO1335" s="304" t="str">
        <f t="shared" si="840"/>
        <v/>
      </c>
      <c r="BP1335" s="304" t="str">
        <f t="shared" si="840"/>
        <v/>
      </c>
      <c r="BQ1335" s="28"/>
      <c r="BR1335" s="304" t="str">
        <f t="shared" si="841"/>
        <v/>
      </c>
      <c r="BS1335" s="304" t="str">
        <f t="shared" si="841"/>
        <v/>
      </c>
      <c r="BT1335" s="28"/>
      <c r="BU1335" s="304" t="str">
        <f t="shared" si="842"/>
        <v/>
      </c>
      <c r="BV1335" s="304" t="str">
        <f t="shared" si="842"/>
        <v/>
      </c>
      <c r="BW1335" s="28"/>
      <c r="BX1335" s="91"/>
    </row>
    <row r="1336" spans="1:76" s="55" customFormat="1" x14ac:dyDescent="0.25">
      <c r="A1336" s="195">
        <v>7</v>
      </c>
      <c r="B1336" s="216" t="str">
        <f t="shared" si="830"/>
        <v>Asia (Sans Japan): FAO. 2017. Reducing Enteric Methane for improving food security and livelihoods</v>
      </c>
      <c r="C1336" s="219" t="s">
        <v>488</v>
      </c>
      <c r="D1336" s="379" t="s">
        <v>269</v>
      </c>
      <c r="E1336" s="219" t="s">
        <v>98</v>
      </c>
      <c r="F1336" s="330" t="s">
        <v>270</v>
      </c>
      <c r="G1336" s="220" t="s">
        <v>26</v>
      </c>
      <c r="H1336" s="221">
        <v>2017</v>
      </c>
      <c r="I1336" s="240"/>
      <c r="J1336" s="383">
        <f t="shared" si="831"/>
        <v>0.14079449999999996</v>
      </c>
      <c r="K1336" s="382" t="s">
        <v>757</v>
      </c>
      <c r="L1336" s="395"/>
      <c r="M1336" s="335" t="str">
        <f>'[1]Advanced Controls'!$I$158</f>
        <v>t CH4-CO2eq per kg of protein</v>
      </c>
      <c r="N1336" s="238"/>
      <c r="O1336" s="227" t="s">
        <v>545</v>
      </c>
      <c r="P1336" s="122"/>
      <c r="Q1336" s="228"/>
      <c r="R1336" s="231">
        <f t="shared" si="843"/>
        <v>0.14079449999999996</v>
      </c>
      <c r="S1336" s="230">
        <f t="shared" si="832"/>
        <v>0.14079449999999996</v>
      </c>
      <c r="T1336" s="231" t="str">
        <f t="shared" si="845"/>
        <v/>
      </c>
      <c r="U1336" s="232" t="str">
        <f t="shared" si="833"/>
        <v>t CH4-CO2eq per kg of protein</v>
      </c>
      <c r="V1336" s="28"/>
      <c r="W1336" s="28"/>
      <c r="Y1336" s="91"/>
      <c r="AO1336" s="91"/>
      <c r="AP1336" s="28"/>
      <c r="AQ1336" s="28"/>
      <c r="AR1336" s="237"/>
      <c r="AS1336" s="28"/>
      <c r="AT1336" s="304" t="str">
        <f t="shared" si="844"/>
        <v/>
      </c>
      <c r="AU1336" s="304" t="str">
        <f t="shared" si="844"/>
        <v/>
      </c>
      <c r="AV1336" s="28"/>
      <c r="AW1336" s="304" t="str">
        <f t="shared" si="834"/>
        <v/>
      </c>
      <c r="AX1336" s="304" t="str">
        <f t="shared" si="834"/>
        <v/>
      </c>
      <c r="AY1336" s="28"/>
      <c r="AZ1336" s="304" t="str">
        <f t="shared" si="835"/>
        <v/>
      </c>
      <c r="BA1336" s="304" t="str">
        <f t="shared" si="835"/>
        <v/>
      </c>
      <c r="BB1336" s="28"/>
      <c r="BC1336" s="304">
        <f t="shared" si="836"/>
        <v>0.14079449999999996</v>
      </c>
      <c r="BD1336" s="304">
        <f t="shared" si="836"/>
        <v>0.14079449999999996</v>
      </c>
      <c r="BE1336" s="28"/>
      <c r="BF1336" s="304" t="str">
        <f t="shared" si="837"/>
        <v/>
      </c>
      <c r="BG1336" s="304" t="str">
        <f t="shared" si="837"/>
        <v/>
      </c>
      <c r="BH1336" s="28"/>
      <c r="BI1336" s="304" t="str">
        <f t="shared" si="838"/>
        <v/>
      </c>
      <c r="BJ1336" s="304" t="str">
        <f t="shared" si="838"/>
        <v/>
      </c>
      <c r="BK1336" s="28"/>
      <c r="BL1336" s="304" t="str">
        <f t="shared" si="839"/>
        <v/>
      </c>
      <c r="BM1336" s="304" t="str">
        <f t="shared" si="839"/>
        <v/>
      </c>
      <c r="BN1336" s="28"/>
      <c r="BO1336" s="304" t="str">
        <f t="shared" si="840"/>
        <v/>
      </c>
      <c r="BP1336" s="304" t="str">
        <f t="shared" si="840"/>
        <v/>
      </c>
      <c r="BQ1336" s="28"/>
      <c r="BR1336" s="304" t="str">
        <f t="shared" si="841"/>
        <v/>
      </c>
      <c r="BS1336" s="304" t="str">
        <f t="shared" si="841"/>
        <v/>
      </c>
      <c r="BT1336" s="28"/>
      <c r="BU1336" s="304" t="str">
        <f t="shared" si="842"/>
        <v/>
      </c>
      <c r="BV1336" s="304" t="str">
        <f t="shared" si="842"/>
        <v/>
      </c>
      <c r="BW1336" s="28"/>
      <c r="BX1336" s="91"/>
    </row>
    <row r="1337" spans="1:76" s="55" customFormat="1" x14ac:dyDescent="0.25">
      <c r="A1337" s="195">
        <v>8</v>
      </c>
      <c r="B1337" s="216" t="str">
        <f t="shared" si="830"/>
        <v>Middle East and Africa: FAO. 2017. Reducing Enteric Methane for improving food security and livelihoods</v>
      </c>
      <c r="C1337" s="219" t="s">
        <v>488</v>
      </c>
      <c r="D1337" s="379" t="s">
        <v>252</v>
      </c>
      <c r="E1337" s="219" t="s">
        <v>99</v>
      </c>
      <c r="F1337" s="330" t="s">
        <v>253</v>
      </c>
      <c r="G1337" s="220" t="s">
        <v>26</v>
      </c>
      <c r="H1337" s="221">
        <v>2017</v>
      </c>
      <c r="I1337" s="240"/>
      <c r="J1337" s="383">
        <f t="shared" si="831"/>
        <v>4.2157499999999973E-3</v>
      </c>
      <c r="K1337" s="382" t="s">
        <v>757</v>
      </c>
      <c r="L1337" s="395"/>
      <c r="M1337" s="335" t="str">
        <f>'[1]Advanced Controls'!$I$158</f>
        <v>t CH4-CO2eq per kg of protein</v>
      </c>
      <c r="N1337" s="238"/>
      <c r="O1337" s="227" t="s">
        <v>546</v>
      </c>
      <c r="P1337" s="122"/>
      <c r="Q1337" s="228"/>
      <c r="R1337" s="231">
        <f t="shared" si="843"/>
        <v>4.2157499999999973E-3</v>
      </c>
      <c r="S1337" s="230">
        <f t="shared" si="832"/>
        <v>4.2157499999999973E-3</v>
      </c>
      <c r="T1337" s="231" t="str">
        <f t="shared" si="845"/>
        <v/>
      </c>
      <c r="U1337" s="232" t="str">
        <f t="shared" si="833"/>
        <v>t CH4-CO2eq per kg of protein</v>
      </c>
      <c r="V1337" s="28"/>
      <c r="W1337" s="28"/>
      <c r="Y1337" s="91"/>
      <c r="AO1337" s="91"/>
      <c r="AP1337" s="28"/>
      <c r="AQ1337" s="28"/>
      <c r="AR1337" s="237"/>
      <c r="AS1337" s="28"/>
      <c r="AT1337" s="304" t="str">
        <f t="shared" si="844"/>
        <v/>
      </c>
      <c r="AU1337" s="304" t="str">
        <f t="shared" si="844"/>
        <v/>
      </c>
      <c r="AV1337" s="28"/>
      <c r="AW1337" s="304" t="str">
        <f t="shared" si="834"/>
        <v/>
      </c>
      <c r="AX1337" s="304" t="str">
        <f t="shared" si="834"/>
        <v/>
      </c>
      <c r="AY1337" s="28"/>
      <c r="AZ1337" s="304" t="str">
        <f t="shared" si="835"/>
        <v/>
      </c>
      <c r="BA1337" s="304" t="str">
        <f t="shared" si="835"/>
        <v/>
      </c>
      <c r="BB1337" s="28"/>
      <c r="BC1337" s="304" t="str">
        <f t="shared" si="836"/>
        <v/>
      </c>
      <c r="BD1337" s="304" t="str">
        <f t="shared" si="836"/>
        <v/>
      </c>
      <c r="BE1337" s="28"/>
      <c r="BF1337" s="304">
        <f t="shared" si="837"/>
        <v>4.2157499999999973E-3</v>
      </c>
      <c r="BG1337" s="304">
        <f t="shared" si="837"/>
        <v>4.2157499999999973E-3</v>
      </c>
      <c r="BH1337" s="28"/>
      <c r="BI1337" s="304" t="str">
        <f t="shared" si="838"/>
        <v/>
      </c>
      <c r="BJ1337" s="304" t="str">
        <f t="shared" si="838"/>
        <v/>
      </c>
      <c r="BK1337" s="28"/>
      <c r="BL1337" s="304" t="str">
        <f t="shared" si="839"/>
        <v/>
      </c>
      <c r="BM1337" s="304" t="str">
        <f t="shared" si="839"/>
        <v/>
      </c>
      <c r="BN1337" s="28"/>
      <c r="BO1337" s="304" t="str">
        <f t="shared" si="840"/>
        <v/>
      </c>
      <c r="BP1337" s="304" t="str">
        <f t="shared" si="840"/>
        <v/>
      </c>
      <c r="BQ1337" s="28"/>
      <c r="BR1337" s="304" t="str">
        <f t="shared" si="841"/>
        <v/>
      </c>
      <c r="BS1337" s="304" t="str">
        <f t="shared" si="841"/>
        <v/>
      </c>
      <c r="BT1337" s="28"/>
      <c r="BU1337" s="304" t="str">
        <f t="shared" si="842"/>
        <v/>
      </c>
      <c r="BV1337" s="304" t="str">
        <f t="shared" si="842"/>
        <v/>
      </c>
      <c r="BW1337" s="28"/>
      <c r="BX1337" s="91"/>
    </row>
    <row r="1338" spans="1:76" s="55" customFormat="1" x14ac:dyDescent="0.25">
      <c r="A1338" s="195">
        <v>9</v>
      </c>
      <c r="B1338" s="216" t="str">
        <f t="shared" si="830"/>
        <v>Middle East and Africa: FAO. 2017. Reducing Enteric Methane for improving food security and livelihoods</v>
      </c>
      <c r="C1338" s="219" t="s">
        <v>488</v>
      </c>
      <c r="D1338" s="379" t="s">
        <v>252</v>
      </c>
      <c r="E1338" s="219" t="s">
        <v>99</v>
      </c>
      <c r="F1338" s="330" t="s">
        <v>253</v>
      </c>
      <c r="G1338" s="220" t="s">
        <v>26</v>
      </c>
      <c r="H1338" s="221">
        <v>2017</v>
      </c>
      <c r="I1338" s="240"/>
      <c r="J1338" s="383">
        <f t="shared" si="831"/>
        <v>2.7511000000000008E-2</v>
      </c>
      <c r="K1338" s="382" t="s">
        <v>757</v>
      </c>
      <c r="L1338" s="395"/>
      <c r="M1338" s="335" t="str">
        <f>'[1]Advanced Controls'!$I$158</f>
        <v>t CH4-CO2eq per kg of protein</v>
      </c>
      <c r="N1338" s="238"/>
      <c r="O1338" s="227" t="s">
        <v>547</v>
      </c>
      <c r="P1338" s="122"/>
      <c r="Q1338" s="228"/>
      <c r="R1338" s="231">
        <f t="shared" si="843"/>
        <v>2.7511000000000008E-2</v>
      </c>
      <c r="S1338" s="230">
        <f t="shared" si="832"/>
        <v>2.7511000000000008E-2</v>
      </c>
      <c r="T1338" s="231">
        <f t="shared" si="845"/>
        <v>0</v>
      </c>
      <c r="U1338" s="232" t="str">
        <f t="shared" si="833"/>
        <v>t CH4-CO2eq per kg of protein</v>
      </c>
      <c r="V1338" s="28"/>
      <c r="W1338" s="28"/>
      <c r="Y1338" s="91"/>
      <c r="AO1338" s="91"/>
      <c r="AP1338" s="28"/>
      <c r="AQ1338" s="28"/>
      <c r="AR1338" s="237"/>
      <c r="AS1338" s="28"/>
      <c r="AT1338" s="304" t="str">
        <f t="shared" si="844"/>
        <v/>
      </c>
      <c r="AU1338" s="304" t="str">
        <f t="shared" si="844"/>
        <v/>
      </c>
      <c r="AV1338" s="28"/>
      <c r="AW1338" s="304" t="str">
        <f t="shared" si="834"/>
        <v/>
      </c>
      <c r="AX1338" s="304" t="str">
        <f t="shared" si="834"/>
        <v/>
      </c>
      <c r="AY1338" s="28"/>
      <c r="AZ1338" s="304" t="str">
        <f t="shared" si="835"/>
        <v/>
      </c>
      <c r="BA1338" s="304" t="str">
        <f t="shared" si="835"/>
        <v/>
      </c>
      <c r="BB1338" s="28"/>
      <c r="BC1338" s="304" t="str">
        <f t="shared" si="836"/>
        <v/>
      </c>
      <c r="BD1338" s="304" t="str">
        <f t="shared" si="836"/>
        <v/>
      </c>
      <c r="BE1338" s="28"/>
      <c r="BF1338" s="304">
        <f t="shared" si="837"/>
        <v>2.7511000000000008E-2</v>
      </c>
      <c r="BG1338" s="304">
        <f t="shared" si="837"/>
        <v>2.7511000000000008E-2</v>
      </c>
      <c r="BH1338" s="28"/>
      <c r="BI1338" s="304" t="str">
        <f t="shared" si="838"/>
        <v/>
      </c>
      <c r="BJ1338" s="304" t="str">
        <f t="shared" si="838"/>
        <v/>
      </c>
      <c r="BK1338" s="28"/>
      <c r="BL1338" s="304" t="str">
        <f t="shared" si="839"/>
        <v/>
      </c>
      <c r="BM1338" s="304" t="str">
        <f t="shared" si="839"/>
        <v/>
      </c>
      <c r="BN1338" s="28"/>
      <c r="BO1338" s="304" t="str">
        <f t="shared" si="840"/>
        <v/>
      </c>
      <c r="BP1338" s="304" t="str">
        <f t="shared" si="840"/>
        <v/>
      </c>
      <c r="BQ1338" s="28"/>
      <c r="BR1338" s="304" t="str">
        <f t="shared" si="841"/>
        <v/>
      </c>
      <c r="BS1338" s="304" t="str">
        <f t="shared" si="841"/>
        <v/>
      </c>
      <c r="BT1338" s="28"/>
      <c r="BU1338" s="304" t="str">
        <f t="shared" si="842"/>
        <v/>
      </c>
      <c r="BV1338" s="304" t="str">
        <f t="shared" si="842"/>
        <v/>
      </c>
      <c r="BW1338" s="28"/>
      <c r="BX1338" s="91"/>
    </row>
    <row r="1339" spans="1:76" s="55" customFormat="1" x14ac:dyDescent="0.25">
      <c r="A1339" s="195">
        <v>10</v>
      </c>
      <c r="B1339" s="216" t="str">
        <f t="shared" si="830"/>
        <v>Middle East and Africa: FAO. 2017. Reducing Enteric Methane for improving food security and livelihoods</v>
      </c>
      <c r="C1339" s="219" t="s">
        <v>488</v>
      </c>
      <c r="D1339" s="379" t="s">
        <v>252</v>
      </c>
      <c r="E1339" s="219" t="s">
        <v>99</v>
      </c>
      <c r="F1339" s="330" t="s">
        <v>253</v>
      </c>
      <c r="G1339" s="220" t="s">
        <v>26</v>
      </c>
      <c r="H1339" s="221">
        <v>2017</v>
      </c>
      <c r="I1339" s="240"/>
      <c r="J1339" s="383">
        <f t="shared" si="831"/>
        <v>1.1607750000000007E-2</v>
      </c>
      <c r="K1339" s="382" t="s">
        <v>757</v>
      </c>
      <c r="L1339" s="395"/>
      <c r="M1339" s="335" t="str">
        <f>'[1]Advanced Controls'!$I$158</f>
        <v>t CH4-CO2eq per kg of protein</v>
      </c>
      <c r="N1339" s="238"/>
      <c r="O1339" s="227" t="s">
        <v>548</v>
      </c>
      <c r="P1339" s="122"/>
      <c r="Q1339" s="228"/>
      <c r="R1339" s="231">
        <f t="shared" si="843"/>
        <v>1.1607750000000007E-2</v>
      </c>
      <c r="S1339" s="230">
        <f t="shared" si="832"/>
        <v>1.1607750000000007E-2</v>
      </c>
      <c r="T1339" s="231">
        <f t="shared" si="845"/>
        <v>0</v>
      </c>
      <c r="U1339" s="232" t="str">
        <f t="shared" si="833"/>
        <v>t CH4-CO2eq per kg of protein</v>
      </c>
      <c r="V1339" s="28"/>
      <c r="W1339" s="28"/>
      <c r="Y1339" s="91"/>
      <c r="AO1339" s="91"/>
      <c r="AP1339" s="28"/>
      <c r="AQ1339" s="28"/>
      <c r="AR1339" s="237"/>
      <c r="AS1339" s="28"/>
      <c r="AT1339" s="304" t="str">
        <f t="shared" si="844"/>
        <v/>
      </c>
      <c r="AU1339" s="304" t="str">
        <f t="shared" si="844"/>
        <v/>
      </c>
      <c r="AV1339" s="28"/>
      <c r="AW1339" s="304" t="str">
        <f t="shared" si="834"/>
        <v/>
      </c>
      <c r="AX1339" s="304" t="str">
        <f t="shared" si="834"/>
        <v/>
      </c>
      <c r="AY1339" s="28"/>
      <c r="AZ1339" s="304" t="str">
        <f t="shared" si="835"/>
        <v/>
      </c>
      <c r="BA1339" s="304" t="str">
        <f t="shared" si="835"/>
        <v/>
      </c>
      <c r="BB1339" s="28"/>
      <c r="BC1339" s="304" t="str">
        <f t="shared" si="836"/>
        <v/>
      </c>
      <c r="BD1339" s="304" t="str">
        <f t="shared" si="836"/>
        <v/>
      </c>
      <c r="BE1339" s="28"/>
      <c r="BF1339" s="304">
        <f t="shared" si="837"/>
        <v>1.1607750000000007E-2</v>
      </c>
      <c r="BG1339" s="304">
        <f t="shared" si="837"/>
        <v>1.1607750000000007E-2</v>
      </c>
      <c r="BH1339" s="28"/>
      <c r="BI1339" s="304" t="str">
        <f t="shared" si="838"/>
        <v/>
      </c>
      <c r="BJ1339" s="304" t="str">
        <f t="shared" si="838"/>
        <v/>
      </c>
      <c r="BK1339" s="28"/>
      <c r="BL1339" s="304" t="str">
        <f t="shared" si="839"/>
        <v/>
      </c>
      <c r="BM1339" s="304" t="str">
        <f t="shared" si="839"/>
        <v/>
      </c>
      <c r="BN1339" s="28"/>
      <c r="BO1339" s="304" t="str">
        <f t="shared" si="840"/>
        <v/>
      </c>
      <c r="BP1339" s="304" t="str">
        <f t="shared" si="840"/>
        <v/>
      </c>
      <c r="BQ1339" s="28"/>
      <c r="BR1339" s="304" t="str">
        <f t="shared" si="841"/>
        <v/>
      </c>
      <c r="BS1339" s="304" t="str">
        <f t="shared" si="841"/>
        <v/>
      </c>
      <c r="BT1339" s="28"/>
      <c r="BU1339" s="304" t="str">
        <f t="shared" si="842"/>
        <v/>
      </c>
      <c r="BV1339" s="304" t="str">
        <f t="shared" si="842"/>
        <v/>
      </c>
      <c r="BW1339" s="28"/>
      <c r="BX1339" s="91"/>
    </row>
    <row r="1340" spans="1:76" s="55" customFormat="1" x14ac:dyDescent="0.25">
      <c r="A1340" s="195">
        <v>11</v>
      </c>
      <c r="B1340" s="216" t="str">
        <f t="shared" si="830"/>
        <v>Middle East and Africa: FAO. 2017. Reducing Enteric Methane for improving food security and livelihoods</v>
      </c>
      <c r="C1340" s="219" t="s">
        <v>488</v>
      </c>
      <c r="D1340" s="379" t="s">
        <v>252</v>
      </c>
      <c r="E1340" s="219" t="s">
        <v>99</v>
      </c>
      <c r="F1340" s="330" t="s">
        <v>253</v>
      </c>
      <c r="G1340" s="220" t="s">
        <v>26</v>
      </c>
      <c r="H1340" s="221">
        <v>2017</v>
      </c>
      <c r="I1340" s="240"/>
      <c r="J1340" s="383">
        <f t="shared" si="831"/>
        <v>5.0399249999999993E-2</v>
      </c>
      <c r="K1340" s="382" t="s">
        <v>757</v>
      </c>
      <c r="L1340" s="395"/>
      <c r="M1340" s="335" t="str">
        <f>'[1]Advanced Controls'!$I$158</f>
        <v>t CH4-CO2eq per kg of protein</v>
      </c>
      <c r="N1340" s="238"/>
      <c r="O1340" s="227" t="s">
        <v>549</v>
      </c>
      <c r="P1340" s="122"/>
      <c r="Q1340" s="228"/>
      <c r="R1340" s="231">
        <f t="shared" si="843"/>
        <v>5.0399249999999993E-2</v>
      </c>
      <c r="S1340" s="230">
        <f t="shared" si="832"/>
        <v>5.0399249999999993E-2</v>
      </c>
      <c r="T1340" s="231" t="str">
        <f t="shared" si="845"/>
        <v/>
      </c>
      <c r="U1340" s="232" t="str">
        <f t="shared" si="833"/>
        <v>t CH4-CO2eq per kg of protein</v>
      </c>
      <c r="V1340" s="28"/>
      <c r="W1340" s="28"/>
      <c r="Y1340" s="91"/>
      <c r="AO1340" s="91"/>
      <c r="AP1340" s="28"/>
      <c r="AQ1340" s="28"/>
      <c r="AR1340" s="237"/>
      <c r="AS1340" s="28"/>
      <c r="AT1340" s="304" t="str">
        <f t="shared" si="844"/>
        <v/>
      </c>
      <c r="AU1340" s="304" t="str">
        <f t="shared" si="844"/>
        <v/>
      </c>
      <c r="AV1340" s="28"/>
      <c r="AW1340" s="304" t="str">
        <f t="shared" si="834"/>
        <v/>
      </c>
      <c r="AX1340" s="304" t="str">
        <f t="shared" si="834"/>
        <v/>
      </c>
      <c r="AY1340" s="28"/>
      <c r="AZ1340" s="304" t="str">
        <f t="shared" si="835"/>
        <v/>
      </c>
      <c r="BA1340" s="304" t="str">
        <f t="shared" si="835"/>
        <v/>
      </c>
      <c r="BB1340" s="28"/>
      <c r="BC1340" s="304" t="str">
        <f t="shared" si="836"/>
        <v/>
      </c>
      <c r="BD1340" s="304" t="str">
        <f t="shared" si="836"/>
        <v/>
      </c>
      <c r="BE1340" s="28"/>
      <c r="BF1340" s="304">
        <f t="shared" si="837"/>
        <v>5.0399249999999993E-2</v>
      </c>
      <c r="BG1340" s="304">
        <f t="shared" si="837"/>
        <v>5.0399249999999993E-2</v>
      </c>
      <c r="BH1340" s="28"/>
      <c r="BI1340" s="304" t="str">
        <f t="shared" si="838"/>
        <v/>
      </c>
      <c r="BJ1340" s="304" t="str">
        <f t="shared" si="838"/>
        <v/>
      </c>
      <c r="BK1340" s="28"/>
      <c r="BL1340" s="304" t="str">
        <f t="shared" si="839"/>
        <v/>
      </c>
      <c r="BM1340" s="304" t="str">
        <f t="shared" si="839"/>
        <v/>
      </c>
      <c r="BN1340" s="28"/>
      <c r="BO1340" s="304" t="str">
        <f t="shared" si="840"/>
        <v/>
      </c>
      <c r="BP1340" s="304" t="str">
        <f t="shared" si="840"/>
        <v/>
      </c>
      <c r="BQ1340" s="28"/>
      <c r="BR1340" s="304" t="str">
        <f t="shared" si="841"/>
        <v/>
      </c>
      <c r="BS1340" s="304" t="str">
        <f t="shared" si="841"/>
        <v/>
      </c>
      <c r="BT1340" s="28"/>
      <c r="BU1340" s="304" t="str">
        <f t="shared" si="842"/>
        <v/>
      </c>
      <c r="BV1340" s="304" t="str">
        <f t="shared" si="842"/>
        <v/>
      </c>
      <c r="BW1340" s="28"/>
      <c r="BX1340" s="91"/>
    </row>
    <row r="1341" spans="1:76" s="55" customFormat="1" x14ac:dyDescent="0.25">
      <c r="A1341" s="195">
        <v>12</v>
      </c>
      <c r="B1341" s="216" t="str">
        <f t="shared" si="830"/>
        <v>Middle East and Africa: FAO. 2017. Reducing Enteric Methane for improving food security and livelihoods</v>
      </c>
      <c r="C1341" s="219" t="s">
        <v>488</v>
      </c>
      <c r="D1341" s="379" t="s">
        <v>252</v>
      </c>
      <c r="E1341" s="219" t="s">
        <v>99</v>
      </c>
      <c r="F1341" s="330" t="s">
        <v>253</v>
      </c>
      <c r="G1341" s="220" t="s">
        <v>26</v>
      </c>
      <c r="H1341" s="221">
        <v>2017</v>
      </c>
      <c r="I1341" s="240"/>
      <c r="J1341" s="383">
        <f t="shared" si="831"/>
        <v>2.0696500000000007E-2</v>
      </c>
      <c r="K1341" s="382" t="s">
        <v>757</v>
      </c>
      <c r="L1341" s="395"/>
      <c r="M1341" s="335" t="str">
        <f>'[1]Advanced Controls'!$I$158</f>
        <v>t CH4-CO2eq per kg of protein</v>
      </c>
      <c r="N1341" s="238"/>
      <c r="O1341" s="227" t="s">
        <v>550</v>
      </c>
      <c r="P1341" s="122"/>
      <c r="Q1341" s="228"/>
      <c r="R1341" s="231">
        <f t="shared" si="843"/>
        <v>2.0696500000000007E-2</v>
      </c>
      <c r="S1341" s="230">
        <f t="shared" si="832"/>
        <v>2.0696500000000007E-2</v>
      </c>
      <c r="T1341" s="231">
        <f t="shared" si="845"/>
        <v>0</v>
      </c>
      <c r="U1341" s="232" t="str">
        <f t="shared" si="833"/>
        <v>t CH4-CO2eq per kg of protein</v>
      </c>
      <c r="V1341" s="28"/>
      <c r="W1341" s="28"/>
      <c r="Y1341" s="91"/>
      <c r="AO1341" s="91"/>
      <c r="AP1341" s="28"/>
      <c r="AQ1341" s="28"/>
      <c r="AR1341" s="237"/>
      <c r="AS1341" s="28"/>
      <c r="AT1341" s="304" t="str">
        <f t="shared" si="844"/>
        <v/>
      </c>
      <c r="AU1341" s="304" t="str">
        <f t="shared" si="844"/>
        <v/>
      </c>
      <c r="AV1341" s="28"/>
      <c r="AW1341" s="304" t="str">
        <f t="shared" si="834"/>
        <v/>
      </c>
      <c r="AX1341" s="304" t="str">
        <f t="shared" si="834"/>
        <v/>
      </c>
      <c r="AY1341" s="28"/>
      <c r="AZ1341" s="304" t="str">
        <f t="shared" si="835"/>
        <v/>
      </c>
      <c r="BA1341" s="304" t="str">
        <f t="shared" si="835"/>
        <v/>
      </c>
      <c r="BB1341" s="28"/>
      <c r="BC1341" s="304" t="str">
        <f t="shared" si="836"/>
        <v/>
      </c>
      <c r="BD1341" s="304" t="str">
        <f t="shared" si="836"/>
        <v/>
      </c>
      <c r="BE1341" s="28"/>
      <c r="BF1341" s="304">
        <f t="shared" si="837"/>
        <v>2.0696500000000007E-2</v>
      </c>
      <c r="BG1341" s="304">
        <f t="shared" si="837"/>
        <v>2.0696500000000007E-2</v>
      </c>
      <c r="BH1341" s="28"/>
      <c r="BI1341" s="304" t="str">
        <f t="shared" si="838"/>
        <v/>
      </c>
      <c r="BJ1341" s="304" t="str">
        <f t="shared" si="838"/>
        <v/>
      </c>
      <c r="BK1341" s="28"/>
      <c r="BL1341" s="304" t="str">
        <f t="shared" si="839"/>
        <v/>
      </c>
      <c r="BM1341" s="304" t="str">
        <f t="shared" si="839"/>
        <v/>
      </c>
      <c r="BN1341" s="28"/>
      <c r="BO1341" s="304" t="str">
        <f t="shared" si="840"/>
        <v/>
      </c>
      <c r="BP1341" s="304" t="str">
        <f t="shared" si="840"/>
        <v/>
      </c>
      <c r="BQ1341" s="28"/>
      <c r="BR1341" s="304" t="str">
        <f t="shared" si="841"/>
        <v/>
      </c>
      <c r="BS1341" s="304" t="str">
        <f t="shared" si="841"/>
        <v/>
      </c>
      <c r="BT1341" s="28"/>
      <c r="BU1341" s="304" t="str">
        <f t="shared" si="842"/>
        <v/>
      </c>
      <c r="BV1341" s="304" t="str">
        <f t="shared" si="842"/>
        <v/>
      </c>
      <c r="BW1341" s="28"/>
      <c r="BX1341" s="91"/>
    </row>
    <row r="1342" spans="1:76" s="55" customFormat="1" x14ac:dyDescent="0.25">
      <c r="A1342" s="195">
        <v>13</v>
      </c>
      <c r="B1342" s="216" t="str">
        <f t="shared" si="830"/>
        <v>Middle East and Africa: FAO. 2017. Reducing Enteric Methane for improving food security and livelihoods</v>
      </c>
      <c r="C1342" s="219" t="s">
        <v>488</v>
      </c>
      <c r="D1342" s="379" t="s">
        <v>252</v>
      </c>
      <c r="E1342" s="219" t="s">
        <v>99</v>
      </c>
      <c r="F1342" s="330" t="s">
        <v>253</v>
      </c>
      <c r="G1342" s="220" t="s">
        <v>26</v>
      </c>
      <c r="H1342" s="221">
        <v>2017</v>
      </c>
      <c r="I1342" s="240"/>
      <c r="J1342" s="383">
        <f t="shared" si="831"/>
        <v>7.3287499999999811E-3</v>
      </c>
      <c r="K1342" s="382" t="s">
        <v>757</v>
      </c>
      <c r="L1342" s="395"/>
      <c r="M1342" s="335" t="str">
        <f>'[1]Advanced Controls'!$I$158</f>
        <v>t CH4-CO2eq per kg of protein</v>
      </c>
      <c r="N1342" s="238"/>
      <c r="O1342" s="227" t="s">
        <v>551</v>
      </c>
      <c r="P1342" s="122"/>
      <c r="Q1342" s="228"/>
      <c r="R1342" s="231">
        <f t="shared" si="843"/>
        <v>7.3287499999999811E-3</v>
      </c>
      <c r="S1342" s="230">
        <f t="shared" si="832"/>
        <v>7.3287499999999811E-3</v>
      </c>
      <c r="T1342" s="231">
        <f t="shared" si="845"/>
        <v>0</v>
      </c>
      <c r="U1342" s="232" t="str">
        <f t="shared" si="833"/>
        <v>t CH4-CO2eq per kg of protein</v>
      </c>
      <c r="V1342" s="28"/>
      <c r="W1342" s="28"/>
      <c r="Y1342" s="91"/>
      <c r="AO1342" s="91"/>
      <c r="AP1342" s="28"/>
      <c r="AQ1342" s="28"/>
      <c r="AR1342" s="237"/>
      <c r="AS1342" s="28"/>
      <c r="AT1342" s="304" t="str">
        <f t="shared" si="844"/>
        <v/>
      </c>
      <c r="AU1342" s="304" t="str">
        <f t="shared" si="844"/>
        <v/>
      </c>
      <c r="AV1342" s="28"/>
      <c r="AW1342" s="304" t="str">
        <f t="shared" si="834"/>
        <v/>
      </c>
      <c r="AX1342" s="304" t="str">
        <f t="shared" si="834"/>
        <v/>
      </c>
      <c r="AY1342" s="28"/>
      <c r="AZ1342" s="304" t="str">
        <f t="shared" si="835"/>
        <v/>
      </c>
      <c r="BA1342" s="304" t="str">
        <f t="shared" si="835"/>
        <v/>
      </c>
      <c r="BB1342" s="28"/>
      <c r="BC1342" s="304" t="str">
        <f t="shared" si="836"/>
        <v/>
      </c>
      <c r="BD1342" s="304" t="str">
        <f t="shared" si="836"/>
        <v/>
      </c>
      <c r="BE1342" s="28"/>
      <c r="BF1342" s="304">
        <f t="shared" si="837"/>
        <v>7.3287499999999811E-3</v>
      </c>
      <c r="BG1342" s="304">
        <f t="shared" si="837"/>
        <v>7.3287499999999811E-3</v>
      </c>
      <c r="BH1342" s="28"/>
      <c r="BI1342" s="304" t="str">
        <f t="shared" si="838"/>
        <v/>
      </c>
      <c r="BJ1342" s="304" t="str">
        <f t="shared" si="838"/>
        <v/>
      </c>
      <c r="BK1342" s="28"/>
      <c r="BL1342" s="304" t="str">
        <f t="shared" si="839"/>
        <v/>
      </c>
      <c r="BM1342" s="304" t="str">
        <f t="shared" si="839"/>
        <v/>
      </c>
      <c r="BN1342" s="28"/>
      <c r="BO1342" s="304" t="str">
        <f t="shared" si="840"/>
        <v/>
      </c>
      <c r="BP1342" s="304" t="str">
        <f t="shared" si="840"/>
        <v/>
      </c>
      <c r="BQ1342" s="28"/>
      <c r="BR1342" s="304" t="str">
        <f t="shared" si="841"/>
        <v/>
      </c>
      <c r="BS1342" s="304" t="str">
        <f t="shared" si="841"/>
        <v/>
      </c>
      <c r="BT1342" s="28"/>
      <c r="BU1342" s="304" t="str">
        <f t="shared" si="842"/>
        <v/>
      </c>
      <c r="BV1342" s="304" t="str">
        <f t="shared" si="842"/>
        <v/>
      </c>
      <c r="BW1342" s="28"/>
      <c r="BX1342" s="91"/>
    </row>
    <row r="1343" spans="1:76" s="55" customFormat="1" x14ac:dyDescent="0.25">
      <c r="A1343" s="195">
        <v>14</v>
      </c>
      <c r="B1343" s="216" t="str">
        <f t="shared" si="830"/>
        <v>Middle East and Africa: FAO. 2017. Reducing Enteric Methane for improving food security and livelihoods</v>
      </c>
      <c r="C1343" s="219" t="s">
        <v>488</v>
      </c>
      <c r="D1343" s="379" t="s">
        <v>252</v>
      </c>
      <c r="E1343" s="219" t="s">
        <v>99</v>
      </c>
      <c r="F1343" s="330" t="s">
        <v>253</v>
      </c>
      <c r="G1343" s="220" t="s">
        <v>26</v>
      </c>
      <c r="H1343" s="221">
        <v>2017</v>
      </c>
      <c r="I1343" s="240"/>
      <c r="J1343" s="383">
        <f t="shared" si="831"/>
        <v>7.1032499999999985E-3</v>
      </c>
      <c r="K1343" s="382" t="s">
        <v>757</v>
      </c>
      <c r="L1343" s="395"/>
      <c r="M1343" s="335" t="str">
        <f>'[1]Advanced Controls'!$I$158</f>
        <v>t CH4-CO2eq per kg of protein</v>
      </c>
      <c r="N1343" s="238"/>
      <c r="O1343" s="227" t="s">
        <v>552</v>
      </c>
      <c r="P1343" s="122"/>
      <c r="Q1343" s="228"/>
      <c r="R1343" s="231">
        <f t="shared" si="843"/>
        <v>7.1032499999999985E-3</v>
      </c>
      <c r="S1343" s="230">
        <f t="shared" si="832"/>
        <v>7.1032499999999985E-3</v>
      </c>
      <c r="T1343" s="231">
        <f t="shared" si="845"/>
        <v>0</v>
      </c>
      <c r="U1343" s="232" t="str">
        <f t="shared" si="833"/>
        <v>t CH4-CO2eq per kg of protein</v>
      </c>
      <c r="V1343" s="28"/>
      <c r="W1343" s="28"/>
      <c r="Y1343" s="91"/>
      <c r="AO1343" s="91"/>
      <c r="AP1343" s="28"/>
      <c r="AQ1343" s="28"/>
      <c r="AR1343" s="237"/>
      <c r="AS1343" s="28"/>
      <c r="AT1343" s="304" t="str">
        <f t="shared" si="844"/>
        <v/>
      </c>
      <c r="AU1343" s="304" t="str">
        <f t="shared" si="844"/>
        <v/>
      </c>
      <c r="AV1343" s="28"/>
      <c r="AW1343" s="304" t="str">
        <f t="shared" si="834"/>
        <v/>
      </c>
      <c r="AX1343" s="304" t="str">
        <f t="shared" si="834"/>
        <v/>
      </c>
      <c r="AY1343" s="28"/>
      <c r="AZ1343" s="304" t="str">
        <f t="shared" si="835"/>
        <v/>
      </c>
      <c r="BA1343" s="304" t="str">
        <f t="shared" si="835"/>
        <v/>
      </c>
      <c r="BB1343" s="28"/>
      <c r="BC1343" s="304" t="str">
        <f t="shared" si="836"/>
        <v/>
      </c>
      <c r="BD1343" s="304" t="str">
        <f t="shared" si="836"/>
        <v/>
      </c>
      <c r="BE1343" s="28"/>
      <c r="BF1343" s="304">
        <f t="shared" si="837"/>
        <v>7.1032499999999985E-3</v>
      </c>
      <c r="BG1343" s="304">
        <f t="shared" si="837"/>
        <v>7.1032499999999985E-3</v>
      </c>
      <c r="BH1343" s="28"/>
      <c r="BI1343" s="304" t="str">
        <f t="shared" si="838"/>
        <v/>
      </c>
      <c r="BJ1343" s="304" t="str">
        <f t="shared" si="838"/>
        <v/>
      </c>
      <c r="BK1343" s="28"/>
      <c r="BL1343" s="304" t="str">
        <f t="shared" si="839"/>
        <v/>
      </c>
      <c r="BM1343" s="304" t="str">
        <f t="shared" si="839"/>
        <v/>
      </c>
      <c r="BN1343" s="28"/>
      <c r="BO1343" s="304" t="str">
        <f t="shared" si="840"/>
        <v/>
      </c>
      <c r="BP1343" s="304" t="str">
        <f t="shared" si="840"/>
        <v/>
      </c>
      <c r="BQ1343" s="28"/>
      <c r="BR1343" s="304" t="str">
        <f t="shared" si="841"/>
        <v/>
      </c>
      <c r="BS1343" s="304" t="str">
        <f t="shared" si="841"/>
        <v/>
      </c>
      <c r="BT1343" s="28"/>
      <c r="BU1343" s="304" t="str">
        <f t="shared" si="842"/>
        <v/>
      </c>
      <c r="BV1343" s="304" t="str">
        <f t="shared" si="842"/>
        <v/>
      </c>
      <c r="BW1343" s="28"/>
      <c r="BX1343" s="91"/>
    </row>
    <row r="1344" spans="1:76" s="55" customFormat="1" x14ac:dyDescent="0.25">
      <c r="A1344" s="195">
        <v>15</v>
      </c>
      <c r="B1344" s="216" t="str">
        <f t="shared" si="830"/>
        <v>Middle East and Africa: FAO. 2017. Reducing Enteric Methane for improving food security and livelihoods</v>
      </c>
      <c r="C1344" s="219" t="s">
        <v>488</v>
      </c>
      <c r="D1344" s="379" t="s">
        <v>240</v>
      </c>
      <c r="E1344" s="219" t="s">
        <v>99</v>
      </c>
      <c r="F1344" s="330" t="s">
        <v>241</v>
      </c>
      <c r="G1344" s="220" t="s">
        <v>26</v>
      </c>
      <c r="H1344" s="221">
        <v>2017</v>
      </c>
      <c r="I1344" s="240"/>
      <c r="J1344" s="383">
        <f t="shared" si="831"/>
        <v>0.33466725000000008</v>
      </c>
      <c r="K1344" s="382" t="s">
        <v>757</v>
      </c>
      <c r="L1344" s="395"/>
      <c r="M1344" s="335" t="str">
        <f>'[1]Advanced Controls'!$I$158</f>
        <v>t CH4-CO2eq per kg of protein</v>
      </c>
      <c r="N1344" s="238"/>
      <c r="O1344" s="227" t="s">
        <v>553</v>
      </c>
      <c r="P1344" s="122"/>
      <c r="Q1344" s="228"/>
      <c r="R1344" s="231">
        <f t="shared" si="843"/>
        <v>0.33466725000000008</v>
      </c>
      <c r="S1344" s="230">
        <f t="shared" si="832"/>
        <v>0.33466725000000008</v>
      </c>
      <c r="T1344" s="231">
        <f t="shared" si="845"/>
        <v>0</v>
      </c>
      <c r="U1344" s="232" t="str">
        <f t="shared" si="833"/>
        <v>t CH4-CO2eq per kg of protein</v>
      </c>
      <c r="V1344" s="28"/>
      <c r="W1344" s="28"/>
      <c r="Y1344" s="91"/>
      <c r="AO1344" s="91"/>
      <c r="AP1344" s="28"/>
      <c r="AQ1344" s="28"/>
      <c r="AR1344" s="237"/>
      <c r="AS1344" s="28"/>
      <c r="AT1344" s="304" t="str">
        <f t="shared" si="844"/>
        <v/>
      </c>
      <c r="AU1344" s="304" t="str">
        <f t="shared" si="844"/>
        <v/>
      </c>
      <c r="AV1344" s="28"/>
      <c r="AW1344" s="304" t="str">
        <f t="shared" si="834"/>
        <v/>
      </c>
      <c r="AX1344" s="304" t="str">
        <f t="shared" si="834"/>
        <v/>
      </c>
      <c r="AY1344" s="28"/>
      <c r="AZ1344" s="304" t="str">
        <f t="shared" si="835"/>
        <v/>
      </c>
      <c r="BA1344" s="304" t="str">
        <f t="shared" si="835"/>
        <v/>
      </c>
      <c r="BB1344" s="28"/>
      <c r="BC1344" s="304" t="str">
        <f t="shared" si="836"/>
        <v/>
      </c>
      <c r="BD1344" s="304" t="str">
        <f t="shared" si="836"/>
        <v/>
      </c>
      <c r="BE1344" s="28"/>
      <c r="BF1344" s="304">
        <f t="shared" si="837"/>
        <v>0.33466725000000008</v>
      </c>
      <c r="BG1344" s="304">
        <f t="shared" si="837"/>
        <v>0.33466725000000008</v>
      </c>
      <c r="BH1344" s="28"/>
      <c r="BI1344" s="304" t="str">
        <f t="shared" si="838"/>
        <v/>
      </c>
      <c r="BJ1344" s="304" t="str">
        <f t="shared" si="838"/>
        <v/>
      </c>
      <c r="BK1344" s="28"/>
      <c r="BL1344" s="304" t="str">
        <f t="shared" si="839"/>
        <v/>
      </c>
      <c r="BM1344" s="304" t="str">
        <f t="shared" si="839"/>
        <v/>
      </c>
      <c r="BN1344" s="28"/>
      <c r="BO1344" s="304" t="str">
        <f t="shared" si="840"/>
        <v/>
      </c>
      <c r="BP1344" s="304" t="str">
        <f t="shared" si="840"/>
        <v/>
      </c>
      <c r="BQ1344" s="28"/>
      <c r="BR1344" s="304" t="str">
        <f t="shared" si="841"/>
        <v/>
      </c>
      <c r="BS1344" s="304" t="str">
        <f t="shared" si="841"/>
        <v/>
      </c>
      <c r="BT1344" s="28"/>
      <c r="BU1344" s="304" t="str">
        <f t="shared" si="842"/>
        <v/>
      </c>
      <c r="BV1344" s="304" t="str">
        <f t="shared" si="842"/>
        <v/>
      </c>
      <c r="BW1344" s="28"/>
      <c r="BX1344" s="91"/>
    </row>
    <row r="1345" spans="1:76" s="55" customFormat="1" x14ac:dyDescent="0.25">
      <c r="A1345" s="195">
        <v>16</v>
      </c>
      <c r="B1345" s="216" t="str">
        <f t="shared" si="830"/>
        <v>Middle East and Africa: FAO. 2017. Reducing Enteric Methane for improving food security and livelihoods</v>
      </c>
      <c r="C1345" s="219" t="s">
        <v>488</v>
      </c>
      <c r="D1345" s="379" t="s">
        <v>240</v>
      </c>
      <c r="E1345" s="219" t="s">
        <v>99</v>
      </c>
      <c r="F1345" s="330" t="s">
        <v>241</v>
      </c>
      <c r="G1345" s="220" t="s">
        <v>26</v>
      </c>
      <c r="H1345" s="221">
        <v>2017</v>
      </c>
      <c r="I1345" s="240"/>
      <c r="J1345" s="383">
        <f t="shared" si="831"/>
        <v>0.10431028125000003</v>
      </c>
      <c r="K1345" s="382" t="s">
        <v>757</v>
      </c>
      <c r="L1345" s="395"/>
      <c r="M1345" s="335" t="str">
        <f>'[1]Advanced Controls'!$I$158</f>
        <v>t CH4-CO2eq per kg of protein</v>
      </c>
      <c r="N1345" s="238"/>
      <c r="O1345" s="227" t="s">
        <v>554</v>
      </c>
      <c r="P1345" s="122"/>
      <c r="Q1345" s="228"/>
      <c r="R1345" s="231">
        <f t="shared" si="843"/>
        <v>0.10431028125000003</v>
      </c>
      <c r="S1345" s="230">
        <f t="shared" si="832"/>
        <v>0.10431028125000003</v>
      </c>
      <c r="T1345" s="231">
        <f t="shared" si="845"/>
        <v>0</v>
      </c>
      <c r="U1345" s="232" t="str">
        <f t="shared" si="833"/>
        <v>t CH4-CO2eq per kg of protein</v>
      </c>
      <c r="V1345" s="28"/>
      <c r="W1345" s="28"/>
      <c r="Y1345" s="91"/>
      <c r="AO1345" s="91"/>
      <c r="AP1345" s="28"/>
      <c r="AQ1345" s="28"/>
      <c r="AR1345" s="237"/>
      <c r="AS1345" s="28"/>
      <c r="AT1345" s="304" t="str">
        <f t="shared" si="844"/>
        <v/>
      </c>
      <c r="AU1345" s="304" t="str">
        <f t="shared" si="844"/>
        <v/>
      </c>
      <c r="AV1345" s="28"/>
      <c r="AW1345" s="304" t="str">
        <f t="shared" si="834"/>
        <v/>
      </c>
      <c r="AX1345" s="304" t="str">
        <f t="shared" si="834"/>
        <v/>
      </c>
      <c r="AY1345" s="28"/>
      <c r="AZ1345" s="304" t="str">
        <f t="shared" si="835"/>
        <v/>
      </c>
      <c r="BA1345" s="304" t="str">
        <f t="shared" si="835"/>
        <v/>
      </c>
      <c r="BB1345" s="28"/>
      <c r="BC1345" s="304" t="str">
        <f t="shared" si="836"/>
        <v/>
      </c>
      <c r="BD1345" s="304" t="str">
        <f t="shared" si="836"/>
        <v/>
      </c>
      <c r="BE1345" s="28"/>
      <c r="BF1345" s="304">
        <f t="shared" si="837"/>
        <v>0.10431028125000003</v>
      </c>
      <c r="BG1345" s="304">
        <f t="shared" si="837"/>
        <v>0.10431028125000003</v>
      </c>
      <c r="BH1345" s="28"/>
      <c r="BI1345" s="304" t="str">
        <f t="shared" si="838"/>
        <v/>
      </c>
      <c r="BJ1345" s="304" t="str">
        <f t="shared" si="838"/>
        <v/>
      </c>
      <c r="BK1345" s="28"/>
      <c r="BL1345" s="304" t="str">
        <f t="shared" si="839"/>
        <v/>
      </c>
      <c r="BM1345" s="304" t="str">
        <f t="shared" si="839"/>
        <v/>
      </c>
      <c r="BN1345" s="28"/>
      <c r="BO1345" s="304" t="str">
        <f t="shared" si="840"/>
        <v/>
      </c>
      <c r="BP1345" s="304" t="str">
        <f t="shared" si="840"/>
        <v/>
      </c>
      <c r="BQ1345" s="28"/>
      <c r="BR1345" s="304" t="str">
        <f t="shared" si="841"/>
        <v/>
      </c>
      <c r="BS1345" s="304" t="str">
        <f t="shared" si="841"/>
        <v/>
      </c>
      <c r="BT1345" s="28"/>
      <c r="BU1345" s="304" t="str">
        <f t="shared" si="842"/>
        <v/>
      </c>
      <c r="BV1345" s="304" t="str">
        <f t="shared" si="842"/>
        <v/>
      </c>
      <c r="BW1345" s="28"/>
      <c r="BX1345" s="91"/>
    </row>
    <row r="1346" spans="1:76" s="55" customFormat="1" x14ac:dyDescent="0.25">
      <c r="A1346" s="195">
        <v>17</v>
      </c>
      <c r="B1346" s="216" t="str">
        <f t="shared" si="830"/>
        <v>Middle East and Africa: FAO. 2017. Reducing Enteric Methane for improving food security and livelihoods</v>
      </c>
      <c r="C1346" s="219" t="s">
        <v>488</v>
      </c>
      <c r="D1346" s="379" t="s">
        <v>240</v>
      </c>
      <c r="E1346" s="219" t="s">
        <v>99</v>
      </c>
      <c r="F1346" s="330" t="s">
        <v>241</v>
      </c>
      <c r="G1346" s="220" t="s">
        <v>26</v>
      </c>
      <c r="H1346" s="221">
        <v>2017</v>
      </c>
      <c r="I1346" s="240"/>
      <c r="J1346" s="383">
        <f t="shared" si="831"/>
        <v>0.52867724999999999</v>
      </c>
      <c r="K1346" s="382" t="s">
        <v>757</v>
      </c>
      <c r="L1346" s="395"/>
      <c r="M1346" s="335" t="str">
        <f>'[1]Advanced Controls'!$I$158</f>
        <v>t CH4-CO2eq per kg of protein</v>
      </c>
      <c r="N1346" s="238"/>
      <c r="O1346" s="227" t="s">
        <v>555</v>
      </c>
      <c r="P1346" s="122"/>
      <c r="Q1346" s="228"/>
      <c r="R1346" s="231">
        <f t="shared" si="843"/>
        <v>0.52867724999999999</v>
      </c>
      <c r="S1346" s="230">
        <f t="shared" si="832"/>
        <v>0.52867724999999999</v>
      </c>
      <c r="T1346" s="231">
        <f t="shared" si="845"/>
        <v>0</v>
      </c>
      <c r="U1346" s="232" t="str">
        <f t="shared" si="833"/>
        <v>t CH4-CO2eq per kg of protein</v>
      </c>
      <c r="V1346" s="28"/>
      <c r="W1346" s="28"/>
      <c r="Y1346" s="91"/>
      <c r="AO1346" s="91"/>
      <c r="AP1346" s="28"/>
      <c r="AQ1346" s="28"/>
      <c r="AR1346" s="237"/>
      <c r="AS1346" s="28"/>
      <c r="AT1346" s="304" t="str">
        <f t="shared" si="844"/>
        <v/>
      </c>
      <c r="AU1346" s="304" t="str">
        <f t="shared" si="844"/>
        <v/>
      </c>
      <c r="AV1346" s="28"/>
      <c r="AW1346" s="304" t="str">
        <f t="shared" ref="AW1346:AX1409" si="846">IF($E1346=$AW$83,R1346,"")</f>
        <v/>
      </c>
      <c r="AX1346" s="304" t="str">
        <f t="shared" si="846"/>
        <v/>
      </c>
      <c r="AY1346" s="28"/>
      <c r="AZ1346" s="304" t="str">
        <f t="shared" ref="AZ1346:BA1409" si="847">IF($E1346=$AZ$83,R1346,"")</f>
        <v/>
      </c>
      <c r="BA1346" s="304" t="str">
        <f t="shared" si="847"/>
        <v/>
      </c>
      <c r="BB1346" s="28"/>
      <c r="BC1346" s="304" t="str">
        <f t="shared" ref="BC1346:BD1409" si="848">IF($E1346=$BC$83,R1346,"")</f>
        <v/>
      </c>
      <c r="BD1346" s="304" t="str">
        <f t="shared" si="848"/>
        <v/>
      </c>
      <c r="BE1346" s="28"/>
      <c r="BF1346" s="304">
        <f t="shared" ref="BF1346:BG1409" si="849">IF($E1346=$BF$83,R1346,"")</f>
        <v>0.52867724999999999</v>
      </c>
      <c r="BG1346" s="304">
        <f t="shared" si="849"/>
        <v>0.52867724999999999</v>
      </c>
      <c r="BH1346" s="28"/>
      <c r="BI1346" s="304" t="str">
        <f t="shared" ref="BI1346:BJ1409" si="850">IF($E1346=$BI$83,R1346,"")</f>
        <v/>
      </c>
      <c r="BJ1346" s="304" t="str">
        <f t="shared" si="850"/>
        <v/>
      </c>
      <c r="BK1346" s="28"/>
      <c r="BL1346" s="304" t="str">
        <f t="shared" ref="BL1346:BM1409" si="851">IF($E1346=$BL$83,R1346,"")</f>
        <v/>
      </c>
      <c r="BM1346" s="304" t="str">
        <f t="shared" si="851"/>
        <v/>
      </c>
      <c r="BN1346" s="28"/>
      <c r="BO1346" s="304" t="str">
        <f t="shared" ref="BO1346:BP1409" si="852">IF($E1346=$BO$83,R1346,"")</f>
        <v/>
      </c>
      <c r="BP1346" s="304" t="str">
        <f t="shared" si="852"/>
        <v/>
      </c>
      <c r="BQ1346" s="28"/>
      <c r="BR1346" s="304" t="str">
        <f t="shared" ref="BR1346:BS1409" si="853">IF($E1346=$BR$83,R1346,"")</f>
        <v/>
      </c>
      <c r="BS1346" s="304" t="str">
        <f t="shared" si="853"/>
        <v/>
      </c>
      <c r="BT1346" s="28"/>
      <c r="BU1346" s="304" t="str">
        <f t="shared" ref="BU1346:BV1409" si="854">IF($E1346=$BU$83,R1346,"")</f>
        <v/>
      </c>
      <c r="BV1346" s="304" t="str">
        <f t="shared" si="854"/>
        <v/>
      </c>
      <c r="BW1346" s="28"/>
      <c r="BX1346" s="91"/>
    </row>
    <row r="1347" spans="1:76" s="55" customFormat="1" x14ac:dyDescent="0.25">
      <c r="A1347" s="195">
        <v>18</v>
      </c>
      <c r="B1347" s="216" t="str">
        <f t="shared" si="830"/>
        <v>Middle East and Africa: FAO. 2017. Reducing Enteric Methane for improving food security and livelihoods</v>
      </c>
      <c r="C1347" s="219" t="s">
        <v>488</v>
      </c>
      <c r="D1347" s="379" t="s">
        <v>240</v>
      </c>
      <c r="E1347" s="219" t="s">
        <v>99</v>
      </c>
      <c r="F1347" s="330" t="s">
        <v>241</v>
      </c>
      <c r="G1347" s="220" t="s">
        <v>26</v>
      </c>
      <c r="H1347" s="221">
        <v>2017</v>
      </c>
      <c r="I1347" s="240"/>
      <c r="J1347" s="383">
        <f t="shared" si="831"/>
        <v>6.2917312499999961E-2</v>
      </c>
      <c r="K1347" s="382" t="s">
        <v>757</v>
      </c>
      <c r="L1347" s="395"/>
      <c r="M1347" s="335" t="str">
        <f>'[1]Advanced Controls'!$I$158</f>
        <v>t CH4-CO2eq per kg of protein</v>
      </c>
      <c r="N1347" s="238"/>
      <c r="O1347" s="227" t="s">
        <v>556</v>
      </c>
      <c r="P1347" s="122"/>
      <c r="Q1347" s="228"/>
      <c r="R1347" s="231">
        <f t="shared" si="843"/>
        <v>6.2917312499999961E-2</v>
      </c>
      <c r="S1347" s="230">
        <f t="shared" si="832"/>
        <v>6.2917312499999961E-2</v>
      </c>
      <c r="T1347" s="231">
        <f t="shared" si="845"/>
        <v>0</v>
      </c>
      <c r="U1347" s="232" t="str">
        <f t="shared" si="833"/>
        <v>t CH4-CO2eq per kg of protein</v>
      </c>
      <c r="V1347" s="28"/>
      <c r="W1347" s="28"/>
      <c r="Y1347" s="91"/>
      <c r="AO1347" s="91"/>
      <c r="AP1347" s="28"/>
      <c r="AQ1347" s="28"/>
      <c r="AR1347" s="237"/>
      <c r="AS1347" s="28"/>
      <c r="AT1347" s="304" t="str">
        <f t="shared" ref="AT1347:AU1410" si="855">IF($E1347=$AT$47,R1347,"")</f>
        <v/>
      </c>
      <c r="AU1347" s="304" t="str">
        <f t="shared" si="855"/>
        <v/>
      </c>
      <c r="AV1347" s="28"/>
      <c r="AW1347" s="304" t="str">
        <f t="shared" si="846"/>
        <v/>
      </c>
      <c r="AX1347" s="304" t="str">
        <f t="shared" si="846"/>
        <v/>
      </c>
      <c r="AY1347" s="28"/>
      <c r="AZ1347" s="304" t="str">
        <f t="shared" si="847"/>
        <v/>
      </c>
      <c r="BA1347" s="304" t="str">
        <f t="shared" si="847"/>
        <v/>
      </c>
      <c r="BB1347" s="28"/>
      <c r="BC1347" s="304" t="str">
        <f t="shared" si="848"/>
        <v/>
      </c>
      <c r="BD1347" s="304" t="str">
        <f t="shared" si="848"/>
        <v/>
      </c>
      <c r="BE1347" s="28"/>
      <c r="BF1347" s="304">
        <f t="shared" si="849"/>
        <v>6.2917312499999961E-2</v>
      </c>
      <c r="BG1347" s="304">
        <f t="shared" si="849"/>
        <v>6.2917312499999961E-2</v>
      </c>
      <c r="BH1347" s="28"/>
      <c r="BI1347" s="304" t="str">
        <f t="shared" si="850"/>
        <v/>
      </c>
      <c r="BJ1347" s="304" t="str">
        <f t="shared" si="850"/>
        <v/>
      </c>
      <c r="BK1347" s="28"/>
      <c r="BL1347" s="304" t="str">
        <f t="shared" si="851"/>
        <v/>
      </c>
      <c r="BM1347" s="304" t="str">
        <f t="shared" si="851"/>
        <v/>
      </c>
      <c r="BN1347" s="28"/>
      <c r="BO1347" s="304" t="str">
        <f t="shared" si="852"/>
        <v/>
      </c>
      <c r="BP1347" s="304" t="str">
        <f t="shared" si="852"/>
        <v/>
      </c>
      <c r="BQ1347" s="28"/>
      <c r="BR1347" s="304" t="str">
        <f t="shared" si="853"/>
        <v/>
      </c>
      <c r="BS1347" s="304" t="str">
        <f t="shared" si="853"/>
        <v/>
      </c>
      <c r="BT1347" s="28"/>
      <c r="BU1347" s="304" t="str">
        <f t="shared" si="854"/>
        <v/>
      </c>
      <c r="BV1347" s="304" t="str">
        <f t="shared" si="854"/>
        <v/>
      </c>
      <c r="BW1347" s="28"/>
      <c r="BX1347" s="91"/>
    </row>
    <row r="1348" spans="1:76" s="55" customFormat="1" x14ac:dyDescent="0.25">
      <c r="A1348" s="195">
        <v>19</v>
      </c>
      <c r="B1348" s="216" t="str">
        <f t="shared" si="830"/>
        <v>Middle East and Africa: FAO. 2017. Reducing Enteric Methane for improving food security and livelihoods</v>
      </c>
      <c r="C1348" s="219" t="s">
        <v>488</v>
      </c>
      <c r="D1348" s="379" t="s">
        <v>240</v>
      </c>
      <c r="E1348" s="219" t="s">
        <v>99</v>
      </c>
      <c r="F1348" s="330" t="s">
        <v>241</v>
      </c>
      <c r="G1348" s="220" t="s">
        <v>26</v>
      </c>
      <c r="H1348" s="221">
        <v>2017</v>
      </c>
      <c r="I1348" s="240"/>
      <c r="J1348" s="383">
        <f t="shared" si="831"/>
        <v>1.6426687500000009E-2</v>
      </c>
      <c r="K1348" s="382" t="s">
        <v>757</v>
      </c>
      <c r="L1348" s="395"/>
      <c r="M1348" s="335" t="str">
        <f>'[1]Advanced Controls'!$I$158</f>
        <v>t CH4-CO2eq per kg of protein</v>
      </c>
      <c r="N1348" s="238"/>
      <c r="O1348" s="227" t="s">
        <v>557</v>
      </c>
      <c r="P1348" s="122"/>
      <c r="Q1348" s="228"/>
      <c r="R1348" s="231">
        <f t="shared" si="843"/>
        <v>1.6426687500000009E-2</v>
      </c>
      <c r="S1348" s="230">
        <f t="shared" si="832"/>
        <v>1.6426687500000009E-2</v>
      </c>
      <c r="T1348" s="231">
        <f t="shared" si="845"/>
        <v>0</v>
      </c>
      <c r="U1348" s="232" t="str">
        <f t="shared" si="833"/>
        <v>t CH4-CO2eq per kg of protein</v>
      </c>
      <c r="V1348" s="28"/>
      <c r="W1348" s="28"/>
      <c r="Y1348" s="91"/>
      <c r="AO1348" s="91"/>
      <c r="AP1348" s="28"/>
      <c r="AQ1348" s="28"/>
      <c r="AR1348" s="237"/>
      <c r="AS1348" s="28"/>
      <c r="AT1348" s="304" t="str">
        <f t="shared" si="855"/>
        <v/>
      </c>
      <c r="AU1348" s="304" t="str">
        <f t="shared" si="855"/>
        <v/>
      </c>
      <c r="AV1348" s="28"/>
      <c r="AW1348" s="304" t="str">
        <f t="shared" si="846"/>
        <v/>
      </c>
      <c r="AX1348" s="304" t="str">
        <f t="shared" si="846"/>
        <v/>
      </c>
      <c r="AY1348" s="28"/>
      <c r="AZ1348" s="304" t="str">
        <f t="shared" si="847"/>
        <v/>
      </c>
      <c r="BA1348" s="304" t="str">
        <f t="shared" si="847"/>
        <v/>
      </c>
      <c r="BB1348" s="28"/>
      <c r="BC1348" s="304" t="str">
        <f t="shared" si="848"/>
        <v/>
      </c>
      <c r="BD1348" s="304" t="str">
        <f t="shared" si="848"/>
        <v/>
      </c>
      <c r="BE1348" s="28"/>
      <c r="BF1348" s="304">
        <f t="shared" si="849"/>
        <v>1.6426687500000009E-2</v>
      </c>
      <c r="BG1348" s="304">
        <f t="shared" si="849"/>
        <v>1.6426687500000009E-2</v>
      </c>
      <c r="BH1348" s="28"/>
      <c r="BI1348" s="304" t="str">
        <f t="shared" si="850"/>
        <v/>
      </c>
      <c r="BJ1348" s="304" t="str">
        <f t="shared" si="850"/>
        <v/>
      </c>
      <c r="BK1348" s="28"/>
      <c r="BL1348" s="304" t="str">
        <f t="shared" si="851"/>
        <v/>
      </c>
      <c r="BM1348" s="304" t="str">
        <f t="shared" si="851"/>
        <v/>
      </c>
      <c r="BN1348" s="28"/>
      <c r="BO1348" s="304" t="str">
        <f t="shared" si="852"/>
        <v/>
      </c>
      <c r="BP1348" s="304" t="str">
        <f t="shared" si="852"/>
        <v/>
      </c>
      <c r="BQ1348" s="28"/>
      <c r="BR1348" s="304" t="str">
        <f t="shared" si="853"/>
        <v/>
      </c>
      <c r="BS1348" s="304" t="str">
        <f t="shared" si="853"/>
        <v/>
      </c>
      <c r="BT1348" s="28"/>
      <c r="BU1348" s="304" t="str">
        <f t="shared" si="854"/>
        <v/>
      </c>
      <c r="BV1348" s="304" t="str">
        <f t="shared" si="854"/>
        <v/>
      </c>
      <c r="BW1348" s="28"/>
      <c r="BX1348" s="91"/>
    </row>
    <row r="1349" spans="1:76" s="55" customFormat="1" x14ac:dyDescent="0.25">
      <c r="A1349" s="195">
        <v>20</v>
      </c>
      <c r="B1349" s="216" t="str">
        <f t="shared" si="830"/>
        <v>Middle East and Africa: FAO. 2017. Reducing Enteric Methane for improving food security and livelihoods</v>
      </c>
      <c r="C1349" s="219" t="s">
        <v>488</v>
      </c>
      <c r="D1349" s="379" t="s">
        <v>279</v>
      </c>
      <c r="E1349" s="219" t="s">
        <v>99</v>
      </c>
      <c r="F1349" s="330" t="s">
        <v>280</v>
      </c>
      <c r="G1349" s="220" t="s">
        <v>26</v>
      </c>
      <c r="H1349" s="221">
        <v>2017</v>
      </c>
      <c r="I1349" s="240"/>
      <c r="J1349" s="383">
        <f t="shared" si="831"/>
        <v>0.24733800000000006</v>
      </c>
      <c r="K1349" s="382" t="s">
        <v>757</v>
      </c>
      <c r="L1349" s="395"/>
      <c r="M1349" s="335" t="str">
        <f>'[1]Advanced Controls'!$I$158</f>
        <v>t CH4-CO2eq per kg of protein</v>
      </c>
      <c r="N1349" s="238"/>
      <c r="O1349" s="227" t="s">
        <v>558</v>
      </c>
      <c r="P1349" s="122"/>
      <c r="Q1349" s="228"/>
      <c r="R1349" s="231">
        <f t="shared" si="843"/>
        <v>0.24733800000000006</v>
      </c>
      <c r="S1349" s="230">
        <f t="shared" si="832"/>
        <v>0.24733800000000006</v>
      </c>
      <c r="T1349" s="231">
        <f t="shared" si="845"/>
        <v>0</v>
      </c>
      <c r="U1349" s="232" t="str">
        <f t="shared" si="833"/>
        <v>t CH4-CO2eq per kg of protein</v>
      </c>
      <c r="V1349" s="28"/>
      <c r="W1349" s="28"/>
      <c r="Y1349" s="91"/>
      <c r="AO1349" s="91"/>
      <c r="AP1349" s="28"/>
      <c r="AQ1349" s="28"/>
      <c r="AR1349" s="237"/>
      <c r="AS1349" s="28"/>
      <c r="AT1349" s="304" t="str">
        <f t="shared" si="855"/>
        <v/>
      </c>
      <c r="AU1349" s="304" t="str">
        <f t="shared" si="855"/>
        <v/>
      </c>
      <c r="AV1349" s="28"/>
      <c r="AW1349" s="304" t="str">
        <f t="shared" si="846"/>
        <v/>
      </c>
      <c r="AX1349" s="304" t="str">
        <f t="shared" si="846"/>
        <v/>
      </c>
      <c r="AY1349" s="28"/>
      <c r="AZ1349" s="304" t="str">
        <f t="shared" si="847"/>
        <v/>
      </c>
      <c r="BA1349" s="304" t="str">
        <f t="shared" si="847"/>
        <v/>
      </c>
      <c r="BB1349" s="28"/>
      <c r="BC1349" s="304" t="str">
        <f t="shared" si="848"/>
        <v/>
      </c>
      <c r="BD1349" s="304" t="str">
        <f t="shared" si="848"/>
        <v/>
      </c>
      <c r="BE1349" s="28"/>
      <c r="BF1349" s="304">
        <f t="shared" si="849"/>
        <v>0.24733800000000006</v>
      </c>
      <c r="BG1349" s="304">
        <f t="shared" si="849"/>
        <v>0.24733800000000006</v>
      </c>
      <c r="BH1349" s="28"/>
      <c r="BI1349" s="304" t="str">
        <f t="shared" si="850"/>
        <v/>
      </c>
      <c r="BJ1349" s="304" t="str">
        <f t="shared" si="850"/>
        <v/>
      </c>
      <c r="BK1349" s="28"/>
      <c r="BL1349" s="304" t="str">
        <f t="shared" si="851"/>
        <v/>
      </c>
      <c r="BM1349" s="304" t="str">
        <f t="shared" si="851"/>
        <v/>
      </c>
      <c r="BN1349" s="28"/>
      <c r="BO1349" s="304" t="str">
        <f t="shared" si="852"/>
        <v/>
      </c>
      <c r="BP1349" s="304" t="str">
        <f t="shared" si="852"/>
        <v/>
      </c>
      <c r="BQ1349" s="28"/>
      <c r="BR1349" s="304" t="str">
        <f t="shared" si="853"/>
        <v/>
      </c>
      <c r="BS1349" s="304" t="str">
        <f t="shared" si="853"/>
        <v/>
      </c>
      <c r="BT1349" s="28"/>
      <c r="BU1349" s="304" t="str">
        <f t="shared" si="854"/>
        <v/>
      </c>
      <c r="BV1349" s="304" t="str">
        <f t="shared" si="854"/>
        <v/>
      </c>
      <c r="BW1349" s="28"/>
      <c r="BX1349" s="91"/>
    </row>
    <row r="1350" spans="1:76" s="55" customFormat="1" x14ac:dyDescent="0.25">
      <c r="A1350" s="195">
        <v>21</v>
      </c>
      <c r="B1350" s="216" t="str">
        <f t="shared" si="830"/>
        <v>Middle East and Africa: FAO. 2017. Reducing Enteric Methane for improving food security and livelihoods</v>
      </c>
      <c r="C1350" s="219" t="s">
        <v>488</v>
      </c>
      <c r="D1350" s="379" t="s">
        <v>279</v>
      </c>
      <c r="E1350" s="219" t="s">
        <v>99</v>
      </c>
      <c r="F1350" s="330" t="s">
        <v>280</v>
      </c>
      <c r="G1350" s="220" t="s">
        <v>26</v>
      </c>
      <c r="H1350" s="221">
        <v>2017</v>
      </c>
      <c r="I1350" s="240"/>
      <c r="J1350" s="383">
        <f t="shared" si="831"/>
        <v>8.2582499999999948E-3</v>
      </c>
      <c r="K1350" s="382" t="s">
        <v>757</v>
      </c>
      <c r="L1350" s="395"/>
      <c r="M1350" s="335" t="str">
        <f>'[1]Advanced Controls'!$I$158</f>
        <v>t CH4-CO2eq per kg of protein</v>
      </c>
      <c r="N1350" s="238"/>
      <c r="O1350" s="227" t="s">
        <v>559</v>
      </c>
      <c r="P1350" s="122"/>
      <c r="Q1350" s="228"/>
      <c r="R1350" s="231">
        <f t="shared" si="843"/>
        <v>8.2582499999999948E-3</v>
      </c>
      <c r="S1350" s="230">
        <f t="shared" si="832"/>
        <v>8.2582499999999948E-3</v>
      </c>
      <c r="T1350" s="231">
        <f t="shared" si="845"/>
        <v>0</v>
      </c>
      <c r="U1350" s="232" t="str">
        <f t="shared" si="833"/>
        <v>t CH4-CO2eq per kg of protein</v>
      </c>
      <c r="V1350" s="28"/>
      <c r="W1350" s="28"/>
      <c r="Y1350" s="91"/>
      <c r="AO1350" s="91"/>
      <c r="AP1350" s="28"/>
      <c r="AQ1350" s="28"/>
      <c r="AR1350" s="237"/>
      <c r="AS1350" s="28"/>
      <c r="AT1350" s="304" t="str">
        <f t="shared" si="855"/>
        <v/>
      </c>
      <c r="AU1350" s="304" t="str">
        <f t="shared" si="855"/>
        <v/>
      </c>
      <c r="AV1350" s="28"/>
      <c r="AW1350" s="304" t="str">
        <f t="shared" si="846"/>
        <v/>
      </c>
      <c r="AX1350" s="304" t="str">
        <f t="shared" si="846"/>
        <v/>
      </c>
      <c r="AY1350" s="28"/>
      <c r="AZ1350" s="304" t="str">
        <f t="shared" si="847"/>
        <v/>
      </c>
      <c r="BA1350" s="304" t="str">
        <f t="shared" si="847"/>
        <v/>
      </c>
      <c r="BB1350" s="28"/>
      <c r="BC1350" s="304" t="str">
        <f t="shared" si="848"/>
        <v/>
      </c>
      <c r="BD1350" s="304" t="str">
        <f t="shared" si="848"/>
        <v/>
      </c>
      <c r="BE1350" s="28"/>
      <c r="BF1350" s="304">
        <f t="shared" si="849"/>
        <v>8.2582499999999948E-3</v>
      </c>
      <c r="BG1350" s="304">
        <f t="shared" si="849"/>
        <v>8.2582499999999948E-3</v>
      </c>
      <c r="BH1350" s="28"/>
      <c r="BI1350" s="304" t="str">
        <f t="shared" si="850"/>
        <v/>
      </c>
      <c r="BJ1350" s="304" t="str">
        <f t="shared" si="850"/>
        <v/>
      </c>
      <c r="BK1350" s="28"/>
      <c r="BL1350" s="304" t="str">
        <f t="shared" si="851"/>
        <v/>
      </c>
      <c r="BM1350" s="304" t="str">
        <f t="shared" si="851"/>
        <v/>
      </c>
      <c r="BN1350" s="28"/>
      <c r="BO1350" s="304" t="str">
        <f t="shared" si="852"/>
        <v/>
      </c>
      <c r="BP1350" s="304" t="str">
        <f t="shared" si="852"/>
        <v/>
      </c>
      <c r="BQ1350" s="28"/>
      <c r="BR1350" s="304" t="str">
        <f t="shared" si="853"/>
        <v/>
      </c>
      <c r="BS1350" s="304" t="str">
        <f t="shared" si="853"/>
        <v/>
      </c>
      <c r="BT1350" s="28"/>
      <c r="BU1350" s="304" t="str">
        <f t="shared" si="854"/>
        <v/>
      </c>
      <c r="BV1350" s="304" t="str">
        <f t="shared" si="854"/>
        <v/>
      </c>
      <c r="BW1350" s="28"/>
      <c r="BX1350" s="91"/>
    </row>
    <row r="1351" spans="1:76" s="55" customFormat="1" x14ac:dyDescent="0.25">
      <c r="A1351" s="195">
        <v>22</v>
      </c>
      <c r="B1351" s="216" t="str">
        <f t="shared" si="830"/>
        <v>Middle East and Africa: FAO. 2017. Reducing Enteric Methane for improving food security and livelihoods</v>
      </c>
      <c r="C1351" s="219" t="s">
        <v>488</v>
      </c>
      <c r="D1351" s="379" t="s">
        <v>279</v>
      </c>
      <c r="E1351" s="219" t="s">
        <v>99</v>
      </c>
      <c r="F1351" s="330" t="s">
        <v>280</v>
      </c>
      <c r="G1351" s="220" t="s">
        <v>26</v>
      </c>
      <c r="H1351" s="221">
        <v>2017</v>
      </c>
      <c r="I1351" s="240"/>
      <c r="J1351" s="383">
        <f t="shared" si="831"/>
        <v>0.22768200000000005</v>
      </c>
      <c r="K1351" s="382" t="s">
        <v>757</v>
      </c>
      <c r="L1351" s="395"/>
      <c r="M1351" s="335" t="str">
        <f>'[1]Advanced Controls'!$I$158</f>
        <v>t CH4-CO2eq per kg of protein</v>
      </c>
      <c r="N1351" s="238"/>
      <c r="O1351" s="227" t="s">
        <v>560</v>
      </c>
      <c r="P1351" s="122"/>
      <c r="Q1351" s="228"/>
      <c r="R1351" s="231">
        <f t="shared" si="843"/>
        <v>0.22768200000000005</v>
      </c>
      <c r="S1351" s="230">
        <f t="shared" si="832"/>
        <v>0.22768200000000005</v>
      </c>
      <c r="T1351" s="231">
        <f t="shared" si="845"/>
        <v>0</v>
      </c>
      <c r="U1351" s="232" t="str">
        <f t="shared" si="833"/>
        <v>t CH4-CO2eq per kg of protein</v>
      </c>
      <c r="V1351" s="28"/>
      <c r="W1351" s="28"/>
      <c r="Y1351" s="91"/>
      <c r="AO1351" s="91"/>
      <c r="AP1351" s="28"/>
      <c r="AQ1351" s="28"/>
      <c r="AR1351" s="237"/>
      <c r="AS1351" s="28"/>
      <c r="AT1351" s="304" t="str">
        <f t="shared" si="855"/>
        <v/>
      </c>
      <c r="AU1351" s="304" t="str">
        <f t="shared" si="855"/>
        <v/>
      </c>
      <c r="AV1351" s="28"/>
      <c r="AW1351" s="304" t="str">
        <f t="shared" si="846"/>
        <v/>
      </c>
      <c r="AX1351" s="304" t="str">
        <f t="shared" si="846"/>
        <v/>
      </c>
      <c r="AY1351" s="28"/>
      <c r="AZ1351" s="304" t="str">
        <f t="shared" si="847"/>
        <v/>
      </c>
      <c r="BA1351" s="304" t="str">
        <f t="shared" si="847"/>
        <v/>
      </c>
      <c r="BB1351" s="28"/>
      <c r="BC1351" s="304" t="str">
        <f t="shared" si="848"/>
        <v/>
      </c>
      <c r="BD1351" s="304" t="str">
        <f t="shared" si="848"/>
        <v/>
      </c>
      <c r="BE1351" s="28"/>
      <c r="BF1351" s="304">
        <f t="shared" si="849"/>
        <v>0.22768200000000005</v>
      </c>
      <c r="BG1351" s="304">
        <f t="shared" si="849"/>
        <v>0.22768200000000005</v>
      </c>
      <c r="BH1351" s="28"/>
      <c r="BI1351" s="304" t="str">
        <f t="shared" si="850"/>
        <v/>
      </c>
      <c r="BJ1351" s="304" t="str">
        <f t="shared" si="850"/>
        <v/>
      </c>
      <c r="BK1351" s="28"/>
      <c r="BL1351" s="304" t="str">
        <f t="shared" si="851"/>
        <v/>
      </c>
      <c r="BM1351" s="304" t="str">
        <f t="shared" si="851"/>
        <v/>
      </c>
      <c r="BN1351" s="28"/>
      <c r="BO1351" s="304" t="str">
        <f t="shared" si="852"/>
        <v/>
      </c>
      <c r="BP1351" s="304" t="str">
        <f t="shared" si="852"/>
        <v/>
      </c>
      <c r="BQ1351" s="28"/>
      <c r="BR1351" s="304" t="str">
        <f t="shared" si="853"/>
        <v/>
      </c>
      <c r="BS1351" s="304" t="str">
        <f t="shared" si="853"/>
        <v/>
      </c>
      <c r="BT1351" s="28"/>
      <c r="BU1351" s="304" t="str">
        <f t="shared" si="854"/>
        <v/>
      </c>
      <c r="BV1351" s="304" t="str">
        <f t="shared" si="854"/>
        <v/>
      </c>
      <c r="BW1351" s="28"/>
      <c r="BX1351" s="91"/>
    </row>
    <row r="1352" spans="1:76" s="55" customFormat="1" x14ac:dyDescent="0.25">
      <c r="A1352" s="195">
        <v>23</v>
      </c>
      <c r="B1352" s="216" t="str">
        <f t="shared" si="830"/>
        <v>Middle East and Africa: FAO. 2017. Reducing Enteric Methane for improving food security and livelihoods</v>
      </c>
      <c r="C1352" s="219" t="s">
        <v>488</v>
      </c>
      <c r="D1352" s="379" t="s">
        <v>279</v>
      </c>
      <c r="E1352" s="219" t="s">
        <v>99</v>
      </c>
      <c r="F1352" s="330" t="s">
        <v>280</v>
      </c>
      <c r="G1352" s="220" t="s">
        <v>26</v>
      </c>
      <c r="H1352" s="221">
        <v>2017</v>
      </c>
      <c r="I1352" s="240"/>
      <c r="J1352" s="383">
        <f t="shared" si="831"/>
        <v>6.4631875000000019E-3</v>
      </c>
      <c r="K1352" s="382" t="s">
        <v>757</v>
      </c>
      <c r="L1352" s="395"/>
      <c r="M1352" s="335" t="str">
        <f>'[1]Advanced Controls'!$I$158</f>
        <v>t CH4-CO2eq per kg of protein</v>
      </c>
      <c r="N1352" s="238"/>
      <c r="O1352" s="227" t="s">
        <v>561</v>
      </c>
      <c r="P1352" s="122"/>
      <c r="Q1352" s="228"/>
      <c r="R1352" s="231">
        <f t="shared" si="843"/>
        <v>6.4631875000000019E-3</v>
      </c>
      <c r="S1352" s="230">
        <f t="shared" si="832"/>
        <v>6.4631875000000019E-3</v>
      </c>
      <c r="T1352" s="231">
        <f t="shared" si="845"/>
        <v>0</v>
      </c>
      <c r="U1352" s="232" t="str">
        <f t="shared" si="833"/>
        <v>t CH4-CO2eq per kg of protein</v>
      </c>
      <c r="V1352" s="28"/>
      <c r="W1352" s="28"/>
      <c r="Y1352" s="91"/>
      <c r="AO1352" s="91"/>
      <c r="AP1352" s="28"/>
      <c r="AQ1352" s="28"/>
      <c r="AR1352" s="237"/>
      <c r="AS1352" s="28"/>
      <c r="AT1352" s="304" t="str">
        <f t="shared" si="855"/>
        <v/>
      </c>
      <c r="AU1352" s="304" t="str">
        <f t="shared" si="855"/>
        <v/>
      </c>
      <c r="AV1352" s="28"/>
      <c r="AW1352" s="304" t="str">
        <f t="shared" si="846"/>
        <v/>
      </c>
      <c r="AX1352" s="304" t="str">
        <f t="shared" si="846"/>
        <v/>
      </c>
      <c r="AY1352" s="28"/>
      <c r="AZ1352" s="304" t="str">
        <f t="shared" si="847"/>
        <v/>
      </c>
      <c r="BA1352" s="304" t="str">
        <f t="shared" si="847"/>
        <v/>
      </c>
      <c r="BB1352" s="28"/>
      <c r="BC1352" s="304" t="str">
        <f t="shared" si="848"/>
        <v/>
      </c>
      <c r="BD1352" s="304" t="str">
        <f t="shared" si="848"/>
        <v/>
      </c>
      <c r="BE1352" s="28"/>
      <c r="BF1352" s="304">
        <f t="shared" si="849"/>
        <v>6.4631875000000019E-3</v>
      </c>
      <c r="BG1352" s="304">
        <f t="shared" si="849"/>
        <v>6.4631875000000019E-3</v>
      </c>
      <c r="BH1352" s="28"/>
      <c r="BI1352" s="304" t="str">
        <f t="shared" si="850"/>
        <v/>
      </c>
      <c r="BJ1352" s="304" t="str">
        <f t="shared" si="850"/>
        <v/>
      </c>
      <c r="BK1352" s="28"/>
      <c r="BL1352" s="304" t="str">
        <f t="shared" si="851"/>
        <v/>
      </c>
      <c r="BM1352" s="304" t="str">
        <f t="shared" si="851"/>
        <v/>
      </c>
      <c r="BN1352" s="28"/>
      <c r="BO1352" s="304" t="str">
        <f t="shared" si="852"/>
        <v/>
      </c>
      <c r="BP1352" s="304" t="str">
        <f t="shared" si="852"/>
        <v/>
      </c>
      <c r="BQ1352" s="28"/>
      <c r="BR1352" s="304" t="str">
        <f t="shared" si="853"/>
        <v/>
      </c>
      <c r="BS1352" s="304" t="str">
        <f t="shared" si="853"/>
        <v/>
      </c>
      <c r="BT1352" s="28"/>
      <c r="BU1352" s="304" t="str">
        <f t="shared" si="854"/>
        <v/>
      </c>
      <c r="BV1352" s="304" t="str">
        <f t="shared" si="854"/>
        <v/>
      </c>
      <c r="BW1352" s="28"/>
      <c r="BX1352" s="91"/>
    </row>
    <row r="1353" spans="1:76" s="55" customFormat="1" x14ac:dyDescent="0.25">
      <c r="A1353" s="195">
        <v>24</v>
      </c>
      <c r="B1353" s="216" t="str">
        <f t="shared" si="830"/>
        <v>Middle East and Africa: FAO. 2017. Reducing Enteric Methane for improving food security and livelihoods</v>
      </c>
      <c r="C1353" s="219" t="s">
        <v>488</v>
      </c>
      <c r="D1353" s="379" t="s">
        <v>287</v>
      </c>
      <c r="E1353" s="219" t="s">
        <v>99</v>
      </c>
      <c r="F1353" s="330" t="s">
        <v>288</v>
      </c>
      <c r="G1353" s="220" t="s">
        <v>26</v>
      </c>
      <c r="H1353" s="221">
        <v>2017</v>
      </c>
      <c r="I1353" s="240"/>
      <c r="J1353" s="383">
        <f t="shared" si="831"/>
        <v>5.8015625000000098E-3</v>
      </c>
      <c r="K1353" s="382" t="s">
        <v>757</v>
      </c>
      <c r="L1353" s="395"/>
      <c r="M1353" s="335" t="str">
        <f>'[1]Advanced Controls'!$I$158</f>
        <v>t CH4-CO2eq per kg of protein</v>
      </c>
      <c r="N1353" s="238"/>
      <c r="O1353" s="227" t="s">
        <v>562</v>
      </c>
      <c r="P1353" s="122"/>
      <c r="Q1353" s="228"/>
      <c r="R1353" s="231">
        <f t="shared" si="843"/>
        <v>5.8015625000000098E-3</v>
      </c>
      <c r="S1353" s="230">
        <f t="shared" si="832"/>
        <v>5.8015625000000098E-3</v>
      </c>
      <c r="T1353" s="231">
        <f t="shared" si="845"/>
        <v>0</v>
      </c>
      <c r="U1353" s="232" t="str">
        <f t="shared" si="833"/>
        <v>t CH4-CO2eq per kg of protein</v>
      </c>
      <c r="V1353" s="28"/>
      <c r="W1353" s="28"/>
      <c r="Y1353" s="91"/>
      <c r="AO1353" s="91"/>
      <c r="AP1353" s="28"/>
      <c r="AQ1353" s="28"/>
      <c r="AR1353" s="237"/>
      <c r="AS1353" s="28"/>
      <c r="AT1353" s="304" t="str">
        <f t="shared" si="855"/>
        <v/>
      </c>
      <c r="AU1353" s="304" t="str">
        <f t="shared" si="855"/>
        <v/>
      </c>
      <c r="AV1353" s="28"/>
      <c r="AW1353" s="304" t="str">
        <f t="shared" si="846"/>
        <v/>
      </c>
      <c r="AX1353" s="304" t="str">
        <f t="shared" si="846"/>
        <v/>
      </c>
      <c r="AY1353" s="28"/>
      <c r="AZ1353" s="304" t="str">
        <f t="shared" si="847"/>
        <v/>
      </c>
      <c r="BA1353" s="304" t="str">
        <f t="shared" si="847"/>
        <v/>
      </c>
      <c r="BB1353" s="28"/>
      <c r="BC1353" s="304" t="str">
        <f t="shared" si="848"/>
        <v/>
      </c>
      <c r="BD1353" s="304" t="str">
        <f t="shared" si="848"/>
        <v/>
      </c>
      <c r="BE1353" s="28"/>
      <c r="BF1353" s="304">
        <f t="shared" si="849"/>
        <v>5.8015625000000098E-3</v>
      </c>
      <c r="BG1353" s="304">
        <f t="shared" si="849"/>
        <v>5.8015625000000098E-3</v>
      </c>
      <c r="BH1353" s="28"/>
      <c r="BI1353" s="304" t="str">
        <f t="shared" si="850"/>
        <v/>
      </c>
      <c r="BJ1353" s="304" t="str">
        <f t="shared" si="850"/>
        <v/>
      </c>
      <c r="BK1353" s="28"/>
      <c r="BL1353" s="304" t="str">
        <f t="shared" si="851"/>
        <v/>
      </c>
      <c r="BM1353" s="304" t="str">
        <f t="shared" si="851"/>
        <v/>
      </c>
      <c r="BN1353" s="28"/>
      <c r="BO1353" s="304" t="str">
        <f t="shared" si="852"/>
        <v/>
      </c>
      <c r="BP1353" s="304" t="str">
        <f t="shared" si="852"/>
        <v/>
      </c>
      <c r="BQ1353" s="28"/>
      <c r="BR1353" s="304" t="str">
        <f t="shared" si="853"/>
        <v/>
      </c>
      <c r="BS1353" s="304" t="str">
        <f t="shared" si="853"/>
        <v/>
      </c>
      <c r="BT1353" s="28"/>
      <c r="BU1353" s="304" t="str">
        <f t="shared" si="854"/>
        <v/>
      </c>
      <c r="BV1353" s="304" t="str">
        <f t="shared" si="854"/>
        <v/>
      </c>
      <c r="BW1353" s="28"/>
      <c r="BX1353" s="91"/>
    </row>
    <row r="1354" spans="1:76" s="55" customFormat="1" x14ac:dyDescent="0.25">
      <c r="A1354" s="195">
        <v>25</v>
      </c>
      <c r="B1354" s="216" t="str">
        <f t="shared" si="830"/>
        <v>Middle East and Africa: FAO. 2017. Reducing Enteric Methane for improving food security and livelihoods</v>
      </c>
      <c r="C1354" s="219" t="s">
        <v>488</v>
      </c>
      <c r="D1354" s="379" t="s">
        <v>287</v>
      </c>
      <c r="E1354" s="219" t="s">
        <v>99</v>
      </c>
      <c r="F1354" s="330" t="s">
        <v>288</v>
      </c>
      <c r="G1354" s="220" t="s">
        <v>26</v>
      </c>
      <c r="H1354" s="221">
        <v>2017</v>
      </c>
      <c r="I1354" s="240"/>
      <c r="J1354" s="383">
        <f t="shared" si="831"/>
        <v>5.5300000000000488E-4</v>
      </c>
      <c r="K1354" s="382" t="s">
        <v>757</v>
      </c>
      <c r="L1354" s="395"/>
      <c r="M1354" s="335" t="str">
        <f>'[1]Advanced Controls'!$I$158</f>
        <v>t CH4-CO2eq per kg of protein</v>
      </c>
      <c r="N1354" s="238"/>
      <c r="O1354" s="227" t="s">
        <v>563</v>
      </c>
      <c r="P1354" s="122"/>
      <c r="Q1354" s="228"/>
      <c r="R1354" s="231">
        <f t="shared" si="843"/>
        <v>5.5300000000000488E-4</v>
      </c>
      <c r="S1354" s="230">
        <f t="shared" si="832"/>
        <v>5.5300000000000488E-4</v>
      </c>
      <c r="T1354" s="231">
        <f t="shared" si="845"/>
        <v>0</v>
      </c>
      <c r="U1354" s="232" t="str">
        <f t="shared" si="833"/>
        <v>t CH4-CO2eq per kg of protein</v>
      </c>
      <c r="V1354" s="28"/>
      <c r="W1354" s="28"/>
      <c r="Y1354" s="91"/>
      <c r="AO1354" s="91"/>
      <c r="AP1354" s="28"/>
      <c r="AQ1354" s="28"/>
      <c r="AR1354" s="237"/>
      <c r="AS1354" s="28"/>
      <c r="AT1354" s="304" t="str">
        <f t="shared" si="855"/>
        <v/>
      </c>
      <c r="AU1354" s="304" t="str">
        <f t="shared" si="855"/>
        <v/>
      </c>
      <c r="AV1354" s="28"/>
      <c r="AW1354" s="304" t="str">
        <f t="shared" si="846"/>
        <v/>
      </c>
      <c r="AX1354" s="304" t="str">
        <f t="shared" si="846"/>
        <v/>
      </c>
      <c r="AY1354" s="28"/>
      <c r="AZ1354" s="304" t="str">
        <f t="shared" si="847"/>
        <v/>
      </c>
      <c r="BA1354" s="304" t="str">
        <f t="shared" si="847"/>
        <v/>
      </c>
      <c r="BB1354" s="28"/>
      <c r="BC1354" s="304" t="str">
        <f t="shared" si="848"/>
        <v/>
      </c>
      <c r="BD1354" s="304" t="str">
        <f t="shared" si="848"/>
        <v/>
      </c>
      <c r="BE1354" s="28"/>
      <c r="BF1354" s="304">
        <f t="shared" si="849"/>
        <v>5.5300000000000488E-4</v>
      </c>
      <c r="BG1354" s="304">
        <f t="shared" si="849"/>
        <v>5.5300000000000488E-4</v>
      </c>
      <c r="BH1354" s="28"/>
      <c r="BI1354" s="304" t="str">
        <f t="shared" si="850"/>
        <v/>
      </c>
      <c r="BJ1354" s="304" t="str">
        <f t="shared" si="850"/>
        <v/>
      </c>
      <c r="BK1354" s="28"/>
      <c r="BL1354" s="304" t="str">
        <f t="shared" si="851"/>
        <v/>
      </c>
      <c r="BM1354" s="304" t="str">
        <f t="shared" si="851"/>
        <v/>
      </c>
      <c r="BN1354" s="28"/>
      <c r="BO1354" s="304" t="str">
        <f t="shared" si="852"/>
        <v/>
      </c>
      <c r="BP1354" s="304" t="str">
        <f t="shared" si="852"/>
        <v/>
      </c>
      <c r="BQ1354" s="28"/>
      <c r="BR1354" s="304" t="str">
        <f t="shared" si="853"/>
        <v/>
      </c>
      <c r="BS1354" s="304" t="str">
        <f t="shared" si="853"/>
        <v/>
      </c>
      <c r="BT1354" s="28"/>
      <c r="BU1354" s="304" t="str">
        <f t="shared" si="854"/>
        <v/>
      </c>
      <c r="BV1354" s="304" t="str">
        <f t="shared" si="854"/>
        <v/>
      </c>
      <c r="BW1354" s="28"/>
      <c r="BX1354" s="91"/>
    </row>
    <row r="1355" spans="1:76" s="55" customFormat="1" x14ac:dyDescent="0.25">
      <c r="A1355" s="195">
        <v>26</v>
      </c>
      <c r="B1355" s="216" t="str">
        <f t="shared" si="830"/>
        <v>Middle East and Africa: FAO. 2017. Reducing Enteric Methane for improving food security and livelihoods</v>
      </c>
      <c r="C1355" s="219" t="s">
        <v>488</v>
      </c>
      <c r="D1355" s="379" t="s">
        <v>287</v>
      </c>
      <c r="E1355" s="219" t="s">
        <v>99</v>
      </c>
      <c r="F1355" s="330" t="s">
        <v>288</v>
      </c>
      <c r="G1355" s="220" t="s">
        <v>26</v>
      </c>
      <c r="H1355" s="221">
        <v>2017</v>
      </c>
      <c r="I1355" s="240"/>
      <c r="J1355" s="383">
        <f t="shared" si="831"/>
        <v>5.120187499999998E-3</v>
      </c>
      <c r="K1355" s="382" t="s">
        <v>757</v>
      </c>
      <c r="L1355" s="395"/>
      <c r="M1355" s="335" t="str">
        <f>'[1]Advanced Controls'!$I$158</f>
        <v>t CH4-CO2eq per kg of protein</v>
      </c>
      <c r="N1355" s="238"/>
      <c r="O1355" s="227" t="s">
        <v>564</v>
      </c>
      <c r="P1355" s="122"/>
      <c r="Q1355" s="228"/>
      <c r="R1355" s="231">
        <f t="shared" si="843"/>
        <v>5.120187499999998E-3</v>
      </c>
      <c r="S1355" s="230">
        <f t="shared" si="832"/>
        <v>5.120187499999998E-3</v>
      </c>
      <c r="T1355" s="231">
        <f t="shared" si="845"/>
        <v>0</v>
      </c>
      <c r="U1355" s="232" t="str">
        <f t="shared" si="833"/>
        <v>t CH4-CO2eq per kg of protein</v>
      </c>
      <c r="V1355" s="28"/>
      <c r="W1355" s="28"/>
      <c r="Y1355" s="91"/>
      <c r="AO1355" s="91"/>
      <c r="AP1355" s="28"/>
      <c r="AQ1355" s="28"/>
      <c r="AR1355" s="237"/>
      <c r="AS1355" s="28"/>
      <c r="AT1355" s="304" t="str">
        <f t="shared" si="855"/>
        <v/>
      </c>
      <c r="AU1355" s="304" t="str">
        <f t="shared" si="855"/>
        <v/>
      </c>
      <c r="AV1355" s="28"/>
      <c r="AW1355" s="304" t="str">
        <f t="shared" si="846"/>
        <v/>
      </c>
      <c r="AX1355" s="304" t="str">
        <f t="shared" si="846"/>
        <v/>
      </c>
      <c r="AY1355" s="28"/>
      <c r="AZ1355" s="304" t="str">
        <f t="shared" si="847"/>
        <v/>
      </c>
      <c r="BA1355" s="304" t="str">
        <f t="shared" si="847"/>
        <v/>
      </c>
      <c r="BB1355" s="28"/>
      <c r="BC1355" s="304" t="str">
        <f t="shared" si="848"/>
        <v/>
      </c>
      <c r="BD1355" s="304" t="str">
        <f t="shared" si="848"/>
        <v/>
      </c>
      <c r="BE1355" s="28"/>
      <c r="BF1355" s="304">
        <f t="shared" si="849"/>
        <v>5.120187499999998E-3</v>
      </c>
      <c r="BG1355" s="304">
        <f t="shared" si="849"/>
        <v>5.120187499999998E-3</v>
      </c>
      <c r="BH1355" s="28"/>
      <c r="BI1355" s="304" t="str">
        <f t="shared" si="850"/>
        <v/>
      </c>
      <c r="BJ1355" s="304" t="str">
        <f t="shared" si="850"/>
        <v/>
      </c>
      <c r="BK1355" s="28"/>
      <c r="BL1355" s="304" t="str">
        <f t="shared" si="851"/>
        <v/>
      </c>
      <c r="BM1355" s="304" t="str">
        <f t="shared" si="851"/>
        <v/>
      </c>
      <c r="BN1355" s="28"/>
      <c r="BO1355" s="304" t="str">
        <f t="shared" si="852"/>
        <v/>
      </c>
      <c r="BP1355" s="304" t="str">
        <f t="shared" si="852"/>
        <v/>
      </c>
      <c r="BQ1355" s="28"/>
      <c r="BR1355" s="304" t="str">
        <f t="shared" si="853"/>
        <v/>
      </c>
      <c r="BS1355" s="304" t="str">
        <f t="shared" si="853"/>
        <v/>
      </c>
      <c r="BT1355" s="28"/>
      <c r="BU1355" s="304" t="str">
        <f t="shared" si="854"/>
        <v/>
      </c>
      <c r="BV1355" s="304" t="str">
        <f t="shared" si="854"/>
        <v/>
      </c>
      <c r="BW1355" s="28"/>
      <c r="BX1355" s="91"/>
    </row>
    <row r="1356" spans="1:76" s="55" customFormat="1" x14ac:dyDescent="0.25">
      <c r="A1356" s="195">
        <v>27</v>
      </c>
      <c r="B1356" s="216" t="str">
        <f t="shared" si="830"/>
        <v>Middle East and Africa: FAO. 2017. Reducing Enteric Methane for improving food security and livelihoods</v>
      </c>
      <c r="C1356" s="219" t="s">
        <v>488</v>
      </c>
      <c r="D1356" s="379" t="s">
        <v>287</v>
      </c>
      <c r="E1356" s="219" t="s">
        <v>99</v>
      </c>
      <c r="F1356" s="330" t="s">
        <v>288</v>
      </c>
      <c r="G1356" s="220" t="s">
        <v>26</v>
      </c>
      <c r="H1356" s="221">
        <v>2017</v>
      </c>
      <c r="I1356" s="240"/>
      <c r="J1356" s="383">
        <f t="shared" si="831"/>
        <v>7.5963437499999981E-3</v>
      </c>
      <c r="K1356" s="382" t="s">
        <v>757</v>
      </c>
      <c r="L1356" s="395"/>
      <c r="M1356" s="335" t="str">
        <f>'[1]Advanced Controls'!$I$158</f>
        <v>t CH4-CO2eq per kg of protein</v>
      </c>
      <c r="N1356" s="238"/>
      <c r="O1356" s="227" t="s">
        <v>565</v>
      </c>
      <c r="P1356" s="122"/>
      <c r="Q1356" s="228"/>
      <c r="R1356" s="231">
        <f t="shared" si="843"/>
        <v>7.5963437499999981E-3</v>
      </c>
      <c r="S1356" s="230">
        <f t="shared" si="832"/>
        <v>7.5963437499999981E-3</v>
      </c>
      <c r="T1356" s="231">
        <f t="shared" si="845"/>
        <v>0</v>
      </c>
      <c r="U1356" s="232" t="str">
        <f t="shared" si="833"/>
        <v>t CH4-CO2eq per kg of protein</v>
      </c>
      <c r="V1356" s="28"/>
      <c r="W1356" s="28"/>
      <c r="Y1356" s="91"/>
      <c r="AO1356" s="91"/>
      <c r="AP1356" s="28"/>
      <c r="AQ1356" s="28"/>
      <c r="AR1356" s="237"/>
      <c r="AS1356" s="28"/>
      <c r="AT1356" s="304" t="str">
        <f t="shared" si="855"/>
        <v/>
      </c>
      <c r="AU1356" s="304" t="str">
        <f t="shared" si="855"/>
        <v/>
      </c>
      <c r="AV1356" s="28"/>
      <c r="AW1356" s="304" t="str">
        <f t="shared" si="846"/>
        <v/>
      </c>
      <c r="AX1356" s="304" t="str">
        <f t="shared" si="846"/>
        <v/>
      </c>
      <c r="AY1356" s="28"/>
      <c r="AZ1356" s="304" t="str">
        <f t="shared" si="847"/>
        <v/>
      </c>
      <c r="BA1356" s="304" t="str">
        <f t="shared" si="847"/>
        <v/>
      </c>
      <c r="BB1356" s="28"/>
      <c r="BC1356" s="304" t="str">
        <f t="shared" si="848"/>
        <v/>
      </c>
      <c r="BD1356" s="304" t="str">
        <f t="shared" si="848"/>
        <v/>
      </c>
      <c r="BE1356" s="28"/>
      <c r="BF1356" s="304">
        <f t="shared" si="849"/>
        <v>7.5963437499999981E-3</v>
      </c>
      <c r="BG1356" s="304">
        <f t="shared" si="849"/>
        <v>7.5963437499999981E-3</v>
      </c>
      <c r="BH1356" s="28"/>
      <c r="BI1356" s="304" t="str">
        <f t="shared" si="850"/>
        <v/>
      </c>
      <c r="BJ1356" s="304" t="str">
        <f t="shared" si="850"/>
        <v/>
      </c>
      <c r="BK1356" s="28"/>
      <c r="BL1356" s="304" t="str">
        <f t="shared" si="851"/>
        <v/>
      </c>
      <c r="BM1356" s="304" t="str">
        <f t="shared" si="851"/>
        <v/>
      </c>
      <c r="BN1356" s="28"/>
      <c r="BO1356" s="304" t="str">
        <f t="shared" si="852"/>
        <v/>
      </c>
      <c r="BP1356" s="304" t="str">
        <f t="shared" si="852"/>
        <v/>
      </c>
      <c r="BQ1356" s="28"/>
      <c r="BR1356" s="304" t="str">
        <f t="shared" si="853"/>
        <v/>
      </c>
      <c r="BS1356" s="304" t="str">
        <f t="shared" si="853"/>
        <v/>
      </c>
      <c r="BT1356" s="28"/>
      <c r="BU1356" s="304" t="str">
        <f t="shared" si="854"/>
        <v/>
      </c>
      <c r="BV1356" s="304" t="str">
        <f t="shared" si="854"/>
        <v/>
      </c>
      <c r="BW1356" s="28"/>
      <c r="BX1356" s="91"/>
    </row>
    <row r="1357" spans="1:76" s="55" customFormat="1" x14ac:dyDescent="0.25">
      <c r="A1357" s="195">
        <v>28</v>
      </c>
      <c r="B1357" s="216" t="str">
        <f t="shared" si="830"/>
        <v>Middle East and Africa: FAO. 2017. Reducing Enteric Methane for improving food security and livelihoods</v>
      </c>
      <c r="C1357" s="219" t="s">
        <v>488</v>
      </c>
      <c r="D1357" s="379" t="s">
        <v>287</v>
      </c>
      <c r="E1357" s="219" t="s">
        <v>99</v>
      </c>
      <c r="F1357" s="330" t="s">
        <v>288</v>
      </c>
      <c r="G1357" s="220" t="s">
        <v>26</v>
      </c>
      <c r="H1357" s="221">
        <v>2017</v>
      </c>
      <c r="I1357" s="240"/>
      <c r="J1357" s="383">
        <f t="shared" si="831"/>
        <v>1.7296062500000015E-2</v>
      </c>
      <c r="K1357" s="382" t="s">
        <v>757</v>
      </c>
      <c r="L1357" s="395"/>
      <c r="M1357" s="335" t="str">
        <f>'[1]Advanced Controls'!$I$158</f>
        <v>t CH4-CO2eq per kg of protein</v>
      </c>
      <c r="N1357" s="238"/>
      <c r="O1357" s="227" t="s">
        <v>566</v>
      </c>
      <c r="P1357" s="122"/>
      <c r="Q1357" s="228"/>
      <c r="R1357" s="231">
        <f t="shared" si="843"/>
        <v>1.7296062500000015E-2</v>
      </c>
      <c r="S1357" s="230">
        <f t="shared" si="832"/>
        <v>1.7296062500000015E-2</v>
      </c>
      <c r="T1357" s="231">
        <f t="shared" si="845"/>
        <v>0</v>
      </c>
      <c r="U1357" s="232" t="str">
        <f t="shared" si="833"/>
        <v>t CH4-CO2eq per kg of protein</v>
      </c>
      <c r="V1357" s="28"/>
      <c r="W1357" s="28"/>
      <c r="Y1357" s="91"/>
      <c r="AO1357" s="91"/>
      <c r="AP1357" s="28"/>
      <c r="AQ1357" s="28"/>
      <c r="AR1357" s="237"/>
      <c r="AS1357" s="28"/>
      <c r="AT1357" s="304" t="str">
        <f t="shared" si="855"/>
        <v/>
      </c>
      <c r="AU1357" s="304" t="str">
        <f t="shared" si="855"/>
        <v/>
      </c>
      <c r="AV1357" s="28"/>
      <c r="AW1357" s="304" t="str">
        <f t="shared" si="846"/>
        <v/>
      </c>
      <c r="AX1357" s="304" t="str">
        <f t="shared" si="846"/>
        <v/>
      </c>
      <c r="AY1357" s="28"/>
      <c r="AZ1357" s="304" t="str">
        <f t="shared" si="847"/>
        <v/>
      </c>
      <c r="BA1357" s="304" t="str">
        <f t="shared" si="847"/>
        <v/>
      </c>
      <c r="BB1357" s="28"/>
      <c r="BC1357" s="304" t="str">
        <f t="shared" si="848"/>
        <v/>
      </c>
      <c r="BD1357" s="304" t="str">
        <f t="shared" si="848"/>
        <v/>
      </c>
      <c r="BE1357" s="28"/>
      <c r="BF1357" s="304">
        <f t="shared" si="849"/>
        <v>1.7296062500000015E-2</v>
      </c>
      <c r="BG1357" s="304">
        <f t="shared" si="849"/>
        <v>1.7296062500000015E-2</v>
      </c>
      <c r="BH1357" s="28"/>
      <c r="BI1357" s="304" t="str">
        <f t="shared" si="850"/>
        <v/>
      </c>
      <c r="BJ1357" s="304" t="str">
        <f t="shared" si="850"/>
        <v/>
      </c>
      <c r="BK1357" s="28"/>
      <c r="BL1357" s="304" t="str">
        <f t="shared" si="851"/>
        <v/>
      </c>
      <c r="BM1357" s="304" t="str">
        <f t="shared" si="851"/>
        <v/>
      </c>
      <c r="BN1357" s="28"/>
      <c r="BO1357" s="304" t="str">
        <f t="shared" si="852"/>
        <v/>
      </c>
      <c r="BP1357" s="304" t="str">
        <f t="shared" si="852"/>
        <v/>
      </c>
      <c r="BQ1357" s="28"/>
      <c r="BR1357" s="304" t="str">
        <f t="shared" si="853"/>
        <v/>
      </c>
      <c r="BS1357" s="304" t="str">
        <f t="shared" si="853"/>
        <v/>
      </c>
      <c r="BT1357" s="28"/>
      <c r="BU1357" s="304" t="str">
        <f t="shared" si="854"/>
        <v/>
      </c>
      <c r="BV1357" s="304" t="str">
        <f t="shared" si="854"/>
        <v/>
      </c>
      <c r="BW1357" s="28"/>
      <c r="BX1357" s="91"/>
    </row>
    <row r="1358" spans="1:76" s="55" customFormat="1" x14ac:dyDescent="0.25">
      <c r="A1358" s="195">
        <v>29</v>
      </c>
      <c r="B1358" s="216" t="str">
        <f t="shared" si="830"/>
        <v>Middle East and Africa: FAO. 2017. Reducing Enteric Methane for improving food security and livelihoods</v>
      </c>
      <c r="C1358" s="219" t="s">
        <v>488</v>
      </c>
      <c r="D1358" s="379" t="s">
        <v>287</v>
      </c>
      <c r="E1358" s="219" t="s">
        <v>99</v>
      </c>
      <c r="F1358" s="330" t="s">
        <v>288</v>
      </c>
      <c r="G1358" s="220" t="s">
        <v>26</v>
      </c>
      <c r="H1358" s="221">
        <v>2017</v>
      </c>
      <c r="I1358" s="240"/>
      <c r="J1358" s="383">
        <f t="shared" si="831"/>
        <v>2.7857375000000018E-2</v>
      </c>
      <c r="K1358" s="382" t="s">
        <v>757</v>
      </c>
      <c r="L1358" s="395"/>
      <c r="M1358" s="335" t="str">
        <f>'[1]Advanced Controls'!$I$158</f>
        <v>t CH4-CO2eq per kg of protein</v>
      </c>
      <c r="N1358" s="238"/>
      <c r="O1358" s="227" t="s">
        <v>567</v>
      </c>
      <c r="P1358" s="122"/>
      <c r="Q1358" s="228"/>
      <c r="R1358" s="231">
        <f t="shared" si="843"/>
        <v>2.7857375000000018E-2</v>
      </c>
      <c r="S1358" s="230">
        <f t="shared" si="832"/>
        <v>2.7857375000000018E-2</v>
      </c>
      <c r="T1358" s="231">
        <f t="shared" si="845"/>
        <v>0</v>
      </c>
      <c r="U1358" s="232" t="str">
        <f t="shared" si="833"/>
        <v>t CH4-CO2eq per kg of protein</v>
      </c>
      <c r="V1358" s="28"/>
      <c r="W1358" s="28"/>
      <c r="Y1358" s="91"/>
      <c r="AO1358" s="91"/>
      <c r="AP1358" s="28"/>
      <c r="AQ1358" s="28"/>
      <c r="AR1358" s="237"/>
      <c r="AS1358" s="28"/>
      <c r="AT1358" s="304" t="str">
        <f t="shared" si="855"/>
        <v/>
      </c>
      <c r="AU1358" s="304" t="str">
        <f t="shared" si="855"/>
        <v/>
      </c>
      <c r="AV1358" s="28"/>
      <c r="AW1358" s="304" t="str">
        <f t="shared" si="846"/>
        <v/>
      </c>
      <c r="AX1358" s="304" t="str">
        <f t="shared" si="846"/>
        <v/>
      </c>
      <c r="AY1358" s="28"/>
      <c r="AZ1358" s="304" t="str">
        <f t="shared" si="847"/>
        <v/>
      </c>
      <c r="BA1358" s="304" t="str">
        <f t="shared" si="847"/>
        <v/>
      </c>
      <c r="BB1358" s="28"/>
      <c r="BC1358" s="304" t="str">
        <f t="shared" si="848"/>
        <v/>
      </c>
      <c r="BD1358" s="304" t="str">
        <f t="shared" si="848"/>
        <v/>
      </c>
      <c r="BE1358" s="28"/>
      <c r="BF1358" s="304">
        <f t="shared" si="849"/>
        <v>2.7857375000000018E-2</v>
      </c>
      <c r="BG1358" s="304">
        <f t="shared" si="849"/>
        <v>2.7857375000000018E-2</v>
      </c>
      <c r="BH1358" s="28"/>
      <c r="BI1358" s="304" t="str">
        <f t="shared" si="850"/>
        <v/>
      </c>
      <c r="BJ1358" s="304" t="str">
        <f t="shared" si="850"/>
        <v/>
      </c>
      <c r="BK1358" s="28"/>
      <c r="BL1358" s="304" t="str">
        <f t="shared" si="851"/>
        <v/>
      </c>
      <c r="BM1358" s="304" t="str">
        <f t="shared" si="851"/>
        <v/>
      </c>
      <c r="BN1358" s="28"/>
      <c r="BO1358" s="304" t="str">
        <f t="shared" si="852"/>
        <v/>
      </c>
      <c r="BP1358" s="304" t="str">
        <f t="shared" si="852"/>
        <v/>
      </c>
      <c r="BQ1358" s="28"/>
      <c r="BR1358" s="304" t="str">
        <f t="shared" si="853"/>
        <v/>
      </c>
      <c r="BS1358" s="304" t="str">
        <f t="shared" si="853"/>
        <v/>
      </c>
      <c r="BT1358" s="28"/>
      <c r="BU1358" s="304" t="str">
        <f t="shared" si="854"/>
        <v/>
      </c>
      <c r="BV1358" s="304" t="str">
        <f t="shared" si="854"/>
        <v/>
      </c>
      <c r="BW1358" s="28"/>
      <c r="BX1358" s="91"/>
    </row>
    <row r="1359" spans="1:76" s="55" customFormat="1" x14ac:dyDescent="0.25">
      <c r="A1359" s="195">
        <v>30</v>
      </c>
      <c r="B1359" s="216" t="str">
        <f t="shared" si="830"/>
        <v>Middle East and Africa: FAO. 2017. Reducing Enteric Methane for improving food security and livelihoods</v>
      </c>
      <c r="C1359" s="219" t="s">
        <v>488</v>
      </c>
      <c r="D1359" s="379" t="s">
        <v>287</v>
      </c>
      <c r="E1359" s="219" t="s">
        <v>99</v>
      </c>
      <c r="F1359" s="330" t="s">
        <v>288</v>
      </c>
      <c r="G1359" s="220" t="s">
        <v>26</v>
      </c>
      <c r="H1359" s="221">
        <v>2017</v>
      </c>
      <c r="I1359" s="240"/>
      <c r="J1359" s="383">
        <f t="shared" si="831"/>
        <v>3.8265625000000192E-3</v>
      </c>
      <c r="K1359" s="382" t="s">
        <v>757</v>
      </c>
      <c r="L1359" s="395"/>
      <c r="M1359" s="335" t="str">
        <f>'[1]Advanced Controls'!$I$158</f>
        <v>t CH4-CO2eq per kg of protein</v>
      </c>
      <c r="N1359" s="238"/>
      <c r="O1359" s="227" t="s">
        <v>568</v>
      </c>
      <c r="P1359" s="122"/>
      <c r="Q1359" s="228"/>
      <c r="R1359" s="231">
        <f t="shared" si="843"/>
        <v>3.8265625000000192E-3</v>
      </c>
      <c r="S1359" s="230">
        <f t="shared" si="832"/>
        <v>3.8265625000000192E-3</v>
      </c>
      <c r="T1359" s="231">
        <f t="shared" si="845"/>
        <v>0</v>
      </c>
      <c r="U1359" s="232" t="str">
        <f t="shared" si="833"/>
        <v>t CH4-CO2eq per kg of protein</v>
      </c>
      <c r="V1359" s="28"/>
      <c r="W1359" s="28"/>
      <c r="Y1359" s="91"/>
      <c r="AO1359" s="91"/>
      <c r="AP1359" s="28"/>
      <c r="AQ1359" s="28"/>
      <c r="AR1359" s="237"/>
      <c r="AS1359" s="28"/>
      <c r="AT1359" s="304" t="str">
        <f t="shared" si="855"/>
        <v/>
      </c>
      <c r="AU1359" s="304" t="str">
        <f t="shared" si="855"/>
        <v/>
      </c>
      <c r="AV1359" s="28"/>
      <c r="AW1359" s="304" t="str">
        <f t="shared" si="846"/>
        <v/>
      </c>
      <c r="AX1359" s="304" t="str">
        <f t="shared" si="846"/>
        <v/>
      </c>
      <c r="AY1359" s="28"/>
      <c r="AZ1359" s="304" t="str">
        <f t="shared" si="847"/>
        <v/>
      </c>
      <c r="BA1359" s="304" t="str">
        <f t="shared" si="847"/>
        <v/>
      </c>
      <c r="BB1359" s="28"/>
      <c r="BC1359" s="304" t="str">
        <f t="shared" si="848"/>
        <v/>
      </c>
      <c r="BD1359" s="304" t="str">
        <f t="shared" si="848"/>
        <v/>
      </c>
      <c r="BE1359" s="28"/>
      <c r="BF1359" s="304">
        <f t="shared" si="849"/>
        <v>3.8265625000000192E-3</v>
      </c>
      <c r="BG1359" s="304">
        <f t="shared" si="849"/>
        <v>3.8265625000000192E-3</v>
      </c>
      <c r="BH1359" s="28"/>
      <c r="BI1359" s="304" t="str">
        <f t="shared" si="850"/>
        <v/>
      </c>
      <c r="BJ1359" s="304" t="str">
        <f t="shared" si="850"/>
        <v/>
      </c>
      <c r="BK1359" s="28"/>
      <c r="BL1359" s="304" t="str">
        <f t="shared" si="851"/>
        <v/>
      </c>
      <c r="BM1359" s="304" t="str">
        <f t="shared" si="851"/>
        <v/>
      </c>
      <c r="BN1359" s="28"/>
      <c r="BO1359" s="304" t="str">
        <f t="shared" si="852"/>
        <v/>
      </c>
      <c r="BP1359" s="304" t="str">
        <f t="shared" si="852"/>
        <v/>
      </c>
      <c r="BQ1359" s="28"/>
      <c r="BR1359" s="304" t="str">
        <f t="shared" si="853"/>
        <v/>
      </c>
      <c r="BS1359" s="304" t="str">
        <f t="shared" si="853"/>
        <v/>
      </c>
      <c r="BT1359" s="28"/>
      <c r="BU1359" s="304" t="str">
        <f t="shared" si="854"/>
        <v/>
      </c>
      <c r="BV1359" s="304" t="str">
        <f t="shared" si="854"/>
        <v/>
      </c>
      <c r="BW1359" s="28"/>
      <c r="BX1359" s="91"/>
    </row>
    <row r="1360" spans="1:76" s="55" customFormat="1" x14ac:dyDescent="0.25">
      <c r="A1360" s="195">
        <v>31</v>
      </c>
      <c r="B1360" s="216" t="str">
        <f t="shared" si="830"/>
        <v>Middle East and Africa: FAO. 2017. Reducing Enteric Methane for improving food security and livelihoods</v>
      </c>
      <c r="C1360" s="219" t="s">
        <v>488</v>
      </c>
      <c r="D1360" s="379" t="s">
        <v>287</v>
      </c>
      <c r="E1360" s="219" t="s">
        <v>99</v>
      </c>
      <c r="F1360" s="330" t="s">
        <v>288</v>
      </c>
      <c r="G1360" s="220" t="s">
        <v>26</v>
      </c>
      <c r="H1360" s="221">
        <v>2017</v>
      </c>
      <c r="I1360" s="240"/>
      <c r="J1360" s="383">
        <f t="shared" si="831"/>
        <v>5.776874999999998E-2</v>
      </c>
      <c r="K1360" s="382" t="s">
        <v>757</v>
      </c>
      <c r="L1360" s="395"/>
      <c r="M1360" s="335" t="str">
        <f>'[1]Advanced Controls'!$I$158</f>
        <v>t CH4-CO2eq per kg of protein</v>
      </c>
      <c r="N1360" s="238"/>
      <c r="O1360" s="227" t="s">
        <v>569</v>
      </c>
      <c r="P1360" s="122"/>
      <c r="Q1360" s="228"/>
      <c r="R1360" s="231">
        <f t="shared" si="843"/>
        <v>5.776874999999998E-2</v>
      </c>
      <c r="S1360" s="230">
        <f t="shared" si="832"/>
        <v>5.776874999999998E-2</v>
      </c>
      <c r="T1360" s="231">
        <f t="shared" si="845"/>
        <v>0</v>
      </c>
      <c r="U1360" s="232" t="str">
        <f t="shared" si="833"/>
        <v>t CH4-CO2eq per kg of protein</v>
      </c>
      <c r="V1360" s="28"/>
      <c r="W1360" s="28"/>
      <c r="Y1360" s="91"/>
      <c r="AO1360" s="91"/>
      <c r="AP1360" s="28"/>
      <c r="AQ1360" s="28"/>
      <c r="AR1360" s="237"/>
      <c r="AS1360" s="28"/>
      <c r="AT1360" s="304" t="str">
        <f t="shared" si="855"/>
        <v/>
      </c>
      <c r="AU1360" s="304" t="str">
        <f t="shared" si="855"/>
        <v/>
      </c>
      <c r="AV1360" s="28"/>
      <c r="AW1360" s="304" t="str">
        <f t="shared" si="846"/>
        <v/>
      </c>
      <c r="AX1360" s="304" t="str">
        <f t="shared" si="846"/>
        <v/>
      </c>
      <c r="AY1360" s="28"/>
      <c r="AZ1360" s="304" t="str">
        <f t="shared" si="847"/>
        <v/>
      </c>
      <c r="BA1360" s="304" t="str">
        <f t="shared" si="847"/>
        <v/>
      </c>
      <c r="BB1360" s="28"/>
      <c r="BC1360" s="304" t="str">
        <f t="shared" si="848"/>
        <v/>
      </c>
      <c r="BD1360" s="304" t="str">
        <f t="shared" si="848"/>
        <v/>
      </c>
      <c r="BE1360" s="28"/>
      <c r="BF1360" s="304">
        <f t="shared" si="849"/>
        <v>5.776874999999998E-2</v>
      </c>
      <c r="BG1360" s="304">
        <f t="shared" si="849"/>
        <v>5.776874999999998E-2</v>
      </c>
      <c r="BH1360" s="28"/>
      <c r="BI1360" s="304" t="str">
        <f t="shared" si="850"/>
        <v/>
      </c>
      <c r="BJ1360" s="304" t="str">
        <f t="shared" si="850"/>
        <v/>
      </c>
      <c r="BK1360" s="28"/>
      <c r="BL1360" s="304" t="str">
        <f t="shared" si="851"/>
        <v/>
      </c>
      <c r="BM1360" s="304" t="str">
        <f t="shared" si="851"/>
        <v/>
      </c>
      <c r="BN1360" s="28"/>
      <c r="BO1360" s="304" t="str">
        <f t="shared" si="852"/>
        <v/>
      </c>
      <c r="BP1360" s="304" t="str">
        <f t="shared" si="852"/>
        <v/>
      </c>
      <c r="BQ1360" s="28"/>
      <c r="BR1360" s="304" t="str">
        <f t="shared" si="853"/>
        <v/>
      </c>
      <c r="BS1360" s="304" t="str">
        <f t="shared" si="853"/>
        <v/>
      </c>
      <c r="BT1360" s="28"/>
      <c r="BU1360" s="304" t="str">
        <f t="shared" si="854"/>
        <v/>
      </c>
      <c r="BV1360" s="304" t="str">
        <f t="shared" si="854"/>
        <v/>
      </c>
      <c r="BW1360" s="28"/>
      <c r="BX1360" s="91"/>
    </row>
    <row r="1361" spans="1:76" s="55" customFormat="1" x14ac:dyDescent="0.25">
      <c r="A1361" s="195">
        <v>32</v>
      </c>
      <c r="B1361" s="216" t="str">
        <f t="shared" si="830"/>
        <v>Middle East and Africa: FAO. 2017. Reducing Enteric Methane for improving food security and livelihoods</v>
      </c>
      <c r="C1361" s="219" t="s">
        <v>488</v>
      </c>
      <c r="D1361" s="379" t="s">
        <v>287</v>
      </c>
      <c r="E1361" s="219" t="s">
        <v>99</v>
      </c>
      <c r="F1361" s="330" t="s">
        <v>288</v>
      </c>
      <c r="G1361" s="220" t="s">
        <v>26</v>
      </c>
      <c r="H1361" s="221">
        <v>2017</v>
      </c>
      <c r="I1361" s="240"/>
      <c r="J1361" s="383">
        <f t="shared" si="831"/>
        <v>5.1991874999999965E-2</v>
      </c>
      <c r="K1361" s="382" t="s">
        <v>757</v>
      </c>
      <c r="L1361" s="395"/>
      <c r="M1361" s="335" t="str">
        <f>'[1]Advanced Controls'!$I$158</f>
        <v>t CH4-CO2eq per kg of protein</v>
      </c>
      <c r="N1361" s="238"/>
      <c r="O1361" s="227" t="s">
        <v>570</v>
      </c>
      <c r="P1361" s="122"/>
      <c r="Q1361" s="228"/>
      <c r="R1361" s="231">
        <f t="shared" si="843"/>
        <v>5.1991874999999965E-2</v>
      </c>
      <c r="S1361" s="230">
        <f t="shared" si="832"/>
        <v>5.1991874999999965E-2</v>
      </c>
      <c r="T1361" s="231">
        <f t="shared" si="845"/>
        <v>0</v>
      </c>
      <c r="U1361" s="232" t="str">
        <f t="shared" si="833"/>
        <v>t CH4-CO2eq per kg of protein</v>
      </c>
      <c r="V1361" s="28"/>
      <c r="W1361" s="28"/>
      <c r="Y1361" s="91"/>
      <c r="AO1361" s="91"/>
      <c r="AP1361" s="28"/>
      <c r="AQ1361" s="28"/>
      <c r="AR1361" s="237"/>
      <c r="AS1361" s="28"/>
      <c r="AT1361" s="304" t="str">
        <f t="shared" si="855"/>
        <v/>
      </c>
      <c r="AU1361" s="304" t="str">
        <f t="shared" si="855"/>
        <v/>
      </c>
      <c r="AV1361" s="28"/>
      <c r="AW1361" s="304" t="str">
        <f t="shared" si="846"/>
        <v/>
      </c>
      <c r="AX1361" s="304" t="str">
        <f t="shared" si="846"/>
        <v/>
      </c>
      <c r="AY1361" s="28"/>
      <c r="AZ1361" s="304" t="str">
        <f t="shared" si="847"/>
        <v/>
      </c>
      <c r="BA1361" s="304" t="str">
        <f t="shared" si="847"/>
        <v/>
      </c>
      <c r="BB1361" s="28"/>
      <c r="BC1361" s="304" t="str">
        <f t="shared" si="848"/>
        <v/>
      </c>
      <c r="BD1361" s="304" t="str">
        <f t="shared" si="848"/>
        <v/>
      </c>
      <c r="BE1361" s="28"/>
      <c r="BF1361" s="304">
        <f t="shared" si="849"/>
        <v>5.1991874999999965E-2</v>
      </c>
      <c r="BG1361" s="304">
        <f t="shared" si="849"/>
        <v>5.1991874999999965E-2</v>
      </c>
      <c r="BH1361" s="28"/>
      <c r="BI1361" s="304" t="str">
        <f t="shared" si="850"/>
        <v/>
      </c>
      <c r="BJ1361" s="304" t="str">
        <f t="shared" si="850"/>
        <v/>
      </c>
      <c r="BK1361" s="28"/>
      <c r="BL1361" s="304" t="str">
        <f t="shared" si="851"/>
        <v/>
      </c>
      <c r="BM1361" s="304" t="str">
        <f t="shared" si="851"/>
        <v/>
      </c>
      <c r="BN1361" s="28"/>
      <c r="BO1361" s="304" t="str">
        <f t="shared" si="852"/>
        <v/>
      </c>
      <c r="BP1361" s="304" t="str">
        <f t="shared" si="852"/>
        <v/>
      </c>
      <c r="BQ1361" s="28"/>
      <c r="BR1361" s="304" t="str">
        <f t="shared" si="853"/>
        <v/>
      </c>
      <c r="BS1361" s="304" t="str">
        <f t="shared" si="853"/>
        <v/>
      </c>
      <c r="BT1361" s="28"/>
      <c r="BU1361" s="304" t="str">
        <f t="shared" si="854"/>
        <v/>
      </c>
      <c r="BV1361" s="304" t="str">
        <f t="shared" si="854"/>
        <v/>
      </c>
      <c r="BW1361" s="28"/>
      <c r="BX1361" s="91"/>
    </row>
    <row r="1362" spans="1:76" s="55" customFormat="1" x14ac:dyDescent="0.25">
      <c r="A1362" s="195">
        <v>33</v>
      </c>
      <c r="B1362" s="216" t="str">
        <f t="shared" si="830"/>
        <v>Middle East and Africa: FAO. 2017. Reducing Enteric Methane for improving food security and livelihoods</v>
      </c>
      <c r="C1362" s="219" t="s">
        <v>488</v>
      </c>
      <c r="D1362" s="379" t="s">
        <v>516</v>
      </c>
      <c r="E1362" s="219" t="s">
        <v>99</v>
      </c>
      <c r="F1362" s="330" t="s">
        <v>517</v>
      </c>
      <c r="G1362" s="220" t="s">
        <v>26</v>
      </c>
      <c r="H1362" s="221">
        <v>2017</v>
      </c>
      <c r="I1362" s="240"/>
      <c r="J1362" s="383">
        <f t="shared" si="831"/>
        <v>8.568787500000008E-2</v>
      </c>
      <c r="K1362" s="382" t="s">
        <v>757</v>
      </c>
      <c r="L1362" s="395"/>
      <c r="M1362" s="335" t="str">
        <f>'[1]Advanced Controls'!$I$158</f>
        <v>t CH4-CO2eq per kg of protein</v>
      </c>
      <c r="N1362" s="238"/>
      <c r="O1362" s="227" t="s">
        <v>571</v>
      </c>
      <c r="P1362" s="122"/>
      <c r="Q1362" s="228"/>
      <c r="R1362" s="231">
        <f t="shared" si="843"/>
        <v>8.568787500000008E-2</v>
      </c>
      <c r="S1362" s="230">
        <f t="shared" si="832"/>
        <v>8.568787500000008E-2</v>
      </c>
      <c r="T1362" s="231">
        <f t="shared" si="845"/>
        <v>0</v>
      </c>
      <c r="U1362" s="232" t="str">
        <f t="shared" si="833"/>
        <v>t CH4-CO2eq per kg of protein</v>
      </c>
      <c r="V1362" s="28"/>
      <c r="W1362" s="28"/>
      <c r="Y1362" s="91"/>
      <c r="AO1362" s="91"/>
      <c r="AP1362" s="28"/>
      <c r="AQ1362" s="28"/>
      <c r="AR1362" s="237"/>
      <c r="AS1362" s="28"/>
      <c r="AT1362" s="304" t="str">
        <f t="shared" si="855"/>
        <v/>
      </c>
      <c r="AU1362" s="304" t="str">
        <f t="shared" si="855"/>
        <v/>
      </c>
      <c r="AV1362" s="28"/>
      <c r="AW1362" s="304" t="str">
        <f t="shared" si="846"/>
        <v/>
      </c>
      <c r="AX1362" s="304" t="str">
        <f t="shared" si="846"/>
        <v/>
      </c>
      <c r="AY1362" s="28"/>
      <c r="AZ1362" s="304" t="str">
        <f t="shared" si="847"/>
        <v/>
      </c>
      <c r="BA1362" s="304" t="str">
        <f t="shared" si="847"/>
        <v/>
      </c>
      <c r="BB1362" s="28"/>
      <c r="BC1362" s="304" t="str">
        <f t="shared" si="848"/>
        <v/>
      </c>
      <c r="BD1362" s="304" t="str">
        <f t="shared" si="848"/>
        <v/>
      </c>
      <c r="BE1362" s="28"/>
      <c r="BF1362" s="304">
        <f t="shared" si="849"/>
        <v>8.568787500000008E-2</v>
      </c>
      <c r="BG1362" s="304">
        <f t="shared" si="849"/>
        <v>8.568787500000008E-2</v>
      </c>
      <c r="BH1362" s="28"/>
      <c r="BI1362" s="304" t="str">
        <f t="shared" si="850"/>
        <v/>
      </c>
      <c r="BJ1362" s="304" t="str">
        <f t="shared" si="850"/>
        <v/>
      </c>
      <c r="BK1362" s="28"/>
      <c r="BL1362" s="304" t="str">
        <f t="shared" si="851"/>
        <v/>
      </c>
      <c r="BM1362" s="304" t="str">
        <f t="shared" si="851"/>
        <v/>
      </c>
      <c r="BN1362" s="28"/>
      <c r="BO1362" s="304" t="str">
        <f t="shared" si="852"/>
        <v/>
      </c>
      <c r="BP1362" s="304" t="str">
        <f t="shared" si="852"/>
        <v/>
      </c>
      <c r="BQ1362" s="28"/>
      <c r="BR1362" s="304" t="str">
        <f t="shared" si="853"/>
        <v/>
      </c>
      <c r="BS1362" s="304" t="str">
        <f t="shared" si="853"/>
        <v/>
      </c>
      <c r="BT1362" s="28"/>
      <c r="BU1362" s="304" t="str">
        <f t="shared" si="854"/>
        <v/>
      </c>
      <c r="BV1362" s="304" t="str">
        <f t="shared" si="854"/>
        <v/>
      </c>
      <c r="BW1362" s="28"/>
      <c r="BX1362" s="91"/>
    </row>
    <row r="1363" spans="1:76" s="55" customFormat="1" x14ac:dyDescent="0.25">
      <c r="A1363" s="195">
        <v>34</v>
      </c>
      <c r="B1363" s="216" t="str">
        <f t="shared" si="830"/>
        <v>Middle East and Africa: FAO. 2017. Reducing Enteric Methane for improving food security and livelihoods</v>
      </c>
      <c r="C1363" s="219" t="s">
        <v>488</v>
      </c>
      <c r="D1363" s="379" t="s">
        <v>516</v>
      </c>
      <c r="E1363" s="219" t="s">
        <v>99</v>
      </c>
      <c r="F1363" s="330" t="s">
        <v>517</v>
      </c>
      <c r="G1363" s="220" t="s">
        <v>26</v>
      </c>
      <c r="H1363" s="221">
        <v>2017</v>
      </c>
      <c r="I1363" s="240"/>
      <c r="J1363" s="383">
        <f t="shared" si="831"/>
        <v>0.27652968750000029</v>
      </c>
      <c r="K1363" s="382" t="s">
        <v>757</v>
      </c>
      <c r="L1363" s="395"/>
      <c r="M1363" s="335" t="str">
        <f>'[1]Advanced Controls'!$I$158</f>
        <v>t CH4-CO2eq per kg of protein</v>
      </c>
      <c r="N1363" s="238"/>
      <c r="O1363" s="227" t="s">
        <v>572</v>
      </c>
      <c r="P1363" s="122"/>
      <c r="Q1363" s="228"/>
      <c r="R1363" s="231">
        <f t="shared" si="843"/>
        <v>0.27652968750000029</v>
      </c>
      <c r="S1363" s="230">
        <f t="shared" si="832"/>
        <v>0.27652968750000029</v>
      </c>
      <c r="T1363" s="231">
        <f t="shared" si="845"/>
        <v>0</v>
      </c>
      <c r="U1363" s="232" t="str">
        <f t="shared" si="833"/>
        <v>t CH4-CO2eq per kg of protein</v>
      </c>
      <c r="V1363" s="28"/>
      <c r="W1363" s="28"/>
      <c r="Y1363" s="91"/>
      <c r="AO1363" s="91"/>
      <c r="AP1363" s="28"/>
      <c r="AQ1363" s="28"/>
      <c r="AR1363" s="237"/>
      <c r="AS1363" s="28"/>
      <c r="AT1363" s="304" t="str">
        <f t="shared" si="855"/>
        <v/>
      </c>
      <c r="AU1363" s="304" t="str">
        <f t="shared" si="855"/>
        <v/>
      </c>
      <c r="AV1363" s="28"/>
      <c r="AW1363" s="304" t="str">
        <f t="shared" si="846"/>
        <v/>
      </c>
      <c r="AX1363" s="304" t="str">
        <f t="shared" si="846"/>
        <v/>
      </c>
      <c r="AY1363" s="28"/>
      <c r="AZ1363" s="304" t="str">
        <f t="shared" si="847"/>
        <v/>
      </c>
      <c r="BA1363" s="304" t="str">
        <f t="shared" si="847"/>
        <v/>
      </c>
      <c r="BB1363" s="28"/>
      <c r="BC1363" s="304" t="str">
        <f t="shared" si="848"/>
        <v/>
      </c>
      <c r="BD1363" s="304" t="str">
        <f t="shared" si="848"/>
        <v/>
      </c>
      <c r="BE1363" s="28"/>
      <c r="BF1363" s="304">
        <f t="shared" si="849"/>
        <v>0.27652968750000029</v>
      </c>
      <c r="BG1363" s="304">
        <f t="shared" si="849"/>
        <v>0.27652968750000029</v>
      </c>
      <c r="BH1363" s="28"/>
      <c r="BI1363" s="304" t="str">
        <f t="shared" si="850"/>
        <v/>
      </c>
      <c r="BJ1363" s="304" t="str">
        <f t="shared" si="850"/>
        <v/>
      </c>
      <c r="BK1363" s="28"/>
      <c r="BL1363" s="304" t="str">
        <f t="shared" si="851"/>
        <v/>
      </c>
      <c r="BM1363" s="304" t="str">
        <f t="shared" si="851"/>
        <v/>
      </c>
      <c r="BN1363" s="28"/>
      <c r="BO1363" s="304" t="str">
        <f t="shared" si="852"/>
        <v/>
      </c>
      <c r="BP1363" s="304" t="str">
        <f t="shared" si="852"/>
        <v/>
      </c>
      <c r="BQ1363" s="28"/>
      <c r="BR1363" s="304" t="str">
        <f t="shared" si="853"/>
        <v/>
      </c>
      <c r="BS1363" s="304" t="str">
        <f t="shared" si="853"/>
        <v/>
      </c>
      <c r="BT1363" s="28"/>
      <c r="BU1363" s="304" t="str">
        <f t="shared" si="854"/>
        <v/>
      </c>
      <c r="BV1363" s="304" t="str">
        <f t="shared" si="854"/>
        <v/>
      </c>
      <c r="BW1363" s="28"/>
      <c r="BX1363" s="91"/>
    </row>
    <row r="1364" spans="1:76" s="55" customFormat="1" x14ac:dyDescent="0.25">
      <c r="A1364" s="195">
        <v>35</v>
      </c>
      <c r="B1364" s="216" t="str">
        <f t="shared" si="830"/>
        <v>Middle East and Africa: FAO. 2017. Reducing Enteric Methane for improving food security and livelihoods</v>
      </c>
      <c r="C1364" s="219" t="s">
        <v>488</v>
      </c>
      <c r="D1364" s="379" t="s">
        <v>516</v>
      </c>
      <c r="E1364" s="219" t="s">
        <v>99</v>
      </c>
      <c r="F1364" s="330" t="s">
        <v>517</v>
      </c>
      <c r="G1364" s="220" t="s">
        <v>26</v>
      </c>
      <c r="H1364" s="221">
        <v>2017</v>
      </c>
      <c r="I1364" s="240"/>
      <c r="J1364" s="383">
        <f t="shared" si="831"/>
        <v>6.8232937500000035E-2</v>
      </c>
      <c r="K1364" s="382" t="s">
        <v>757</v>
      </c>
      <c r="L1364" s="395"/>
      <c r="M1364" s="335" t="str">
        <f>'[1]Advanced Controls'!$I$158</f>
        <v>t CH4-CO2eq per kg of protein</v>
      </c>
      <c r="N1364" s="238"/>
      <c r="O1364" s="227" t="s">
        <v>573</v>
      </c>
      <c r="P1364" s="122"/>
      <c r="Q1364" s="228"/>
      <c r="R1364" s="231">
        <f t="shared" si="843"/>
        <v>6.8232937500000035E-2</v>
      </c>
      <c r="S1364" s="230">
        <f t="shared" si="832"/>
        <v>6.8232937500000035E-2</v>
      </c>
      <c r="T1364" s="231">
        <f t="shared" si="845"/>
        <v>0</v>
      </c>
      <c r="U1364" s="232" t="str">
        <f t="shared" si="833"/>
        <v>t CH4-CO2eq per kg of protein</v>
      </c>
      <c r="V1364" s="28"/>
      <c r="W1364" s="28"/>
      <c r="Y1364" s="91"/>
      <c r="AO1364" s="91"/>
      <c r="AP1364" s="28"/>
      <c r="AQ1364" s="28"/>
      <c r="AR1364" s="237"/>
      <c r="AS1364" s="28"/>
      <c r="AT1364" s="304" t="str">
        <f t="shared" si="855"/>
        <v/>
      </c>
      <c r="AU1364" s="304" t="str">
        <f t="shared" si="855"/>
        <v/>
      </c>
      <c r="AV1364" s="28"/>
      <c r="AW1364" s="304" t="str">
        <f t="shared" si="846"/>
        <v/>
      </c>
      <c r="AX1364" s="304" t="str">
        <f t="shared" si="846"/>
        <v/>
      </c>
      <c r="AY1364" s="28"/>
      <c r="AZ1364" s="304" t="str">
        <f t="shared" si="847"/>
        <v/>
      </c>
      <c r="BA1364" s="304" t="str">
        <f t="shared" si="847"/>
        <v/>
      </c>
      <c r="BB1364" s="28"/>
      <c r="BC1364" s="304" t="str">
        <f t="shared" si="848"/>
        <v/>
      </c>
      <c r="BD1364" s="304" t="str">
        <f t="shared" si="848"/>
        <v/>
      </c>
      <c r="BE1364" s="28"/>
      <c r="BF1364" s="304">
        <f t="shared" si="849"/>
        <v>6.8232937500000035E-2</v>
      </c>
      <c r="BG1364" s="304">
        <f t="shared" si="849"/>
        <v>6.8232937500000035E-2</v>
      </c>
      <c r="BH1364" s="28"/>
      <c r="BI1364" s="304" t="str">
        <f t="shared" si="850"/>
        <v/>
      </c>
      <c r="BJ1364" s="304" t="str">
        <f t="shared" si="850"/>
        <v/>
      </c>
      <c r="BK1364" s="28"/>
      <c r="BL1364" s="304" t="str">
        <f t="shared" si="851"/>
        <v/>
      </c>
      <c r="BM1364" s="304" t="str">
        <f t="shared" si="851"/>
        <v/>
      </c>
      <c r="BN1364" s="28"/>
      <c r="BO1364" s="304" t="str">
        <f t="shared" si="852"/>
        <v/>
      </c>
      <c r="BP1364" s="304" t="str">
        <f t="shared" si="852"/>
        <v/>
      </c>
      <c r="BQ1364" s="28"/>
      <c r="BR1364" s="304" t="str">
        <f t="shared" si="853"/>
        <v/>
      </c>
      <c r="BS1364" s="304" t="str">
        <f t="shared" si="853"/>
        <v/>
      </c>
      <c r="BT1364" s="28"/>
      <c r="BU1364" s="304" t="str">
        <f t="shared" si="854"/>
        <v/>
      </c>
      <c r="BV1364" s="304" t="str">
        <f t="shared" si="854"/>
        <v/>
      </c>
      <c r="BW1364" s="28"/>
      <c r="BX1364" s="91"/>
    </row>
    <row r="1365" spans="1:76" s="55" customFormat="1" x14ac:dyDescent="0.25">
      <c r="A1365" s="195">
        <v>36</v>
      </c>
      <c r="B1365" s="216" t="str">
        <f t="shared" si="830"/>
        <v>Middle East and Africa: FAO. 2017. Reducing Enteric Methane for improving food security and livelihoods</v>
      </c>
      <c r="C1365" s="219" t="s">
        <v>488</v>
      </c>
      <c r="D1365" s="379" t="s">
        <v>516</v>
      </c>
      <c r="E1365" s="219" t="s">
        <v>99</v>
      </c>
      <c r="F1365" s="330" t="s">
        <v>517</v>
      </c>
      <c r="G1365" s="220" t="s">
        <v>26</v>
      </c>
      <c r="H1365" s="221">
        <v>2017</v>
      </c>
      <c r="I1365" s="240"/>
      <c r="J1365" s="383">
        <f t="shared" si="831"/>
        <v>0.22697812500000025</v>
      </c>
      <c r="K1365" s="382" t="s">
        <v>757</v>
      </c>
      <c r="L1365" s="395"/>
      <c r="M1365" s="335" t="str">
        <f>'[1]Advanced Controls'!$I$158</f>
        <v>t CH4-CO2eq per kg of protein</v>
      </c>
      <c r="N1365" s="238"/>
      <c r="O1365" s="227" t="s">
        <v>574</v>
      </c>
      <c r="P1365" s="122"/>
      <c r="Q1365" s="228"/>
      <c r="R1365" s="231">
        <f t="shared" si="843"/>
        <v>0.22697812500000025</v>
      </c>
      <c r="S1365" s="230">
        <f t="shared" si="832"/>
        <v>0.22697812500000025</v>
      </c>
      <c r="T1365" s="231">
        <f t="shared" si="845"/>
        <v>0</v>
      </c>
      <c r="U1365" s="232" t="str">
        <f t="shared" si="833"/>
        <v>t CH4-CO2eq per kg of protein</v>
      </c>
      <c r="V1365" s="28"/>
      <c r="W1365" s="28"/>
      <c r="Y1365" s="91"/>
      <c r="AO1365" s="91"/>
      <c r="AP1365" s="28"/>
      <c r="AQ1365" s="28"/>
      <c r="AR1365" s="237"/>
      <c r="AS1365" s="28"/>
      <c r="AT1365" s="304" t="str">
        <f t="shared" si="855"/>
        <v/>
      </c>
      <c r="AU1365" s="304" t="str">
        <f t="shared" si="855"/>
        <v/>
      </c>
      <c r="AV1365" s="28"/>
      <c r="AW1365" s="304" t="str">
        <f t="shared" si="846"/>
        <v/>
      </c>
      <c r="AX1365" s="304" t="str">
        <f t="shared" si="846"/>
        <v/>
      </c>
      <c r="AY1365" s="28"/>
      <c r="AZ1365" s="304" t="str">
        <f t="shared" si="847"/>
        <v/>
      </c>
      <c r="BA1365" s="304" t="str">
        <f t="shared" si="847"/>
        <v/>
      </c>
      <c r="BB1365" s="28"/>
      <c r="BC1365" s="304" t="str">
        <f t="shared" si="848"/>
        <v/>
      </c>
      <c r="BD1365" s="304" t="str">
        <f t="shared" si="848"/>
        <v/>
      </c>
      <c r="BE1365" s="28"/>
      <c r="BF1365" s="304">
        <f t="shared" si="849"/>
        <v>0.22697812500000025</v>
      </c>
      <c r="BG1365" s="304">
        <f t="shared" si="849"/>
        <v>0.22697812500000025</v>
      </c>
      <c r="BH1365" s="28"/>
      <c r="BI1365" s="304" t="str">
        <f t="shared" si="850"/>
        <v/>
      </c>
      <c r="BJ1365" s="304" t="str">
        <f t="shared" si="850"/>
        <v/>
      </c>
      <c r="BK1365" s="28"/>
      <c r="BL1365" s="304" t="str">
        <f t="shared" si="851"/>
        <v/>
      </c>
      <c r="BM1365" s="304" t="str">
        <f t="shared" si="851"/>
        <v/>
      </c>
      <c r="BN1365" s="28"/>
      <c r="BO1365" s="304" t="str">
        <f t="shared" si="852"/>
        <v/>
      </c>
      <c r="BP1365" s="304" t="str">
        <f t="shared" si="852"/>
        <v/>
      </c>
      <c r="BQ1365" s="28"/>
      <c r="BR1365" s="304" t="str">
        <f t="shared" si="853"/>
        <v/>
      </c>
      <c r="BS1365" s="304" t="str">
        <f t="shared" si="853"/>
        <v/>
      </c>
      <c r="BT1365" s="28"/>
      <c r="BU1365" s="304" t="str">
        <f t="shared" si="854"/>
        <v/>
      </c>
      <c r="BV1365" s="304" t="str">
        <f t="shared" si="854"/>
        <v/>
      </c>
      <c r="BW1365" s="28"/>
      <c r="BX1365" s="91"/>
    </row>
    <row r="1366" spans="1:76" s="55" customFormat="1" x14ac:dyDescent="0.25">
      <c r="A1366" s="195">
        <v>37</v>
      </c>
      <c r="B1366" s="216" t="str">
        <f t="shared" si="830"/>
        <v>Middle East and Africa: FAO. 2017. Reducing Enteric Methane for improving food security and livelihoods</v>
      </c>
      <c r="C1366" s="219" t="s">
        <v>488</v>
      </c>
      <c r="D1366" s="379" t="s">
        <v>520</v>
      </c>
      <c r="E1366" s="219" t="s">
        <v>99</v>
      </c>
      <c r="F1366" s="330" t="s">
        <v>521</v>
      </c>
      <c r="G1366" s="220" t="s">
        <v>26</v>
      </c>
      <c r="H1366" s="221">
        <v>2017</v>
      </c>
      <c r="I1366" s="240"/>
      <c r="J1366" s="383">
        <f t="shared" si="831"/>
        <v>0.32688337499999998</v>
      </c>
      <c r="K1366" s="382" t="s">
        <v>757</v>
      </c>
      <c r="L1366" s="395"/>
      <c r="M1366" s="335" t="str">
        <f>'[1]Advanced Controls'!$I$158</f>
        <v>t CH4-CO2eq per kg of protein</v>
      </c>
      <c r="N1366" s="238"/>
      <c r="O1366" s="227" t="s">
        <v>571</v>
      </c>
      <c r="P1366" s="122"/>
      <c r="Q1366" s="228"/>
      <c r="R1366" s="231">
        <f t="shared" si="843"/>
        <v>0.32688337499999998</v>
      </c>
      <c r="S1366" s="230">
        <f t="shared" si="832"/>
        <v>0.32688337499999998</v>
      </c>
      <c r="T1366" s="231">
        <f t="shared" si="845"/>
        <v>0</v>
      </c>
      <c r="U1366" s="232" t="str">
        <f t="shared" si="833"/>
        <v>t CH4-CO2eq per kg of protein</v>
      </c>
      <c r="V1366" s="28"/>
      <c r="W1366" s="28"/>
      <c r="Y1366" s="91"/>
      <c r="AO1366" s="91"/>
      <c r="AP1366" s="28"/>
      <c r="AQ1366" s="28"/>
      <c r="AR1366" s="237"/>
      <c r="AS1366" s="28"/>
      <c r="AT1366" s="304" t="str">
        <f t="shared" si="855"/>
        <v/>
      </c>
      <c r="AU1366" s="304" t="str">
        <f t="shared" si="855"/>
        <v/>
      </c>
      <c r="AV1366" s="28"/>
      <c r="AW1366" s="304" t="str">
        <f t="shared" si="846"/>
        <v/>
      </c>
      <c r="AX1366" s="304" t="str">
        <f t="shared" si="846"/>
        <v/>
      </c>
      <c r="AY1366" s="28"/>
      <c r="AZ1366" s="304" t="str">
        <f t="shared" si="847"/>
        <v/>
      </c>
      <c r="BA1366" s="304" t="str">
        <f t="shared" si="847"/>
        <v/>
      </c>
      <c r="BB1366" s="28"/>
      <c r="BC1366" s="304" t="str">
        <f t="shared" si="848"/>
        <v/>
      </c>
      <c r="BD1366" s="304" t="str">
        <f t="shared" si="848"/>
        <v/>
      </c>
      <c r="BE1366" s="28"/>
      <c r="BF1366" s="304">
        <f t="shared" si="849"/>
        <v>0.32688337499999998</v>
      </c>
      <c r="BG1366" s="304">
        <f t="shared" si="849"/>
        <v>0.32688337499999998</v>
      </c>
      <c r="BH1366" s="28"/>
      <c r="BI1366" s="304" t="str">
        <f t="shared" si="850"/>
        <v/>
      </c>
      <c r="BJ1366" s="304" t="str">
        <f t="shared" si="850"/>
        <v/>
      </c>
      <c r="BK1366" s="28"/>
      <c r="BL1366" s="304" t="str">
        <f t="shared" si="851"/>
        <v/>
      </c>
      <c r="BM1366" s="304" t="str">
        <f t="shared" si="851"/>
        <v/>
      </c>
      <c r="BN1366" s="28"/>
      <c r="BO1366" s="304" t="str">
        <f t="shared" si="852"/>
        <v/>
      </c>
      <c r="BP1366" s="304" t="str">
        <f t="shared" si="852"/>
        <v/>
      </c>
      <c r="BQ1366" s="28"/>
      <c r="BR1366" s="304" t="str">
        <f t="shared" si="853"/>
        <v/>
      </c>
      <c r="BS1366" s="304" t="str">
        <f t="shared" si="853"/>
        <v/>
      </c>
      <c r="BT1366" s="28"/>
      <c r="BU1366" s="304" t="str">
        <f t="shared" si="854"/>
        <v/>
      </c>
      <c r="BV1366" s="304" t="str">
        <f t="shared" si="854"/>
        <v/>
      </c>
      <c r="BW1366" s="28"/>
      <c r="BX1366" s="91"/>
    </row>
    <row r="1367" spans="1:76" s="55" customFormat="1" x14ac:dyDescent="0.25">
      <c r="A1367" s="195">
        <v>38</v>
      </c>
      <c r="B1367" s="216" t="str">
        <f t="shared" si="830"/>
        <v>Middle East and Africa: FAO. 2017. Reducing Enteric Methane for improving food security and livelihoods</v>
      </c>
      <c r="C1367" s="219" t="s">
        <v>488</v>
      </c>
      <c r="D1367" s="379" t="s">
        <v>520</v>
      </c>
      <c r="E1367" s="219" t="s">
        <v>99</v>
      </c>
      <c r="F1367" s="330" t="s">
        <v>521</v>
      </c>
      <c r="G1367" s="220" t="s">
        <v>26</v>
      </c>
      <c r="H1367" s="221">
        <v>2017</v>
      </c>
      <c r="I1367" s="240"/>
      <c r="J1367" s="383">
        <f t="shared" si="831"/>
        <v>0.73206693749999951</v>
      </c>
      <c r="K1367" s="382" t="s">
        <v>757</v>
      </c>
      <c r="L1367" s="395"/>
      <c r="M1367" s="335" t="str">
        <f>'[1]Advanced Controls'!$I$158</f>
        <v>t CH4-CO2eq per kg of protein</v>
      </c>
      <c r="N1367" s="238"/>
      <c r="O1367" s="227" t="s">
        <v>572</v>
      </c>
      <c r="P1367" s="122"/>
      <c r="Q1367" s="228"/>
      <c r="R1367" s="231">
        <f t="shared" si="843"/>
        <v>0.73206693749999951</v>
      </c>
      <c r="S1367" s="230" t="str">
        <f t="shared" si="832"/>
        <v/>
      </c>
      <c r="T1367" s="231">
        <f t="shared" si="845"/>
        <v>0</v>
      </c>
      <c r="U1367" s="232" t="str">
        <f t="shared" si="833"/>
        <v>t CH4-CO2eq per kg of protein</v>
      </c>
      <c r="V1367" s="28"/>
      <c r="W1367" s="28"/>
      <c r="Y1367" s="91"/>
      <c r="AO1367" s="91"/>
      <c r="AP1367" s="28"/>
      <c r="AQ1367" s="28"/>
      <c r="AR1367" s="237"/>
      <c r="AS1367" s="28"/>
      <c r="AT1367" s="304" t="str">
        <f t="shared" si="855"/>
        <v/>
      </c>
      <c r="AU1367" s="304" t="str">
        <f t="shared" si="855"/>
        <v/>
      </c>
      <c r="AV1367" s="28"/>
      <c r="AW1367" s="304" t="str">
        <f t="shared" si="846"/>
        <v/>
      </c>
      <c r="AX1367" s="304" t="str">
        <f t="shared" si="846"/>
        <v/>
      </c>
      <c r="AY1367" s="28"/>
      <c r="AZ1367" s="304" t="str">
        <f t="shared" si="847"/>
        <v/>
      </c>
      <c r="BA1367" s="304" t="str">
        <f t="shared" si="847"/>
        <v/>
      </c>
      <c r="BB1367" s="28"/>
      <c r="BC1367" s="304" t="str">
        <f t="shared" si="848"/>
        <v/>
      </c>
      <c r="BD1367" s="304" t="str">
        <f t="shared" si="848"/>
        <v/>
      </c>
      <c r="BE1367" s="28"/>
      <c r="BF1367" s="304">
        <f t="shared" si="849"/>
        <v>0.73206693749999951</v>
      </c>
      <c r="BG1367" s="304" t="str">
        <f t="shared" si="849"/>
        <v/>
      </c>
      <c r="BH1367" s="28"/>
      <c r="BI1367" s="304" t="str">
        <f t="shared" si="850"/>
        <v/>
      </c>
      <c r="BJ1367" s="304" t="str">
        <f t="shared" si="850"/>
        <v/>
      </c>
      <c r="BK1367" s="28"/>
      <c r="BL1367" s="304" t="str">
        <f t="shared" si="851"/>
        <v/>
      </c>
      <c r="BM1367" s="304" t="str">
        <f t="shared" si="851"/>
        <v/>
      </c>
      <c r="BN1367" s="28"/>
      <c r="BO1367" s="304" t="str">
        <f t="shared" si="852"/>
        <v/>
      </c>
      <c r="BP1367" s="304" t="str">
        <f t="shared" si="852"/>
        <v/>
      </c>
      <c r="BQ1367" s="28"/>
      <c r="BR1367" s="304" t="str">
        <f t="shared" si="853"/>
        <v/>
      </c>
      <c r="BS1367" s="304" t="str">
        <f t="shared" si="853"/>
        <v/>
      </c>
      <c r="BT1367" s="28"/>
      <c r="BU1367" s="304" t="str">
        <f t="shared" si="854"/>
        <v/>
      </c>
      <c r="BV1367" s="304" t="str">
        <f t="shared" si="854"/>
        <v/>
      </c>
      <c r="BW1367" s="28"/>
      <c r="BX1367" s="91"/>
    </row>
    <row r="1368" spans="1:76" s="55" customFormat="1" x14ac:dyDescent="0.25">
      <c r="A1368" s="195">
        <v>39</v>
      </c>
      <c r="B1368" s="216" t="str">
        <f t="shared" si="830"/>
        <v>Middle East and Africa: FAO. 2017. Reducing Enteric Methane for improving food security and livelihoods</v>
      </c>
      <c r="C1368" s="219" t="s">
        <v>488</v>
      </c>
      <c r="D1368" s="379" t="s">
        <v>520</v>
      </c>
      <c r="E1368" s="219" t="s">
        <v>99</v>
      </c>
      <c r="F1368" s="330" t="s">
        <v>521</v>
      </c>
      <c r="G1368" s="220" t="s">
        <v>26</v>
      </c>
      <c r="H1368" s="221">
        <v>2017</v>
      </c>
      <c r="I1368" s="240"/>
      <c r="J1368" s="383">
        <f t="shared" si="831"/>
        <v>0.29275818750000004</v>
      </c>
      <c r="K1368" s="382" t="s">
        <v>757</v>
      </c>
      <c r="L1368" s="395"/>
      <c r="M1368" s="335" t="str">
        <f>'[1]Advanced Controls'!$I$158</f>
        <v>t CH4-CO2eq per kg of protein</v>
      </c>
      <c r="N1368" s="238"/>
      <c r="O1368" s="227" t="s">
        <v>573</v>
      </c>
      <c r="P1368" s="122"/>
      <c r="Q1368" s="228"/>
      <c r="R1368" s="231">
        <f t="shared" si="843"/>
        <v>0.29275818750000004</v>
      </c>
      <c r="S1368" s="230">
        <f t="shared" si="832"/>
        <v>0.29275818750000004</v>
      </c>
      <c r="T1368" s="231">
        <f t="shared" si="845"/>
        <v>0</v>
      </c>
      <c r="U1368" s="232" t="str">
        <f t="shared" si="833"/>
        <v>t CH4-CO2eq per kg of protein</v>
      </c>
      <c r="V1368" s="28"/>
      <c r="W1368" s="28"/>
      <c r="Y1368" s="91"/>
      <c r="AO1368" s="91"/>
      <c r="AP1368" s="28"/>
      <c r="AQ1368" s="28"/>
      <c r="AR1368" s="237"/>
      <c r="AS1368" s="28"/>
      <c r="AT1368" s="304" t="str">
        <f t="shared" si="855"/>
        <v/>
      </c>
      <c r="AU1368" s="304" t="str">
        <f t="shared" si="855"/>
        <v/>
      </c>
      <c r="AV1368" s="28"/>
      <c r="AW1368" s="304" t="str">
        <f t="shared" si="846"/>
        <v/>
      </c>
      <c r="AX1368" s="304" t="str">
        <f t="shared" si="846"/>
        <v/>
      </c>
      <c r="AY1368" s="28"/>
      <c r="AZ1368" s="304" t="str">
        <f t="shared" si="847"/>
        <v/>
      </c>
      <c r="BA1368" s="304" t="str">
        <f t="shared" si="847"/>
        <v/>
      </c>
      <c r="BB1368" s="28"/>
      <c r="BC1368" s="304" t="str">
        <f t="shared" si="848"/>
        <v/>
      </c>
      <c r="BD1368" s="304" t="str">
        <f t="shared" si="848"/>
        <v/>
      </c>
      <c r="BE1368" s="28"/>
      <c r="BF1368" s="304">
        <f t="shared" si="849"/>
        <v>0.29275818750000004</v>
      </c>
      <c r="BG1368" s="304">
        <f t="shared" si="849"/>
        <v>0.29275818750000004</v>
      </c>
      <c r="BH1368" s="28"/>
      <c r="BI1368" s="304" t="str">
        <f t="shared" si="850"/>
        <v/>
      </c>
      <c r="BJ1368" s="304" t="str">
        <f t="shared" si="850"/>
        <v/>
      </c>
      <c r="BK1368" s="28"/>
      <c r="BL1368" s="304" t="str">
        <f t="shared" si="851"/>
        <v/>
      </c>
      <c r="BM1368" s="304" t="str">
        <f t="shared" si="851"/>
        <v/>
      </c>
      <c r="BN1368" s="28"/>
      <c r="BO1368" s="304" t="str">
        <f t="shared" si="852"/>
        <v/>
      </c>
      <c r="BP1368" s="304" t="str">
        <f t="shared" si="852"/>
        <v/>
      </c>
      <c r="BQ1368" s="28"/>
      <c r="BR1368" s="304" t="str">
        <f t="shared" si="853"/>
        <v/>
      </c>
      <c r="BS1368" s="304" t="str">
        <f t="shared" si="853"/>
        <v/>
      </c>
      <c r="BT1368" s="28"/>
      <c r="BU1368" s="304" t="str">
        <f t="shared" si="854"/>
        <v/>
      </c>
      <c r="BV1368" s="304" t="str">
        <f t="shared" si="854"/>
        <v/>
      </c>
      <c r="BW1368" s="28"/>
      <c r="BX1368" s="91"/>
    </row>
    <row r="1369" spans="1:76" s="55" customFormat="1" x14ac:dyDescent="0.25">
      <c r="A1369" s="195">
        <v>40</v>
      </c>
      <c r="B1369" s="216" t="str">
        <f t="shared" si="830"/>
        <v>Middle East and Africa: FAO. 2017. Reducing Enteric Methane for improving food security and livelihoods</v>
      </c>
      <c r="C1369" s="219" t="s">
        <v>488</v>
      </c>
      <c r="D1369" s="379" t="s">
        <v>520</v>
      </c>
      <c r="E1369" s="219" t="s">
        <v>99</v>
      </c>
      <c r="F1369" s="330" t="s">
        <v>521</v>
      </c>
      <c r="G1369" s="220" t="s">
        <v>26</v>
      </c>
      <c r="H1369" s="221">
        <v>2017</v>
      </c>
      <c r="I1369" s="240"/>
      <c r="J1369" s="383">
        <f t="shared" si="831"/>
        <v>0.68495371875000055</v>
      </c>
      <c r="K1369" s="382" t="s">
        <v>757</v>
      </c>
      <c r="L1369" s="395"/>
      <c r="M1369" s="335" t="str">
        <f>'[1]Advanced Controls'!$I$158</f>
        <v>t CH4-CO2eq per kg of protein</v>
      </c>
      <c r="N1369" s="238"/>
      <c r="O1369" s="227" t="s">
        <v>574</v>
      </c>
      <c r="P1369" s="122"/>
      <c r="Q1369" s="228"/>
      <c r="R1369" s="231">
        <f t="shared" si="843"/>
        <v>0.68495371875000055</v>
      </c>
      <c r="S1369" s="230" t="str">
        <f t="shared" si="832"/>
        <v/>
      </c>
      <c r="T1369" s="231">
        <f t="shared" si="845"/>
        <v>0</v>
      </c>
      <c r="U1369" s="232" t="str">
        <f t="shared" si="833"/>
        <v>t CH4-CO2eq per kg of protein</v>
      </c>
      <c r="V1369" s="28"/>
      <c r="W1369" s="28"/>
      <c r="Y1369" s="91"/>
      <c r="AO1369" s="91"/>
      <c r="AP1369" s="28"/>
      <c r="AQ1369" s="28"/>
      <c r="AR1369" s="237"/>
      <c r="AS1369" s="28"/>
      <c r="AT1369" s="304" t="str">
        <f t="shared" si="855"/>
        <v/>
      </c>
      <c r="AU1369" s="304" t="str">
        <f t="shared" si="855"/>
        <v/>
      </c>
      <c r="AV1369" s="28"/>
      <c r="AW1369" s="304" t="str">
        <f t="shared" si="846"/>
        <v/>
      </c>
      <c r="AX1369" s="304" t="str">
        <f t="shared" si="846"/>
        <v/>
      </c>
      <c r="AY1369" s="28"/>
      <c r="AZ1369" s="304" t="str">
        <f t="shared" si="847"/>
        <v/>
      </c>
      <c r="BA1369" s="304" t="str">
        <f t="shared" si="847"/>
        <v/>
      </c>
      <c r="BB1369" s="28"/>
      <c r="BC1369" s="304" t="str">
        <f t="shared" si="848"/>
        <v/>
      </c>
      <c r="BD1369" s="304" t="str">
        <f t="shared" si="848"/>
        <v/>
      </c>
      <c r="BE1369" s="28"/>
      <c r="BF1369" s="304">
        <f t="shared" si="849"/>
        <v>0.68495371875000055</v>
      </c>
      <c r="BG1369" s="304" t="str">
        <f t="shared" si="849"/>
        <v/>
      </c>
      <c r="BH1369" s="28"/>
      <c r="BI1369" s="304" t="str">
        <f t="shared" si="850"/>
        <v/>
      </c>
      <c r="BJ1369" s="304" t="str">
        <f t="shared" si="850"/>
        <v/>
      </c>
      <c r="BK1369" s="28"/>
      <c r="BL1369" s="304" t="str">
        <f t="shared" si="851"/>
        <v/>
      </c>
      <c r="BM1369" s="304" t="str">
        <f t="shared" si="851"/>
        <v/>
      </c>
      <c r="BN1369" s="28"/>
      <c r="BO1369" s="304" t="str">
        <f t="shared" si="852"/>
        <v/>
      </c>
      <c r="BP1369" s="304" t="str">
        <f t="shared" si="852"/>
        <v/>
      </c>
      <c r="BQ1369" s="28"/>
      <c r="BR1369" s="304" t="str">
        <f t="shared" si="853"/>
        <v/>
      </c>
      <c r="BS1369" s="304" t="str">
        <f t="shared" si="853"/>
        <v/>
      </c>
      <c r="BT1369" s="28"/>
      <c r="BU1369" s="304" t="str">
        <f t="shared" si="854"/>
        <v/>
      </c>
      <c r="BV1369" s="304" t="str">
        <f t="shared" si="854"/>
        <v/>
      </c>
      <c r="BW1369" s="28"/>
      <c r="BX1369" s="91"/>
    </row>
    <row r="1370" spans="1:76" s="55" customFormat="1" x14ac:dyDescent="0.25">
      <c r="A1370" s="195">
        <v>41</v>
      </c>
      <c r="B1370" s="216" t="str">
        <f t="shared" si="830"/>
        <v>Middle East and Africa: FAO. 2017. Reducing Enteric Methane for improving food security and livelihoods</v>
      </c>
      <c r="C1370" s="219" t="s">
        <v>488</v>
      </c>
      <c r="D1370" s="379" t="s">
        <v>520</v>
      </c>
      <c r="E1370" s="219" t="s">
        <v>99</v>
      </c>
      <c r="F1370" s="330" t="s">
        <v>521</v>
      </c>
      <c r="G1370" s="220" t="s">
        <v>26</v>
      </c>
      <c r="H1370" s="221">
        <v>2017</v>
      </c>
      <c r="I1370" s="240"/>
      <c r="J1370" s="383">
        <f t="shared" si="831"/>
        <v>0.46338412500000015</v>
      </c>
      <c r="K1370" s="382" t="s">
        <v>757</v>
      </c>
      <c r="L1370" s="395"/>
      <c r="M1370" s="335" t="str">
        <f>'[1]Advanced Controls'!$I$158</f>
        <v>t CH4-CO2eq per kg of protein</v>
      </c>
      <c r="N1370" s="238"/>
      <c r="O1370" s="227" t="s">
        <v>575</v>
      </c>
      <c r="P1370" s="122"/>
      <c r="Q1370" s="228"/>
      <c r="R1370" s="231">
        <f t="shared" si="843"/>
        <v>0.46338412500000015</v>
      </c>
      <c r="S1370" s="230">
        <f t="shared" si="832"/>
        <v>0.46338412500000015</v>
      </c>
      <c r="T1370" s="231">
        <f t="shared" si="845"/>
        <v>0</v>
      </c>
      <c r="U1370" s="232" t="str">
        <f t="shared" si="833"/>
        <v>t CH4-CO2eq per kg of protein</v>
      </c>
      <c r="V1370" s="28"/>
      <c r="W1370" s="28"/>
      <c r="Y1370" s="91"/>
      <c r="AO1370" s="91"/>
      <c r="AP1370" s="28"/>
      <c r="AQ1370" s="28"/>
      <c r="AR1370" s="237"/>
      <c r="AS1370" s="28"/>
      <c r="AT1370" s="304" t="str">
        <f t="shared" si="855"/>
        <v/>
      </c>
      <c r="AU1370" s="304" t="str">
        <f t="shared" si="855"/>
        <v/>
      </c>
      <c r="AV1370" s="28"/>
      <c r="AW1370" s="304" t="str">
        <f t="shared" si="846"/>
        <v/>
      </c>
      <c r="AX1370" s="304" t="str">
        <f t="shared" si="846"/>
        <v/>
      </c>
      <c r="AY1370" s="28"/>
      <c r="AZ1370" s="304" t="str">
        <f t="shared" si="847"/>
        <v/>
      </c>
      <c r="BA1370" s="304" t="str">
        <f t="shared" si="847"/>
        <v/>
      </c>
      <c r="BB1370" s="28"/>
      <c r="BC1370" s="304" t="str">
        <f t="shared" si="848"/>
        <v/>
      </c>
      <c r="BD1370" s="304" t="str">
        <f t="shared" si="848"/>
        <v/>
      </c>
      <c r="BE1370" s="28"/>
      <c r="BF1370" s="304">
        <f t="shared" si="849"/>
        <v>0.46338412500000015</v>
      </c>
      <c r="BG1370" s="304">
        <f t="shared" si="849"/>
        <v>0.46338412500000015</v>
      </c>
      <c r="BH1370" s="28"/>
      <c r="BI1370" s="304" t="str">
        <f t="shared" si="850"/>
        <v/>
      </c>
      <c r="BJ1370" s="304" t="str">
        <f t="shared" si="850"/>
        <v/>
      </c>
      <c r="BK1370" s="28"/>
      <c r="BL1370" s="304" t="str">
        <f t="shared" si="851"/>
        <v/>
      </c>
      <c r="BM1370" s="304" t="str">
        <f t="shared" si="851"/>
        <v/>
      </c>
      <c r="BN1370" s="28"/>
      <c r="BO1370" s="304" t="str">
        <f t="shared" si="852"/>
        <v/>
      </c>
      <c r="BP1370" s="304" t="str">
        <f t="shared" si="852"/>
        <v/>
      </c>
      <c r="BQ1370" s="28"/>
      <c r="BR1370" s="304" t="str">
        <f t="shared" si="853"/>
        <v/>
      </c>
      <c r="BS1370" s="304" t="str">
        <f t="shared" si="853"/>
        <v/>
      </c>
      <c r="BT1370" s="28"/>
      <c r="BU1370" s="304" t="str">
        <f t="shared" si="854"/>
        <v/>
      </c>
      <c r="BV1370" s="304" t="str">
        <f t="shared" si="854"/>
        <v/>
      </c>
      <c r="BW1370" s="28"/>
      <c r="BX1370" s="91"/>
    </row>
    <row r="1371" spans="1:76" s="55" customFormat="1" x14ac:dyDescent="0.25">
      <c r="A1371" s="195">
        <v>42</v>
      </c>
      <c r="B1371" s="216" t="str">
        <f t="shared" si="830"/>
        <v>Middle East and Africa: FAO. 2017. Reducing Enteric Methane for improving food security and livelihoods</v>
      </c>
      <c r="C1371" s="219" t="s">
        <v>488</v>
      </c>
      <c r="D1371" s="379" t="s">
        <v>522</v>
      </c>
      <c r="E1371" s="219" t="s">
        <v>99</v>
      </c>
      <c r="F1371" s="330" t="s">
        <v>523</v>
      </c>
      <c r="G1371" s="220" t="s">
        <v>26</v>
      </c>
      <c r="H1371" s="221">
        <v>2017</v>
      </c>
      <c r="I1371" s="240"/>
      <c r="J1371" s="383">
        <f t="shared" si="831"/>
        <v>0.2252924999999999</v>
      </c>
      <c r="K1371" s="382" t="s">
        <v>757</v>
      </c>
      <c r="L1371" s="395"/>
      <c r="M1371" s="335" t="str">
        <f>'[1]Advanced Controls'!$I$158</f>
        <v>t CH4-CO2eq per kg of protein</v>
      </c>
      <c r="N1371" s="238"/>
      <c r="O1371" s="227" t="s">
        <v>571</v>
      </c>
      <c r="P1371" s="122"/>
      <c r="Q1371" s="228"/>
      <c r="R1371" s="231">
        <f t="shared" si="843"/>
        <v>0.2252924999999999</v>
      </c>
      <c r="S1371" s="230">
        <f t="shared" si="832"/>
        <v>0.2252924999999999</v>
      </c>
      <c r="T1371" s="231" t="str">
        <f t="shared" si="845"/>
        <v/>
      </c>
      <c r="U1371" s="232" t="str">
        <f t="shared" si="833"/>
        <v>t CH4-CO2eq per kg of protein</v>
      </c>
      <c r="V1371" s="28"/>
      <c r="W1371" s="28"/>
      <c r="Y1371" s="91"/>
      <c r="AO1371" s="91"/>
      <c r="AP1371" s="28"/>
      <c r="AQ1371" s="28"/>
      <c r="AR1371" s="237"/>
      <c r="AS1371" s="28"/>
      <c r="AT1371" s="304" t="str">
        <f t="shared" si="855"/>
        <v/>
      </c>
      <c r="AU1371" s="304" t="str">
        <f t="shared" si="855"/>
        <v/>
      </c>
      <c r="AV1371" s="28"/>
      <c r="AW1371" s="304" t="str">
        <f t="shared" si="846"/>
        <v/>
      </c>
      <c r="AX1371" s="304" t="str">
        <f t="shared" si="846"/>
        <v/>
      </c>
      <c r="AY1371" s="28"/>
      <c r="AZ1371" s="304" t="str">
        <f t="shared" si="847"/>
        <v/>
      </c>
      <c r="BA1371" s="304" t="str">
        <f t="shared" si="847"/>
        <v/>
      </c>
      <c r="BB1371" s="28"/>
      <c r="BC1371" s="304" t="str">
        <f t="shared" si="848"/>
        <v/>
      </c>
      <c r="BD1371" s="304" t="str">
        <f t="shared" si="848"/>
        <v/>
      </c>
      <c r="BE1371" s="28"/>
      <c r="BF1371" s="304">
        <f t="shared" si="849"/>
        <v>0.2252924999999999</v>
      </c>
      <c r="BG1371" s="304">
        <f t="shared" si="849"/>
        <v>0.2252924999999999</v>
      </c>
      <c r="BH1371" s="28"/>
      <c r="BI1371" s="304" t="str">
        <f t="shared" si="850"/>
        <v/>
      </c>
      <c r="BJ1371" s="304" t="str">
        <f t="shared" si="850"/>
        <v/>
      </c>
      <c r="BK1371" s="28"/>
      <c r="BL1371" s="304" t="str">
        <f t="shared" si="851"/>
        <v/>
      </c>
      <c r="BM1371" s="304" t="str">
        <f t="shared" si="851"/>
        <v/>
      </c>
      <c r="BN1371" s="28"/>
      <c r="BO1371" s="304" t="str">
        <f t="shared" si="852"/>
        <v/>
      </c>
      <c r="BP1371" s="304" t="str">
        <f t="shared" si="852"/>
        <v/>
      </c>
      <c r="BQ1371" s="28"/>
      <c r="BR1371" s="304" t="str">
        <f t="shared" si="853"/>
        <v/>
      </c>
      <c r="BS1371" s="304" t="str">
        <f t="shared" si="853"/>
        <v/>
      </c>
      <c r="BT1371" s="28"/>
      <c r="BU1371" s="304" t="str">
        <f t="shared" si="854"/>
        <v/>
      </c>
      <c r="BV1371" s="304" t="str">
        <f t="shared" si="854"/>
        <v/>
      </c>
      <c r="BW1371" s="28"/>
      <c r="BX1371" s="91"/>
    </row>
    <row r="1372" spans="1:76" s="55" customFormat="1" x14ac:dyDescent="0.25">
      <c r="A1372" s="195">
        <v>43</v>
      </c>
      <c r="B1372" s="216" t="str">
        <f t="shared" si="830"/>
        <v>Middle East and Africa: FAO. 2017. Reducing Enteric Methane for improving food security and livelihoods</v>
      </c>
      <c r="C1372" s="219" t="s">
        <v>488</v>
      </c>
      <c r="D1372" s="379" t="s">
        <v>522</v>
      </c>
      <c r="E1372" s="219" t="s">
        <v>99</v>
      </c>
      <c r="F1372" s="330" t="s">
        <v>523</v>
      </c>
      <c r="G1372" s="220" t="s">
        <v>26</v>
      </c>
      <c r="H1372" s="221">
        <v>2017</v>
      </c>
      <c r="I1372" s="240"/>
      <c r="J1372" s="383">
        <f t="shared" si="831"/>
        <v>0.18871734375000004</v>
      </c>
      <c r="K1372" s="382" t="s">
        <v>757</v>
      </c>
      <c r="L1372" s="395"/>
      <c r="M1372" s="335" t="str">
        <f>'[1]Advanced Controls'!$I$158</f>
        <v>t CH4-CO2eq per kg of protein</v>
      </c>
      <c r="N1372" s="238"/>
      <c r="O1372" s="227" t="s">
        <v>572</v>
      </c>
      <c r="P1372" s="122"/>
      <c r="Q1372" s="228"/>
      <c r="R1372" s="231">
        <f t="shared" si="843"/>
        <v>0.18871734375000004</v>
      </c>
      <c r="S1372" s="230">
        <f t="shared" si="832"/>
        <v>0.18871734375000004</v>
      </c>
      <c r="T1372" s="231" t="str">
        <f t="shared" si="845"/>
        <v/>
      </c>
      <c r="U1372" s="232" t="str">
        <f t="shared" si="833"/>
        <v>t CH4-CO2eq per kg of protein</v>
      </c>
      <c r="V1372" s="28"/>
      <c r="W1372" s="28"/>
      <c r="Y1372" s="91"/>
      <c r="AO1372" s="91"/>
      <c r="AP1372" s="28"/>
      <c r="AQ1372" s="28"/>
      <c r="AR1372" s="237"/>
      <c r="AS1372" s="28"/>
      <c r="AT1372" s="304" t="str">
        <f t="shared" si="855"/>
        <v/>
      </c>
      <c r="AU1372" s="304" t="str">
        <f t="shared" si="855"/>
        <v/>
      </c>
      <c r="AV1372" s="28"/>
      <c r="AW1372" s="304" t="str">
        <f t="shared" si="846"/>
        <v/>
      </c>
      <c r="AX1372" s="304" t="str">
        <f t="shared" si="846"/>
        <v/>
      </c>
      <c r="AY1372" s="28"/>
      <c r="AZ1372" s="304" t="str">
        <f t="shared" si="847"/>
        <v/>
      </c>
      <c r="BA1372" s="304" t="str">
        <f t="shared" si="847"/>
        <v/>
      </c>
      <c r="BB1372" s="28"/>
      <c r="BC1372" s="304" t="str">
        <f t="shared" si="848"/>
        <v/>
      </c>
      <c r="BD1372" s="304" t="str">
        <f t="shared" si="848"/>
        <v/>
      </c>
      <c r="BE1372" s="28"/>
      <c r="BF1372" s="304">
        <f t="shared" si="849"/>
        <v>0.18871734375000004</v>
      </c>
      <c r="BG1372" s="304">
        <f t="shared" si="849"/>
        <v>0.18871734375000004</v>
      </c>
      <c r="BH1372" s="28"/>
      <c r="BI1372" s="304" t="str">
        <f t="shared" si="850"/>
        <v/>
      </c>
      <c r="BJ1372" s="304" t="str">
        <f t="shared" si="850"/>
        <v/>
      </c>
      <c r="BK1372" s="28"/>
      <c r="BL1372" s="304" t="str">
        <f t="shared" si="851"/>
        <v/>
      </c>
      <c r="BM1372" s="304" t="str">
        <f t="shared" si="851"/>
        <v/>
      </c>
      <c r="BN1372" s="28"/>
      <c r="BO1372" s="304" t="str">
        <f t="shared" si="852"/>
        <v/>
      </c>
      <c r="BP1372" s="304" t="str">
        <f t="shared" si="852"/>
        <v/>
      </c>
      <c r="BQ1372" s="28"/>
      <c r="BR1372" s="304" t="str">
        <f t="shared" si="853"/>
        <v/>
      </c>
      <c r="BS1372" s="304" t="str">
        <f t="shared" si="853"/>
        <v/>
      </c>
      <c r="BT1372" s="28"/>
      <c r="BU1372" s="304" t="str">
        <f t="shared" si="854"/>
        <v/>
      </c>
      <c r="BV1372" s="304" t="str">
        <f t="shared" si="854"/>
        <v/>
      </c>
      <c r="BW1372" s="28"/>
      <c r="BX1372" s="91"/>
    </row>
    <row r="1373" spans="1:76" s="55" customFormat="1" x14ac:dyDescent="0.25">
      <c r="A1373" s="195">
        <v>44</v>
      </c>
      <c r="B1373" s="216" t="str">
        <f t="shared" si="830"/>
        <v>Middle East and Africa: FAO. 2017. Reducing Enteric Methane for improving food security and livelihoods</v>
      </c>
      <c r="C1373" s="219" t="s">
        <v>488</v>
      </c>
      <c r="D1373" s="379" t="s">
        <v>522</v>
      </c>
      <c r="E1373" s="219" t="s">
        <v>99</v>
      </c>
      <c r="F1373" s="330" t="s">
        <v>523</v>
      </c>
      <c r="G1373" s="220" t="s">
        <v>26</v>
      </c>
      <c r="H1373" s="221">
        <v>2017</v>
      </c>
      <c r="I1373" s="240"/>
      <c r="J1373" s="383">
        <f t="shared" si="831"/>
        <v>0.21047062499999991</v>
      </c>
      <c r="K1373" s="382" t="s">
        <v>757</v>
      </c>
      <c r="L1373" s="395"/>
      <c r="M1373" s="335" t="str">
        <f>'[1]Advanced Controls'!$I$158</f>
        <v>t CH4-CO2eq per kg of protein</v>
      </c>
      <c r="N1373" s="238"/>
      <c r="O1373" s="227" t="s">
        <v>573</v>
      </c>
      <c r="P1373" s="122"/>
      <c r="Q1373" s="228"/>
      <c r="R1373" s="231">
        <f t="shared" si="843"/>
        <v>0.21047062499999991</v>
      </c>
      <c r="S1373" s="230">
        <f t="shared" si="832"/>
        <v>0.21047062499999991</v>
      </c>
      <c r="T1373" s="231">
        <f t="shared" si="845"/>
        <v>0</v>
      </c>
      <c r="U1373" s="232" t="str">
        <f t="shared" si="833"/>
        <v>t CH4-CO2eq per kg of protein</v>
      </c>
      <c r="V1373" s="28"/>
      <c r="W1373" s="28"/>
      <c r="Y1373" s="91"/>
      <c r="AO1373" s="91"/>
      <c r="AP1373" s="28"/>
      <c r="AQ1373" s="28"/>
      <c r="AR1373" s="237"/>
      <c r="AS1373" s="28"/>
      <c r="AT1373" s="304" t="str">
        <f t="shared" si="855"/>
        <v/>
      </c>
      <c r="AU1373" s="304" t="str">
        <f t="shared" si="855"/>
        <v/>
      </c>
      <c r="AV1373" s="28"/>
      <c r="AW1373" s="304" t="str">
        <f t="shared" si="846"/>
        <v/>
      </c>
      <c r="AX1373" s="304" t="str">
        <f t="shared" si="846"/>
        <v/>
      </c>
      <c r="AY1373" s="28"/>
      <c r="AZ1373" s="304" t="str">
        <f t="shared" si="847"/>
        <v/>
      </c>
      <c r="BA1373" s="304" t="str">
        <f t="shared" si="847"/>
        <v/>
      </c>
      <c r="BB1373" s="28"/>
      <c r="BC1373" s="304" t="str">
        <f t="shared" si="848"/>
        <v/>
      </c>
      <c r="BD1373" s="304" t="str">
        <f t="shared" si="848"/>
        <v/>
      </c>
      <c r="BE1373" s="28"/>
      <c r="BF1373" s="304">
        <f t="shared" si="849"/>
        <v>0.21047062499999991</v>
      </c>
      <c r="BG1373" s="304">
        <f t="shared" si="849"/>
        <v>0.21047062499999991</v>
      </c>
      <c r="BH1373" s="28"/>
      <c r="BI1373" s="304" t="str">
        <f t="shared" si="850"/>
        <v/>
      </c>
      <c r="BJ1373" s="304" t="str">
        <f t="shared" si="850"/>
        <v/>
      </c>
      <c r="BK1373" s="28"/>
      <c r="BL1373" s="304" t="str">
        <f t="shared" si="851"/>
        <v/>
      </c>
      <c r="BM1373" s="304" t="str">
        <f t="shared" si="851"/>
        <v/>
      </c>
      <c r="BN1373" s="28"/>
      <c r="BO1373" s="304" t="str">
        <f t="shared" si="852"/>
        <v/>
      </c>
      <c r="BP1373" s="304" t="str">
        <f t="shared" si="852"/>
        <v/>
      </c>
      <c r="BQ1373" s="28"/>
      <c r="BR1373" s="304" t="str">
        <f t="shared" si="853"/>
        <v/>
      </c>
      <c r="BS1373" s="304" t="str">
        <f t="shared" si="853"/>
        <v/>
      </c>
      <c r="BT1373" s="28"/>
      <c r="BU1373" s="304" t="str">
        <f t="shared" si="854"/>
        <v/>
      </c>
      <c r="BV1373" s="304" t="str">
        <f t="shared" si="854"/>
        <v/>
      </c>
      <c r="BW1373" s="28"/>
      <c r="BX1373" s="91"/>
    </row>
    <row r="1374" spans="1:76" s="55" customFormat="1" x14ac:dyDescent="0.25">
      <c r="A1374" s="195">
        <v>45</v>
      </c>
      <c r="B1374" s="216" t="str">
        <f t="shared" si="830"/>
        <v>Middle East and Africa: FAO. 2017. Reducing Enteric Methane for improving food security and livelihoods</v>
      </c>
      <c r="C1374" s="219" t="s">
        <v>488</v>
      </c>
      <c r="D1374" s="379" t="s">
        <v>522</v>
      </c>
      <c r="E1374" s="219" t="s">
        <v>99</v>
      </c>
      <c r="F1374" s="330" t="s">
        <v>523</v>
      </c>
      <c r="G1374" s="220" t="s">
        <v>26</v>
      </c>
      <c r="H1374" s="221">
        <v>2017</v>
      </c>
      <c r="I1374" s="240"/>
      <c r="J1374" s="383">
        <f t="shared" si="831"/>
        <v>0.16117481249999988</v>
      </c>
      <c r="K1374" s="382" t="s">
        <v>757</v>
      </c>
      <c r="L1374" s="395"/>
      <c r="M1374" s="335" t="str">
        <f>'[1]Advanced Controls'!$I$158</f>
        <v>t CH4-CO2eq per kg of protein</v>
      </c>
      <c r="N1374" s="238"/>
      <c r="O1374" s="227" t="s">
        <v>574</v>
      </c>
      <c r="P1374" s="122"/>
      <c r="Q1374" s="228"/>
      <c r="R1374" s="231">
        <f t="shared" si="843"/>
        <v>0.16117481249999988</v>
      </c>
      <c r="S1374" s="230">
        <f t="shared" si="832"/>
        <v>0.16117481249999988</v>
      </c>
      <c r="T1374" s="231">
        <f t="shared" si="845"/>
        <v>0</v>
      </c>
      <c r="U1374" s="232" t="str">
        <f t="shared" si="833"/>
        <v>t CH4-CO2eq per kg of protein</v>
      </c>
      <c r="V1374" s="28"/>
      <c r="W1374" s="28"/>
      <c r="Y1374" s="91"/>
      <c r="AO1374" s="91"/>
      <c r="AP1374" s="28"/>
      <c r="AQ1374" s="28"/>
      <c r="AR1374" s="237"/>
      <c r="AS1374" s="28"/>
      <c r="AT1374" s="304" t="str">
        <f t="shared" si="855"/>
        <v/>
      </c>
      <c r="AU1374" s="304" t="str">
        <f t="shared" si="855"/>
        <v/>
      </c>
      <c r="AV1374" s="28"/>
      <c r="AW1374" s="304" t="str">
        <f t="shared" si="846"/>
        <v/>
      </c>
      <c r="AX1374" s="304" t="str">
        <f t="shared" si="846"/>
        <v/>
      </c>
      <c r="AY1374" s="28"/>
      <c r="AZ1374" s="304" t="str">
        <f t="shared" si="847"/>
        <v/>
      </c>
      <c r="BA1374" s="304" t="str">
        <f t="shared" si="847"/>
        <v/>
      </c>
      <c r="BB1374" s="28"/>
      <c r="BC1374" s="304" t="str">
        <f t="shared" si="848"/>
        <v/>
      </c>
      <c r="BD1374" s="304" t="str">
        <f t="shared" si="848"/>
        <v/>
      </c>
      <c r="BE1374" s="28"/>
      <c r="BF1374" s="304">
        <f t="shared" si="849"/>
        <v>0.16117481249999988</v>
      </c>
      <c r="BG1374" s="304">
        <f t="shared" si="849"/>
        <v>0.16117481249999988</v>
      </c>
      <c r="BH1374" s="28"/>
      <c r="BI1374" s="304" t="str">
        <f t="shared" si="850"/>
        <v/>
      </c>
      <c r="BJ1374" s="304" t="str">
        <f t="shared" si="850"/>
        <v/>
      </c>
      <c r="BK1374" s="28"/>
      <c r="BL1374" s="304" t="str">
        <f t="shared" si="851"/>
        <v/>
      </c>
      <c r="BM1374" s="304" t="str">
        <f t="shared" si="851"/>
        <v/>
      </c>
      <c r="BN1374" s="28"/>
      <c r="BO1374" s="304" t="str">
        <f t="shared" si="852"/>
        <v/>
      </c>
      <c r="BP1374" s="304" t="str">
        <f t="shared" si="852"/>
        <v/>
      </c>
      <c r="BQ1374" s="28"/>
      <c r="BR1374" s="304" t="str">
        <f t="shared" si="853"/>
        <v/>
      </c>
      <c r="BS1374" s="304" t="str">
        <f t="shared" si="853"/>
        <v/>
      </c>
      <c r="BT1374" s="28"/>
      <c r="BU1374" s="304" t="str">
        <f t="shared" si="854"/>
        <v/>
      </c>
      <c r="BV1374" s="304" t="str">
        <f t="shared" si="854"/>
        <v/>
      </c>
      <c r="BW1374" s="28"/>
      <c r="BX1374" s="91"/>
    </row>
    <row r="1375" spans="1:76" s="55" customFormat="1" x14ac:dyDescent="0.25">
      <c r="A1375" s="195">
        <v>46</v>
      </c>
      <c r="B1375" s="216" t="str">
        <f t="shared" si="830"/>
        <v>Middle East and Africa: FAO. 2017. Reducing Enteric Methane for improving food security and livelihoods</v>
      </c>
      <c r="C1375" s="219" t="s">
        <v>488</v>
      </c>
      <c r="D1375" s="379" t="s">
        <v>522</v>
      </c>
      <c r="E1375" s="219" t="s">
        <v>99</v>
      </c>
      <c r="F1375" s="330" t="s">
        <v>523</v>
      </c>
      <c r="G1375" s="220" t="s">
        <v>26</v>
      </c>
      <c r="H1375" s="221">
        <v>2017</v>
      </c>
      <c r="I1375" s="240"/>
      <c r="J1375" s="383">
        <f t="shared" si="831"/>
        <v>0.39722624999999967</v>
      </c>
      <c r="K1375" s="382" t="s">
        <v>757</v>
      </c>
      <c r="L1375" s="395"/>
      <c r="M1375" s="335" t="str">
        <f>'[1]Advanced Controls'!$I$158</f>
        <v>t CH4-CO2eq per kg of protein</v>
      </c>
      <c r="N1375" s="238"/>
      <c r="O1375" s="227" t="s">
        <v>575</v>
      </c>
      <c r="P1375" s="122"/>
      <c r="Q1375" s="228"/>
      <c r="R1375" s="231">
        <f t="shared" si="843"/>
        <v>0.39722624999999967</v>
      </c>
      <c r="S1375" s="230">
        <f t="shared" si="832"/>
        <v>0.39722624999999967</v>
      </c>
      <c r="T1375" s="231" t="str">
        <f t="shared" si="845"/>
        <v/>
      </c>
      <c r="U1375" s="232" t="str">
        <f t="shared" si="833"/>
        <v>t CH4-CO2eq per kg of protein</v>
      </c>
      <c r="V1375" s="28"/>
      <c r="W1375" s="28"/>
      <c r="Y1375" s="91"/>
      <c r="AO1375" s="91"/>
      <c r="AP1375" s="28"/>
      <c r="AQ1375" s="28"/>
      <c r="AR1375" s="237"/>
      <c r="AS1375" s="28"/>
      <c r="AT1375" s="304" t="str">
        <f t="shared" si="855"/>
        <v/>
      </c>
      <c r="AU1375" s="304" t="str">
        <f t="shared" si="855"/>
        <v/>
      </c>
      <c r="AV1375" s="28"/>
      <c r="AW1375" s="304" t="str">
        <f t="shared" si="846"/>
        <v/>
      </c>
      <c r="AX1375" s="304" t="str">
        <f t="shared" si="846"/>
        <v/>
      </c>
      <c r="AY1375" s="28"/>
      <c r="AZ1375" s="304" t="str">
        <f t="shared" si="847"/>
        <v/>
      </c>
      <c r="BA1375" s="304" t="str">
        <f t="shared" si="847"/>
        <v/>
      </c>
      <c r="BB1375" s="28"/>
      <c r="BC1375" s="304" t="str">
        <f t="shared" si="848"/>
        <v/>
      </c>
      <c r="BD1375" s="304" t="str">
        <f t="shared" si="848"/>
        <v/>
      </c>
      <c r="BE1375" s="28"/>
      <c r="BF1375" s="304">
        <f t="shared" si="849"/>
        <v>0.39722624999999967</v>
      </c>
      <c r="BG1375" s="304">
        <f t="shared" si="849"/>
        <v>0.39722624999999967</v>
      </c>
      <c r="BH1375" s="28"/>
      <c r="BI1375" s="304" t="str">
        <f t="shared" si="850"/>
        <v/>
      </c>
      <c r="BJ1375" s="304" t="str">
        <f t="shared" si="850"/>
        <v/>
      </c>
      <c r="BK1375" s="28"/>
      <c r="BL1375" s="304" t="str">
        <f t="shared" si="851"/>
        <v/>
      </c>
      <c r="BM1375" s="304" t="str">
        <f t="shared" si="851"/>
        <v/>
      </c>
      <c r="BN1375" s="28"/>
      <c r="BO1375" s="304" t="str">
        <f t="shared" si="852"/>
        <v/>
      </c>
      <c r="BP1375" s="304" t="str">
        <f t="shared" si="852"/>
        <v/>
      </c>
      <c r="BQ1375" s="28"/>
      <c r="BR1375" s="304" t="str">
        <f t="shared" si="853"/>
        <v/>
      </c>
      <c r="BS1375" s="304" t="str">
        <f t="shared" si="853"/>
        <v/>
      </c>
      <c r="BT1375" s="28"/>
      <c r="BU1375" s="304" t="str">
        <f t="shared" si="854"/>
        <v/>
      </c>
      <c r="BV1375" s="304" t="str">
        <f t="shared" si="854"/>
        <v/>
      </c>
      <c r="BW1375" s="28"/>
      <c r="BX1375" s="91"/>
    </row>
    <row r="1376" spans="1:76" s="55" customFormat="1" x14ac:dyDescent="0.25">
      <c r="A1376" s="195">
        <v>47</v>
      </c>
      <c r="B1376" s="216" t="str">
        <f t="shared" si="830"/>
        <v>Middle East and Africa: FAO. 2017. Reducing Enteric Methane for improving food security and livelihoods</v>
      </c>
      <c r="C1376" s="219" t="s">
        <v>488</v>
      </c>
      <c r="D1376" s="379" t="s">
        <v>524</v>
      </c>
      <c r="E1376" s="219" t="s">
        <v>99</v>
      </c>
      <c r="F1376" s="330" t="s">
        <v>525</v>
      </c>
      <c r="G1376" s="220" t="s">
        <v>26</v>
      </c>
      <c r="H1376" s="221">
        <v>2017</v>
      </c>
      <c r="I1376" s="240"/>
      <c r="J1376" s="383">
        <f t="shared" si="831"/>
        <v>5.9830968749999935E-2</v>
      </c>
      <c r="K1376" s="382" t="s">
        <v>757</v>
      </c>
      <c r="L1376" s="395"/>
      <c r="M1376" s="335" t="str">
        <f>'[1]Advanced Controls'!$I$158</f>
        <v>t CH4-CO2eq per kg of protein</v>
      </c>
      <c r="N1376" s="238"/>
      <c r="O1376" s="227" t="s">
        <v>571</v>
      </c>
      <c r="P1376" s="122"/>
      <c r="Q1376" s="228"/>
      <c r="R1376" s="231">
        <f t="shared" si="843"/>
        <v>5.9830968749999935E-2</v>
      </c>
      <c r="S1376" s="230">
        <f t="shared" si="832"/>
        <v>5.9830968749999935E-2</v>
      </c>
      <c r="T1376" s="231" t="str">
        <f t="shared" si="845"/>
        <v/>
      </c>
      <c r="U1376" s="232" t="str">
        <f t="shared" si="833"/>
        <v>t CH4-CO2eq per kg of protein</v>
      </c>
      <c r="V1376" s="28"/>
      <c r="W1376" s="28"/>
      <c r="Y1376" s="91"/>
      <c r="AO1376" s="91"/>
      <c r="AP1376" s="28"/>
      <c r="AQ1376" s="28"/>
      <c r="AR1376" s="237"/>
      <c r="AS1376" s="28"/>
      <c r="AT1376" s="304" t="str">
        <f t="shared" si="855"/>
        <v/>
      </c>
      <c r="AU1376" s="304" t="str">
        <f t="shared" si="855"/>
        <v/>
      </c>
      <c r="AV1376" s="28"/>
      <c r="AW1376" s="304" t="str">
        <f t="shared" si="846"/>
        <v/>
      </c>
      <c r="AX1376" s="304" t="str">
        <f t="shared" si="846"/>
        <v/>
      </c>
      <c r="AY1376" s="28"/>
      <c r="AZ1376" s="304" t="str">
        <f t="shared" si="847"/>
        <v/>
      </c>
      <c r="BA1376" s="304" t="str">
        <f t="shared" si="847"/>
        <v/>
      </c>
      <c r="BB1376" s="28"/>
      <c r="BC1376" s="304" t="str">
        <f t="shared" si="848"/>
        <v/>
      </c>
      <c r="BD1376" s="304" t="str">
        <f t="shared" si="848"/>
        <v/>
      </c>
      <c r="BE1376" s="28"/>
      <c r="BF1376" s="304">
        <f t="shared" si="849"/>
        <v>5.9830968749999935E-2</v>
      </c>
      <c r="BG1376" s="304">
        <f t="shared" si="849"/>
        <v>5.9830968749999935E-2</v>
      </c>
      <c r="BH1376" s="28"/>
      <c r="BI1376" s="304" t="str">
        <f t="shared" si="850"/>
        <v/>
      </c>
      <c r="BJ1376" s="304" t="str">
        <f t="shared" si="850"/>
        <v/>
      </c>
      <c r="BK1376" s="28"/>
      <c r="BL1376" s="304" t="str">
        <f t="shared" si="851"/>
        <v/>
      </c>
      <c r="BM1376" s="304" t="str">
        <f t="shared" si="851"/>
        <v/>
      </c>
      <c r="BN1376" s="28"/>
      <c r="BO1376" s="304" t="str">
        <f t="shared" si="852"/>
        <v/>
      </c>
      <c r="BP1376" s="304" t="str">
        <f t="shared" si="852"/>
        <v/>
      </c>
      <c r="BQ1376" s="28"/>
      <c r="BR1376" s="304" t="str">
        <f t="shared" si="853"/>
        <v/>
      </c>
      <c r="BS1376" s="304" t="str">
        <f t="shared" si="853"/>
        <v/>
      </c>
      <c r="BT1376" s="28"/>
      <c r="BU1376" s="304" t="str">
        <f t="shared" si="854"/>
        <v/>
      </c>
      <c r="BV1376" s="304" t="str">
        <f t="shared" si="854"/>
        <v/>
      </c>
      <c r="BW1376" s="28"/>
      <c r="BX1376" s="91"/>
    </row>
    <row r="1377" spans="1:76" s="55" customFormat="1" x14ac:dyDescent="0.25">
      <c r="A1377" s="195">
        <v>48</v>
      </c>
      <c r="B1377" s="216" t="str">
        <f t="shared" si="830"/>
        <v>Middle East and Africa: FAO. 2017. Reducing Enteric Methane for improving food security and livelihoods</v>
      </c>
      <c r="C1377" s="219" t="s">
        <v>488</v>
      </c>
      <c r="D1377" s="379" t="s">
        <v>524</v>
      </c>
      <c r="E1377" s="219" t="s">
        <v>99</v>
      </c>
      <c r="F1377" s="330" t="s">
        <v>525</v>
      </c>
      <c r="G1377" s="220" t="s">
        <v>26</v>
      </c>
      <c r="H1377" s="221">
        <v>2017</v>
      </c>
      <c r="I1377" s="240"/>
      <c r="J1377" s="383">
        <f t="shared" si="831"/>
        <v>0.14165353124999985</v>
      </c>
      <c r="K1377" s="382" t="s">
        <v>757</v>
      </c>
      <c r="L1377" s="395"/>
      <c r="M1377" s="335" t="str">
        <f>'[1]Advanced Controls'!$I$158</f>
        <v>t CH4-CO2eq per kg of protein</v>
      </c>
      <c r="N1377" s="238"/>
      <c r="O1377" s="227" t="s">
        <v>572</v>
      </c>
      <c r="P1377" s="122"/>
      <c r="Q1377" s="228"/>
      <c r="R1377" s="231">
        <f t="shared" si="843"/>
        <v>0.14165353124999985</v>
      </c>
      <c r="S1377" s="230">
        <f t="shared" si="832"/>
        <v>0.14165353124999985</v>
      </c>
      <c r="T1377" s="231" t="str">
        <f t="shared" si="845"/>
        <v/>
      </c>
      <c r="U1377" s="232" t="str">
        <f t="shared" si="833"/>
        <v>t CH4-CO2eq per kg of protein</v>
      </c>
      <c r="V1377" s="28"/>
      <c r="W1377" s="28"/>
      <c r="Y1377" s="91"/>
      <c r="AO1377" s="91"/>
      <c r="AP1377" s="28"/>
      <c r="AQ1377" s="28"/>
      <c r="AR1377" s="237"/>
      <c r="AS1377" s="28"/>
      <c r="AT1377" s="304" t="str">
        <f t="shared" si="855"/>
        <v/>
      </c>
      <c r="AU1377" s="304" t="str">
        <f t="shared" si="855"/>
        <v/>
      </c>
      <c r="AV1377" s="28"/>
      <c r="AW1377" s="304" t="str">
        <f t="shared" si="846"/>
        <v/>
      </c>
      <c r="AX1377" s="304" t="str">
        <f t="shared" si="846"/>
        <v/>
      </c>
      <c r="AY1377" s="28"/>
      <c r="AZ1377" s="304" t="str">
        <f t="shared" si="847"/>
        <v/>
      </c>
      <c r="BA1377" s="304" t="str">
        <f t="shared" si="847"/>
        <v/>
      </c>
      <c r="BB1377" s="28"/>
      <c r="BC1377" s="304" t="str">
        <f t="shared" si="848"/>
        <v/>
      </c>
      <c r="BD1377" s="304" t="str">
        <f t="shared" si="848"/>
        <v/>
      </c>
      <c r="BE1377" s="28"/>
      <c r="BF1377" s="304">
        <f t="shared" si="849"/>
        <v>0.14165353124999985</v>
      </c>
      <c r="BG1377" s="304">
        <f t="shared" si="849"/>
        <v>0.14165353124999985</v>
      </c>
      <c r="BH1377" s="28"/>
      <c r="BI1377" s="304" t="str">
        <f t="shared" si="850"/>
        <v/>
      </c>
      <c r="BJ1377" s="304" t="str">
        <f t="shared" si="850"/>
        <v/>
      </c>
      <c r="BK1377" s="28"/>
      <c r="BL1377" s="304" t="str">
        <f t="shared" si="851"/>
        <v/>
      </c>
      <c r="BM1377" s="304" t="str">
        <f t="shared" si="851"/>
        <v/>
      </c>
      <c r="BN1377" s="28"/>
      <c r="BO1377" s="304" t="str">
        <f t="shared" si="852"/>
        <v/>
      </c>
      <c r="BP1377" s="304" t="str">
        <f t="shared" si="852"/>
        <v/>
      </c>
      <c r="BQ1377" s="28"/>
      <c r="BR1377" s="304" t="str">
        <f t="shared" si="853"/>
        <v/>
      </c>
      <c r="BS1377" s="304" t="str">
        <f t="shared" si="853"/>
        <v/>
      </c>
      <c r="BT1377" s="28"/>
      <c r="BU1377" s="304" t="str">
        <f t="shared" si="854"/>
        <v/>
      </c>
      <c r="BV1377" s="304" t="str">
        <f t="shared" si="854"/>
        <v/>
      </c>
      <c r="BW1377" s="28"/>
      <c r="BX1377" s="91"/>
    </row>
    <row r="1378" spans="1:76" s="55" customFormat="1" x14ac:dyDescent="0.25">
      <c r="A1378" s="195">
        <v>49</v>
      </c>
      <c r="B1378" s="216" t="str">
        <f t="shared" si="830"/>
        <v>Middle East and Africa: FAO. 2017. Reducing Enteric Methane for improving food security and livelihoods</v>
      </c>
      <c r="C1378" s="219" t="s">
        <v>488</v>
      </c>
      <c r="D1378" s="379" t="s">
        <v>524</v>
      </c>
      <c r="E1378" s="219" t="s">
        <v>99</v>
      </c>
      <c r="F1378" s="330" t="s">
        <v>525</v>
      </c>
      <c r="G1378" s="220" t="s">
        <v>26</v>
      </c>
      <c r="H1378" s="221">
        <v>2017</v>
      </c>
      <c r="I1378" s="240"/>
      <c r="J1378" s="383">
        <f t="shared" si="831"/>
        <v>5.9485124999999972E-2</v>
      </c>
      <c r="K1378" s="382" t="s">
        <v>757</v>
      </c>
      <c r="L1378" s="395"/>
      <c r="M1378" s="335" t="str">
        <f>'[1]Advanced Controls'!$I$158</f>
        <v>t CH4-CO2eq per kg of protein</v>
      </c>
      <c r="N1378" s="238"/>
      <c r="O1378" s="227" t="s">
        <v>573</v>
      </c>
      <c r="P1378" s="122"/>
      <c r="Q1378" s="228"/>
      <c r="R1378" s="231">
        <f t="shared" si="843"/>
        <v>5.9485124999999972E-2</v>
      </c>
      <c r="S1378" s="230">
        <f t="shared" si="832"/>
        <v>5.9485124999999972E-2</v>
      </c>
      <c r="T1378" s="231" t="str">
        <f t="shared" si="845"/>
        <v/>
      </c>
      <c r="U1378" s="232" t="str">
        <f t="shared" si="833"/>
        <v>t CH4-CO2eq per kg of protein</v>
      </c>
      <c r="V1378" s="28"/>
      <c r="W1378" s="28"/>
      <c r="Y1378" s="91"/>
      <c r="AO1378" s="91"/>
      <c r="AP1378" s="28"/>
      <c r="AQ1378" s="28"/>
      <c r="AR1378" s="237"/>
      <c r="AS1378" s="28"/>
      <c r="AT1378" s="304" t="str">
        <f t="shared" si="855"/>
        <v/>
      </c>
      <c r="AU1378" s="304" t="str">
        <f t="shared" si="855"/>
        <v/>
      </c>
      <c r="AV1378" s="28"/>
      <c r="AW1378" s="304" t="str">
        <f t="shared" si="846"/>
        <v/>
      </c>
      <c r="AX1378" s="304" t="str">
        <f t="shared" si="846"/>
        <v/>
      </c>
      <c r="AY1378" s="28"/>
      <c r="AZ1378" s="304" t="str">
        <f t="shared" si="847"/>
        <v/>
      </c>
      <c r="BA1378" s="304" t="str">
        <f t="shared" si="847"/>
        <v/>
      </c>
      <c r="BB1378" s="28"/>
      <c r="BC1378" s="304" t="str">
        <f t="shared" si="848"/>
        <v/>
      </c>
      <c r="BD1378" s="304" t="str">
        <f t="shared" si="848"/>
        <v/>
      </c>
      <c r="BE1378" s="28"/>
      <c r="BF1378" s="304">
        <f t="shared" si="849"/>
        <v>5.9485124999999972E-2</v>
      </c>
      <c r="BG1378" s="304">
        <f t="shared" si="849"/>
        <v>5.9485124999999972E-2</v>
      </c>
      <c r="BH1378" s="28"/>
      <c r="BI1378" s="304" t="str">
        <f t="shared" si="850"/>
        <v/>
      </c>
      <c r="BJ1378" s="304" t="str">
        <f t="shared" si="850"/>
        <v/>
      </c>
      <c r="BK1378" s="28"/>
      <c r="BL1378" s="304" t="str">
        <f t="shared" si="851"/>
        <v/>
      </c>
      <c r="BM1378" s="304" t="str">
        <f t="shared" si="851"/>
        <v/>
      </c>
      <c r="BN1378" s="28"/>
      <c r="BO1378" s="304" t="str">
        <f t="shared" si="852"/>
        <v/>
      </c>
      <c r="BP1378" s="304" t="str">
        <f t="shared" si="852"/>
        <v/>
      </c>
      <c r="BQ1378" s="28"/>
      <c r="BR1378" s="304" t="str">
        <f t="shared" si="853"/>
        <v/>
      </c>
      <c r="BS1378" s="304" t="str">
        <f t="shared" si="853"/>
        <v/>
      </c>
      <c r="BT1378" s="28"/>
      <c r="BU1378" s="304" t="str">
        <f t="shared" si="854"/>
        <v/>
      </c>
      <c r="BV1378" s="304" t="str">
        <f t="shared" si="854"/>
        <v/>
      </c>
      <c r="BW1378" s="28"/>
      <c r="BX1378" s="91"/>
    </row>
    <row r="1379" spans="1:76" s="55" customFormat="1" x14ac:dyDescent="0.25">
      <c r="A1379" s="195">
        <v>50</v>
      </c>
      <c r="B1379" s="216" t="str">
        <f t="shared" si="830"/>
        <v>Middle East and Africa: FAO. 2017. Reducing Enteric Methane for improving food security and livelihoods</v>
      </c>
      <c r="C1379" s="219" t="s">
        <v>488</v>
      </c>
      <c r="D1379" s="379" t="s">
        <v>524</v>
      </c>
      <c r="E1379" s="219" t="s">
        <v>99</v>
      </c>
      <c r="F1379" s="330" t="s">
        <v>525</v>
      </c>
      <c r="G1379" s="220" t="s">
        <v>26</v>
      </c>
      <c r="H1379" s="221">
        <v>2017</v>
      </c>
      <c r="I1379" s="240"/>
      <c r="J1379" s="383">
        <f t="shared" si="831"/>
        <v>0.11651156249999994</v>
      </c>
      <c r="K1379" s="382" t="s">
        <v>757</v>
      </c>
      <c r="L1379" s="395"/>
      <c r="M1379" s="335" t="str">
        <f>'[1]Advanced Controls'!$I$158</f>
        <v>t CH4-CO2eq per kg of protein</v>
      </c>
      <c r="N1379" s="238"/>
      <c r="O1379" s="227" t="s">
        <v>574</v>
      </c>
      <c r="P1379" s="122"/>
      <c r="Q1379" s="228"/>
      <c r="R1379" s="231">
        <f t="shared" si="843"/>
        <v>0.11651156249999994</v>
      </c>
      <c r="S1379" s="230">
        <f t="shared" si="832"/>
        <v>0.11651156249999994</v>
      </c>
      <c r="T1379" s="231">
        <f t="shared" si="845"/>
        <v>0</v>
      </c>
      <c r="U1379" s="232" t="str">
        <f t="shared" si="833"/>
        <v>t CH4-CO2eq per kg of protein</v>
      </c>
      <c r="V1379" s="28"/>
      <c r="W1379" s="28"/>
      <c r="Y1379" s="91"/>
      <c r="AO1379" s="91"/>
      <c r="AP1379" s="28"/>
      <c r="AQ1379" s="28"/>
      <c r="AR1379" s="237"/>
      <c r="AS1379" s="28"/>
      <c r="AT1379" s="304" t="str">
        <f t="shared" si="855"/>
        <v/>
      </c>
      <c r="AU1379" s="304" t="str">
        <f t="shared" si="855"/>
        <v/>
      </c>
      <c r="AV1379" s="28"/>
      <c r="AW1379" s="304" t="str">
        <f t="shared" si="846"/>
        <v/>
      </c>
      <c r="AX1379" s="304" t="str">
        <f t="shared" si="846"/>
        <v/>
      </c>
      <c r="AY1379" s="28"/>
      <c r="AZ1379" s="304" t="str">
        <f t="shared" si="847"/>
        <v/>
      </c>
      <c r="BA1379" s="304" t="str">
        <f t="shared" si="847"/>
        <v/>
      </c>
      <c r="BB1379" s="28"/>
      <c r="BC1379" s="304" t="str">
        <f t="shared" si="848"/>
        <v/>
      </c>
      <c r="BD1379" s="304" t="str">
        <f t="shared" si="848"/>
        <v/>
      </c>
      <c r="BE1379" s="28"/>
      <c r="BF1379" s="304">
        <f t="shared" si="849"/>
        <v>0.11651156249999994</v>
      </c>
      <c r="BG1379" s="304">
        <f t="shared" si="849"/>
        <v>0.11651156249999994</v>
      </c>
      <c r="BH1379" s="28"/>
      <c r="BI1379" s="304" t="str">
        <f t="shared" si="850"/>
        <v/>
      </c>
      <c r="BJ1379" s="304" t="str">
        <f t="shared" si="850"/>
        <v/>
      </c>
      <c r="BK1379" s="28"/>
      <c r="BL1379" s="304" t="str">
        <f t="shared" si="851"/>
        <v/>
      </c>
      <c r="BM1379" s="304" t="str">
        <f t="shared" si="851"/>
        <v/>
      </c>
      <c r="BN1379" s="28"/>
      <c r="BO1379" s="304" t="str">
        <f t="shared" si="852"/>
        <v/>
      </c>
      <c r="BP1379" s="304" t="str">
        <f t="shared" si="852"/>
        <v/>
      </c>
      <c r="BQ1379" s="28"/>
      <c r="BR1379" s="304" t="str">
        <f t="shared" si="853"/>
        <v/>
      </c>
      <c r="BS1379" s="304" t="str">
        <f t="shared" si="853"/>
        <v/>
      </c>
      <c r="BT1379" s="28"/>
      <c r="BU1379" s="304" t="str">
        <f t="shared" si="854"/>
        <v/>
      </c>
      <c r="BV1379" s="304" t="str">
        <f t="shared" si="854"/>
        <v/>
      </c>
      <c r="BW1379" s="28"/>
      <c r="BX1379" s="91"/>
    </row>
    <row r="1380" spans="1:76" s="55" customFormat="1" x14ac:dyDescent="0.25">
      <c r="A1380" s="195">
        <v>51</v>
      </c>
      <c r="B1380" s="216" t="str">
        <f t="shared" si="830"/>
        <v>Middle East and Africa: FAO. 2017. Reducing Enteric Methane for improving food security and livelihoods</v>
      </c>
      <c r="C1380" s="219" t="s">
        <v>488</v>
      </c>
      <c r="D1380" s="379" t="s">
        <v>524</v>
      </c>
      <c r="E1380" s="219" t="s">
        <v>99</v>
      </c>
      <c r="F1380" s="330" t="s">
        <v>525</v>
      </c>
      <c r="G1380" s="220" t="s">
        <v>26</v>
      </c>
      <c r="H1380" s="221">
        <v>2017</v>
      </c>
      <c r="I1380" s="240"/>
      <c r="J1380" s="383">
        <f t="shared" si="831"/>
        <v>6.5710312499999979E-2</v>
      </c>
      <c r="K1380" s="382" t="s">
        <v>757</v>
      </c>
      <c r="L1380" s="395"/>
      <c r="M1380" s="335" t="str">
        <f>'[1]Advanced Controls'!$I$158</f>
        <v>t CH4-CO2eq per kg of protein</v>
      </c>
      <c r="N1380" s="238"/>
      <c r="O1380" s="227" t="s">
        <v>575</v>
      </c>
      <c r="P1380" s="122"/>
      <c r="Q1380" s="228"/>
      <c r="R1380" s="231">
        <f t="shared" si="843"/>
        <v>6.5710312499999979E-2</v>
      </c>
      <c r="S1380" s="230">
        <f t="shared" si="832"/>
        <v>6.5710312499999979E-2</v>
      </c>
      <c r="T1380" s="231" t="str">
        <f t="shared" si="845"/>
        <v/>
      </c>
      <c r="U1380" s="232" t="str">
        <f t="shared" si="833"/>
        <v>t CH4-CO2eq per kg of protein</v>
      </c>
      <c r="V1380" s="28"/>
      <c r="W1380" s="28"/>
      <c r="Y1380" s="91"/>
      <c r="AO1380" s="91"/>
      <c r="AP1380" s="28"/>
      <c r="AQ1380" s="28"/>
      <c r="AR1380" s="237"/>
      <c r="AS1380" s="28"/>
      <c r="AT1380" s="304" t="str">
        <f t="shared" si="855"/>
        <v/>
      </c>
      <c r="AU1380" s="304" t="str">
        <f t="shared" si="855"/>
        <v/>
      </c>
      <c r="AV1380" s="28"/>
      <c r="AW1380" s="304" t="str">
        <f t="shared" si="846"/>
        <v/>
      </c>
      <c r="AX1380" s="304" t="str">
        <f t="shared" si="846"/>
        <v/>
      </c>
      <c r="AY1380" s="28"/>
      <c r="AZ1380" s="304" t="str">
        <f t="shared" si="847"/>
        <v/>
      </c>
      <c r="BA1380" s="304" t="str">
        <f t="shared" si="847"/>
        <v/>
      </c>
      <c r="BB1380" s="28"/>
      <c r="BC1380" s="304" t="str">
        <f t="shared" si="848"/>
        <v/>
      </c>
      <c r="BD1380" s="304" t="str">
        <f t="shared" si="848"/>
        <v/>
      </c>
      <c r="BE1380" s="28"/>
      <c r="BF1380" s="304">
        <f t="shared" si="849"/>
        <v>6.5710312499999979E-2</v>
      </c>
      <c r="BG1380" s="304">
        <f t="shared" si="849"/>
        <v>6.5710312499999979E-2</v>
      </c>
      <c r="BH1380" s="28"/>
      <c r="BI1380" s="304" t="str">
        <f t="shared" si="850"/>
        <v/>
      </c>
      <c r="BJ1380" s="304" t="str">
        <f t="shared" si="850"/>
        <v/>
      </c>
      <c r="BK1380" s="28"/>
      <c r="BL1380" s="304" t="str">
        <f t="shared" si="851"/>
        <v/>
      </c>
      <c r="BM1380" s="304" t="str">
        <f t="shared" si="851"/>
        <v/>
      </c>
      <c r="BN1380" s="28"/>
      <c r="BO1380" s="304" t="str">
        <f t="shared" si="852"/>
        <v/>
      </c>
      <c r="BP1380" s="304" t="str">
        <f t="shared" si="852"/>
        <v/>
      </c>
      <c r="BQ1380" s="28"/>
      <c r="BR1380" s="304" t="str">
        <f t="shared" si="853"/>
        <v/>
      </c>
      <c r="BS1380" s="304" t="str">
        <f t="shared" si="853"/>
        <v/>
      </c>
      <c r="BT1380" s="28"/>
      <c r="BU1380" s="304" t="str">
        <f t="shared" si="854"/>
        <v/>
      </c>
      <c r="BV1380" s="304" t="str">
        <f t="shared" si="854"/>
        <v/>
      </c>
      <c r="BW1380" s="28"/>
      <c r="BX1380" s="91"/>
    </row>
    <row r="1381" spans="1:76" s="55" customFormat="1" x14ac:dyDescent="0.25">
      <c r="A1381" s="195">
        <v>52</v>
      </c>
      <c r="B1381" s="216" t="str">
        <f t="shared" si="830"/>
        <v>Middle East and Africa: FAO. 2017. Reducing Enteric Methane for improving food security and livelihoods</v>
      </c>
      <c r="C1381" s="219" t="s">
        <v>488</v>
      </c>
      <c r="D1381" s="379" t="s">
        <v>526</v>
      </c>
      <c r="E1381" s="219" t="s">
        <v>99</v>
      </c>
      <c r="F1381" s="330" t="s">
        <v>527</v>
      </c>
      <c r="G1381" s="220" t="s">
        <v>26</v>
      </c>
      <c r="H1381" s="221">
        <v>2017</v>
      </c>
      <c r="I1381" s="240"/>
      <c r="J1381" s="383">
        <f t="shared" si="831"/>
        <v>0.16059937499999999</v>
      </c>
      <c r="K1381" s="382" t="s">
        <v>757</v>
      </c>
      <c r="L1381" s="395"/>
      <c r="M1381" s="335" t="str">
        <f>'[1]Advanced Controls'!$I$158</f>
        <v>t CH4-CO2eq per kg of protein</v>
      </c>
      <c r="N1381" s="238"/>
      <c r="O1381" s="227" t="s">
        <v>571</v>
      </c>
      <c r="P1381" s="122"/>
      <c r="Q1381" s="228"/>
      <c r="R1381" s="231">
        <f t="shared" si="843"/>
        <v>0.16059937499999999</v>
      </c>
      <c r="S1381" s="230">
        <f t="shared" si="832"/>
        <v>0.16059937499999999</v>
      </c>
      <c r="T1381" s="231">
        <f t="shared" si="845"/>
        <v>0</v>
      </c>
      <c r="U1381" s="232" t="str">
        <f t="shared" si="833"/>
        <v>t CH4-CO2eq per kg of protein</v>
      </c>
      <c r="V1381" s="28"/>
      <c r="W1381" s="28"/>
      <c r="Y1381" s="91"/>
      <c r="AO1381" s="91"/>
      <c r="AP1381" s="28"/>
      <c r="AQ1381" s="28"/>
      <c r="AR1381" s="237"/>
      <c r="AS1381" s="28"/>
      <c r="AT1381" s="304" t="str">
        <f t="shared" si="855"/>
        <v/>
      </c>
      <c r="AU1381" s="304" t="str">
        <f t="shared" si="855"/>
        <v/>
      </c>
      <c r="AV1381" s="28"/>
      <c r="AW1381" s="304" t="str">
        <f t="shared" si="846"/>
        <v/>
      </c>
      <c r="AX1381" s="304" t="str">
        <f t="shared" si="846"/>
        <v/>
      </c>
      <c r="AY1381" s="28"/>
      <c r="AZ1381" s="304" t="str">
        <f t="shared" si="847"/>
        <v/>
      </c>
      <c r="BA1381" s="304" t="str">
        <f t="shared" si="847"/>
        <v/>
      </c>
      <c r="BB1381" s="28"/>
      <c r="BC1381" s="304" t="str">
        <f t="shared" si="848"/>
        <v/>
      </c>
      <c r="BD1381" s="304" t="str">
        <f t="shared" si="848"/>
        <v/>
      </c>
      <c r="BE1381" s="28"/>
      <c r="BF1381" s="304">
        <f t="shared" si="849"/>
        <v>0.16059937499999999</v>
      </c>
      <c r="BG1381" s="304">
        <f t="shared" si="849"/>
        <v>0.16059937499999999</v>
      </c>
      <c r="BH1381" s="28"/>
      <c r="BI1381" s="304" t="str">
        <f t="shared" si="850"/>
        <v/>
      </c>
      <c r="BJ1381" s="304" t="str">
        <f t="shared" si="850"/>
        <v/>
      </c>
      <c r="BK1381" s="28"/>
      <c r="BL1381" s="304" t="str">
        <f t="shared" si="851"/>
        <v/>
      </c>
      <c r="BM1381" s="304" t="str">
        <f t="shared" si="851"/>
        <v/>
      </c>
      <c r="BN1381" s="28"/>
      <c r="BO1381" s="304" t="str">
        <f t="shared" si="852"/>
        <v/>
      </c>
      <c r="BP1381" s="304" t="str">
        <f t="shared" si="852"/>
        <v/>
      </c>
      <c r="BQ1381" s="28"/>
      <c r="BR1381" s="304" t="str">
        <f t="shared" si="853"/>
        <v/>
      </c>
      <c r="BS1381" s="304" t="str">
        <f t="shared" si="853"/>
        <v/>
      </c>
      <c r="BT1381" s="28"/>
      <c r="BU1381" s="304" t="str">
        <f t="shared" si="854"/>
        <v/>
      </c>
      <c r="BV1381" s="304" t="str">
        <f t="shared" si="854"/>
        <v/>
      </c>
      <c r="BW1381" s="28"/>
      <c r="BX1381" s="91"/>
    </row>
    <row r="1382" spans="1:76" s="55" customFormat="1" x14ac:dyDescent="0.25">
      <c r="A1382" s="195">
        <v>53</v>
      </c>
      <c r="B1382" s="216" t="str">
        <f t="shared" si="830"/>
        <v>Middle East and Africa: FAO. 2017. Reducing Enteric Methane for improving food security and livelihoods</v>
      </c>
      <c r="C1382" s="219" t="s">
        <v>488</v>
      </c>
      <c r="D1382" s="379" t="s">
        <v>526</v>
      </c>
      <c r="E1382" s="219" t="s">
        <v>99</v>
      </c>
      <c r="F1382" s="330" t="s">
        <v>527</v>
      </c>
      <c r="G1382" s="220" t="s">
        <v>26</v>
      </c>
      <c r="H1382" s="221">
        <v>2017</v>
      </c>
      <c r="I1382" s="240"/>
      <c r="J1382" s="383">
        <f t="shared" si="831"/>
        <v>0.25376793750000015</v>
      </c>
      <c r="K1382" s="382" t="s">
        <v>757</v>
      </c>
      <c r="L1382" s="395"/>
      <c r="M1382" s="335" t="str">
        <f>'[1]Advanced Controls'!$I$158</f>
        <v>t CH4-CO2eq per kg of protein</v>
      </c>
      <c r="N1382" s="238"/>
      <c r="O1382" s="227" t="s">
        <v>572</v>
      </c>
      <c r="P1382" s="122"/>
      <c r="Q1382" s="228"/>
      <c r="R1382" s="231">
        <f t="shared" si="843"/>
        <v>0.25376793750000015</v>
      </c>
      <c r="S1382" s="230">
        <f t="shared" si="832"/>
        <v>0.25376793750000015</v>
      </c>
      <c r="T1382" s="231">
        <f t="shared" si="845"/>
        <v>0</v>
      </c>
      <c r="U1382" s="232" t="str">
        <f t="shared" si="833"/>
        <v>t CH4-CO2eq per kg of protein</v>
      </c>
      <c r="V1382" s="28"/>
      <c r="W1382" s="28"/>
      <c r="Y1382" s="91"/>
      <c r="AO1382" s="91"/>
      <c r="AP1382" s="28"/>
      <c r="AQ1382" s="28"/>
      <c r="AR1382" s="237"/>
      <c r="AS1382" s="28"/>
      <c r="AT1382" s="304" t="str">
        <f t="shared" si="855"/>
        <v/>
      </c>
      <c r="AU1382" s="304" t="str">
        <f t="shared" si="855"/>
        <v/>
      </c>
      <c r="AV1382" s="28"/>
      <c r="AW1382" s="304" t="str">
        <f t="shared" si="846"/>
        <v/>
      </c>
      <c r="AX1382" s="304" t="str">
        <f t="shared" si="846"/>
        <v/>
      </c>
      <c r="AY1382" s="28"/>
      <c r="AZ1382" s="304" t="str">
        <f t="shared" si="847"/>
        <v/>
      </c>
      <c r="BA1382" s="304" t="str">
        <f t="shared" si="847"/>
        <v/>
      </c>
      <c r="BB1382" s="28"/>
      <c r="BC1382" s="304" t="str">
        <f t="shared" si="848"/>
        <v/>
      </c>
      <c r="BD1382" s="304" t="str">
        <f t="shared" si="848"/>
        <v/>
      </c>
      <c r="BE1382" s="28"/>
      <c r="BF1382" s="304">
        <f t="shared" si="849"/>
        <v>0.25376793750000015</v>
      </c>
      <c r="BG1382" s="304">
        <f t="shared" si="849"/>
        <v>0.25376793750000015</v>
      </c>
      <c r="BH1382" s="28"/>
      <c r="BI1382" s="304" t="str">
        <f t="shared" si="850"/>
        <v/>
      </c>
      <c r="BJ1382" s="304" t="str">
        <f t="shared" si="850"/>
        <v/>
      </c>
      <c r="BK1382" s="28"/>
      <c r="BL1382" s="304" t="str">
        <f t="shared" si="851"/>
        <v/>
      </c>
      <c r="BM1382" s="304" t="str">
        <f t="shared" si="851"/>
        <v/>
      </c>
      <c r="BN1382" s="28"/>
      <c r="BO1382" s="304" t="str">
        <f t="shared" si="852"/>
        <v/>
      </c>
      <c r="BP1382" s="304" t="str">
        <f t="shared" si="852"/>
        <v/>
      </c>
      <c r="BQ1382" s="28"/>
      <c r="BR1382" s="304" t="str">
        <f t="shared" si="853"/>
        <v/>
      </c>
      <c r="BS1382" s="304" t="str">
        <f t="shared" si="853"/>
        <v/>
      </c>
      <c r="BT1382" s="28"/>
      <c r="BU1382" s="304" t="str">
        <f t="shared" si="854"/>
        <v/>
      </c>
      <c r="BV1382" s="304" t="str">
        <f t="shared" si="854"/>
        <v/>
      </c>
      <c r="BW1382" s="28"/>
      <c r="BX1382" s="91"/>
    </row>
    <row r="1383" spans="1:76" s="55" customFormat="1" x14ac:dyDescent="0.25">
      <c r="A1383" s="195">
        <v>54</v>
      </c>
      <c r="B1383" s="216" t="str">
        <f t="shared" si="830"/>
        <v>Middle East and Africa: FAO. 2017. Reducing Enteric Methane for improving food security and livelihoods</v>
      </c>
      <c r="C1383" s="219" t="s">
        <v>488</v>
      </c>
      <c r="D1383" s="379" t="s">
        <v>526</v>
      </c>
      <c r="E1383" s="219" t="s">
        <v>99</v>
      </c>
      <c r="F1383" s="330" t="s">
        <v>527</v>
      </c>
      <c r="G1383" s="220" t="s">
        <v>26</v>
      </c>
      <c r="H1383" s="221">
        <v>2017</v>
      </c>
      <c r="I1383" s="240"/>
      <c r="J1383" s="383">
        <f t="shared" si="831"/>
        <v>0.12401840625000005</v>
      </c>
      <c r="K1383" s="382" t="s">
        <v>757</v>
      </c>
      <c r="L1383" s="395"/>
      <c r="M1383" s="335" t="str">
        <f>'[1]Advanced Controls'!$I$158</f>
        <v>t CH4-CO2eq per kg of protein</v>
      </c>
      <c r="N1383" s="238"/>
      <c r="O1383" s="227" t="s">
        <v>573</v>
      </c>
      <c r="P1383" s="122"/>
      <c r="Q1383" s="228"/>
      <c r="R1383" s="231">
        <f t="shared" si="843"/>
        <v>0.12401840625000005</v>
      </c>
      <c r="S1383" s="230">
        <f t="shared" si="832"/>
        <v>0.12401840625000005</v>
      </c>
      <c r="T1383" s="231">
        <f t="shared" si="845"/>
        <v>0</v>
      </c>
      <c r="U1383" s="232" t="str">
        <f t="shared" si="833"/>
        <v>t CH4-CO2eq per kg of protein</v>
      </c>
      <c r="V1383" s="28"/>
      <c r="W1383" s="28"/>
      <c r="Y1383" s="91"/>
      <c r="AO1383" s="91"/>
      <c r="AP1383" s="28"/>
      <c r="AQ1383" s="28"/>
      <c r="AR1383" s="237"/>
      <c r="AS1383" s="28"/>
      <c r="AT1383" s="304" t="str">
        <f t="shared" si="855"/>
        <v/>
      </c>
      <c r="AU1383" s="304" t="str">
        <f t="shared" si="855"/>
        <v/>
      </c>
      <c r="AV1383" s="28"/>
      <c r="AW1383" s="304" t="str">
        <f t="shared" si="846"/>
        <v/>
      </c>
      <c r="AX1383" s="304" t="str">
        <f t="shared" si="846"/>
        <v/>
      </c>
      <c r="AY1383" s="28"/>
      <c r="AZ1383" s="304" t="str">
        <f t="shared" si="847"/>
        <v/>
      </c>
      <c r="BA1383" s="304" t="str">
        <f t="shared" si="847"/>
        <v/>
      </c>
      <c r="BB1383" s="28"/>
      <c r="BC1383" s="304" t="str">
        <f t="shared" si="848"/>
        <v/>
      </c>
      <c r="BD1383" s="304" t="str">
        <f t="shared" si="848"/>
        <v/>
      </c>
      <c r="BE1383" s="28"/>
      <c r="BF1383" s="304">
        <f t="shared" si="849"/>
        <v>0.12401840625000005</v>
      </c>
      <c r="BG1383" s="304">
        <f t="shared" si="849"/>
        <v>0.12401840625000005</v>
      </c>
      <c r="BH1383" s="28"/>
      <c r="BI1383" s="304" t="str">
        <f t="shared" si="850"/>
        <v/>
      </c>
      <c r="BJ1383" s="304" t="str">
        <f t="shared" si="850"/>
        <v/>
      </c>
      <c r="BK1383" s="28"/>
      <c r="BL1383" s="304" t="str">
        <f t="shared" si="851"/>
        <v/>
      </c>
      <c r="BM1383" s="304" t="str">
        <f t="shared" si="851"/>
        <v/>
      </c>
      <c r="BN1383" s="28"/>
      <c r="BO1383" s="304" t="str">
        <f t="shared" si="852"/>
        <v/>
      </c>
      <c r="BP1383" s="304" t="str">
        <f t="shared" si="852"/>
        <v/>
      </c>
      <c r="BQ1383" s="28"/>
      <c r="BR1383" s="304" t="str">
        <f t="shared" si="853"/>
        <v/>
      </c>
      <c r="BS1383" s="304" t="str">
        <f t="shared" si="853"/>
        <v/>
      </c>
      <c r="BT1383" s="28"/>
      <c r="BU1383" s="304" t="str">
        <f t="shared" si="854"/>
        <v/>
      </c>
      <c r="BV1383" s="304" t="str">
        <f t="shared" si="854"/>
        <v/>
      </c>
      <c r="BW1383" s="28"/>
      <c r="BX1383" s="91"/>
    </row>
    <row r="1384" spans="1:76" s="55" customFormat="1" x14ac:dyDescent="0.25">
      <c r="A1384" s="195">
        <v>55</v>
      </c>
      <c r="B1384" s="216" t="str">
        <f t="shared" si="830"/>
        <v>Middle East and Africa: FAO. 2017. Reducing Enteric Methane for improving food security and livelihoods</v>
      </c>
      <c r="C1384" s="219" t="s">
        <v>488</v>
      </c>
      <c r="D1384" s="379" t="s">
        <v>526</v>
      </c>
      <c r="E1384" s="219" t="s">
        <v>99</v>
      </c>
      <c r="F1384" s="330" t="s">
        <v>527</v>
      </c>
      <c r="G1384" s="220" t="s">
        <v>26</v>
      </c>
      <c r="H1384" s="221">
        <v>2017</v>
      </c>
      <c r="I1384" s="240"/>
      <c r="J1384" s="383">
        <f t="shared" si="831"/>
        <v>0.19481174999999995</v>
      </c>
      <c r="K1384" s="382" t="s">
        <v>757</v>
      </c>
      <c r="L1384" s="395"/>
      <c r="M1384" s="335" t="str">
        <f>'[1]Advanced Controls'!$I$158</f>
        <v>t CH4-CO2eq per kg of protein</v>
      </c>
      <c r="N1384" s="238"/>
      <c r="O1384" s="227" t="s">
        <v>574</v>
      </c>
      <c r="P1384" s="122"/>
      <c r="Q1384" s="228"/>
      <c r="R1384" s="231">
        <f t="shared" si="843"/>
        <v>0.19481174999999995</v>
      </c>
      <c r="S1384" s="230">
        <f t="shared" si="832"/>
        <v>0.19481174999999995</v>
      </c>
      <c r="T1384" s="231">
        <f t="shared" si="845"/>
        <v>0</v>
      </c>
      <c r="U1384" s="232" t="str">
        <f t="shared" si="833"/>
        <v>t CH4-CO2eq per kg of protein</v>
      </c>
      <c r="V1384" s="28"/>
      <c r="W1384" s="28"/>
      <c r="Y1384" s="91"/>
      <c r="AO1384" s="91"/>
      <c r="AP1384" s="28"/>
      <c r="AQ1384" s="28"/>
      <c r="AR1384" s="237"/>
      <c r="AS1384" s="28"/>
      <c r="AT1384" s="304" t="str">
        <f t="shared" si="855"/>
        <v/>
      </c>
      <c r="AU1384" s="304" t="str">
        <f t="shared" si="855"/>
        <v/>
      </c>
      <c r="AV1384" s="28"/>
      <c r="AW1384" s="304" t="str">
        <f t="shared" si="846"/>
        <v/>
      </c>
      <c r="AX1384" s="304" t="str">
        <f t="shared" si="846"/>
        <v/>
      </c>
      <c r="AY1384" s="28"/>
      <c r="AZ1384" s="304" t="str">
        <f t="shared" si="847"/>
        <v/>
      </c>
      <c r="BA1384" s="304" t="str">
        <f t="shared" si="847"/>
        <v/>
      </c>
      <c r="BB1384" s="28"/>
      <c r="BC1384" s="304" t="str">
        <f t="shared" si="848"/>
        <v/>
      </c>
      <c r="BD1384" s="304" t="str">
        <f t="shared" si="848"/>
        <v/>
      </c>
      <c r="BE1384" s="28"/>
      <c r="BF1384" s="304">
        <f t="shared" si="849"/>
        <v>0.19481174999999995</v>
      </c>
      <c r="BG1384" s="304">
        <f t="shared" si="849"/>
        <v>0.19481174999999995</v>
      </c>
      <c r="BH1384" s="28"/>
      <c r="BI1384" s="304" t="str">
        <f t="shared" si="850"/>
        <v/>
      </c>
      <c r="BJ1384" s="304" t="str">
        <f t="shared" si="850"/>
        <v/>
      </c>
      <c r="BK1384" s="28"/>
      <c r="BL1384" s="304" t="str">
        <f t="shared" si="851"/>
        <v/>
      </c>
      <c r="BM1384" s="304" t="str">
        <f t="shared" si="851"/>
        <v/>
      </c>
      <c r="BN1384" s="28"/>
      <c r="BO1384" s="304" t="str">
        <f t="shared" si="852"/>
        <v/>
      </c>
      <c r="BP1384" s="304" t="str">
        <f t="shared" si="852"/>
        <v/>
      </c>
      <c r="BQ1384" s="28"/>
      <c r="BR1384" s="304" t="str">
        <f t="shared" si="853"/>
        <v/>
      </c>
      <c r="BS1384" s="304" t="str">
        <f t="shared" si="853"/>
        <v/>
      </c>
      <c r="BT1384" s="28"/>
      <c r="BU1384" s="304" t="str">
        <f t="shared" si="854"/>
        <v/>
      </c>
      <c r="BV1384" s="304" t="str">
        <f t="shared" si="854"/>
        <v/>
      </c>
      <c r="BW1384" s="28"/>
      <c r="BX1384" s="91"/>
    </row>
    <row r="1385" spans="1:76" s="55" customFormat="1" x14ac:dyDescent="0.25">
      <c r="A1385" s="195">
        <v>56</v>
      </c>
      <c r="B1385" s="216" t="str">
        <f t="shared" si="830"/>
        <v>Middle East and Africa: FAO. 2017. Reducing Enteric Methane for improving food security and livelihoods</v>
      </c>
      <c r="C1385" s="219" t="s">
        <v>488</v>
      </c>
      <c r="D1385" s="379" t="s">
        <v>526</v>
      </c>
      <c r="E1385" s="219" t="s">
        <v>99</v>
      </c>
      <c r="F1385" s="330" t="s">
        <v>527</v>
      </c>
      <c r="G1385" s="220" t="s">
        <v>26</v>
      </c>
      <c r="H1385" s="221">
        <v>2017</v>
      </c>
      <c r="I1385" s="240"/>
      <c r="J1385" s="383">
        <f t="shared" si="831"/>
        <v>0.26588118750000012</v>
      </c>
      <c r="K1385" s="382" t="s">
        <v>757</v>
      </c>
      <c r="L1385" s="395"/>
      <c r="M1385" s="335" t="str">
        <f>'[1]Advanced Controls'!$I$158</f>
        <v>t CH4-CO2eq per kg of protein</v>
      </c>
      <c r="N1385" s="238"/>
      <c r="O1385" s="227" t="s">
        <v>575</v>
      </c>
      <c r="P1385" s="122"/>
      <c r="Q1385" s="228"/>
      <c r="R1385" s="231">
        <f t="shared" si="843"/>
        <v>0.26588118750000012</v>
      </c>
      <c r="S1385" s="230">
        <f t="shared" si="832"/>
        <v>0.26588118750000012</v>
      </c>
      <c r="T1385" s="231">
        <f t="shared" si="845"/>
        <v>0</v>
      </c>
      <c r="U1385" s="232" t="str">
        <f t="shared" si="833"/>
        <v>t CH4-CO2eq per kg of protein</v>
      </c>
      <c r="V1385" s="28"/>
      <c r="W1385" s="28"/>
      <c r="Y1385" s="91"/>
      <c r="AO1385" s="91"/>
      <c r="AP1385" s="28"/>
      <c r="AQ1385" s="28"/>
      <c r="AR1385" s="237"/>
      <c r="AS1385" s="28"/>
      <c r="AT1385" s="304" t="str">
        <f t="shared" si="855"/>
        <v/>
      </c>
      <c r="AU1385" s="304" t="str">
        <f t="shared" si="855"/>
        <v/>
      </c>
      <c r="AV1385" s="28"/>
      <c r="AW1385" s="304" t="str">
        <f t="shared" si="846"/>
        <v/>
      </c>
      <c r="AX1385" s="304" t="str">
        <f t="shared" si="846"/>
        <v/>
      </c>
      <c r="AY1385" s="28"/>
      <c r="AZ1385" s="304" t="str">
        <f t="shared" si="847"/>
        <v/>
      </c>
      <c r="BA1385" s="304" t="str">
        <f t="shared" si="847"/>
        <v/>
      </c>
      <c r="BB1385" s="28"/>
      <c r="BC1385" s="304" t="str">
        <f t="shared" si="848"/>
        <v/>
      </c>
      <c r="BD1385" s="304" t="str">
        <f t="shared" si="848"/>
        <v/>
      </c>
      <c r="BE1385" s="28"/>
      <c r="BF1385" s="304">
        <f t="shared" si="849"/>
        <v>0.26588118750000012</v>
      </c>
      <c r="BG1385" s="304">
        <f t="shared" si="849"/>
        <v>0.26588118750000012</v>
      </c>
      <c r="BH1385" s="28"/>
      <c r="BI1385" s="304" t="str">
        <f t="shared" si="850"/>
        <v/>
      </c>
      <c r="BJ1385" s="304" t="str">
        <f t="shared" si="850"/>
        <v/>
      </c>
      <c r="BK1385" s="28"/>
      <c r="BL1385" s="304" t="str">
        <f t="shared" si="851"/>
        <v/>
      </c>
      <c r="BM1385" s="304" t="str">
        <f t="shared" si="851"/>
        <v/>
      </c>
      <c r="BN1385" s="28"/>
      <c r="BO1385" s="304" t="str">
        <f t="shared" si="852"/>
        <v/>
      </c>
      <c r="BP1385" s="304" t="str">
        <f t="shared" si="852"/>
        <v/>
      </c>
      <c r="BQ1385" s="28"/>
      <c r="BR1385" s="304" t="str">
        <f t="shared" si="853"/>
        <v/>
      </c>
      <c r="BS1385" s="304" t="str">
        <f t="shared" si="853"/>
        <v/>
      </c>
      <c r="BT1385" s="28"/>
      <c r="BU1385" s="304" t="str">
        <f t="shared" si="854"/>
        <v/>
      </c>
      <c r="BV1385" s="304" t="str">
        <f t="shared" si="854"/>
        <v/>
      </c>
      <c r="BW1385" s="28"/>
      <c r="BX1385" s="91"/>
    </row>
    <row r="1386" spans="1:76" s="55" customFormat="1" x14ac:dyDescent="0.25">
      <c r="A1386" s="195">
        <v>57</v>
      </c>
      <c r="B1386" s="216" t="str">
        <f t="shared" si="830"/>
        <v>Latin America: FAO. 2017. Reducing Enteric Methane for improving food security and livelihoods</v>
      </c>
      <c r="C1386" s="219" t="s">
        <v>488</v>
      </c>
      <c r="D1386" s="379" t="s">
        <v>228</v>
      </c>
      <c r="E1386" s="329" t="s">
        <v>100</v>
      </c>
      <c r="F1386" s="341" t="s">
        <v>190</v>
      </c>
      <c r="G1386" s="220" t="s">
        <v>26</v>
      </c>
      <c r="H1386" s="221">
        <v>2017</v>
      </c>
      <c r="I1386" s="240"/>
      <c r="J1386" s="383">
        <f t="shared" si="831"/>
        <v>5.2438554216867439E-2</v>
      </c>
      <c r="K1386" s="382" t="s">
        <v>757</v>
      </c>
      <c r="L1386" s="395"/>
      <c r="M1386" s="335" t="str">
        <f>'[1]Advanced Controls'!$I$158</f>
        <v>t CH4-CO2eq per kg of protein</v>
      </c>
      <c r="N1386" s="238"/>
      <c r="O1386" s="227" t="s">
        <v>576</v>
      </c>
      <c r="P1386" s="122"/>
      <c r="Q1386" s="228"/>
      <c r="R1386" s="231">
        <f t="shared" si="843"/>
        <v>5.2438554216867439E-2</v>
      </c>
      <c r="S1386" s="230">
        <f t="shared" si="832"/>
        <v>5.2438554216867439E-2</v>
      </c>
      <c r="T1386" s="231">
        <f t="shared" si="845"/>
        <v>0</v>
      </c>
      <c r="U1386" s="232" t="str">
        <f t="shared" si="833"/>
        <v>t CH4-CO2eq per kg of protein</v>
      </c>
      <c r="V1386" s="28"/>
      <c r="W1386" s="28"/>
      <c r="Y1386" s="91"/>
      <c r="AO1386" s="91"/>
      <c r="AP1386" s="28"/>
      <c r="AQ1386" s="28"/>
      <c r="AR1386" s="237"/>
      <c r="AS1386" s="28"/>
      <c r="AT1386" s="304" t="str">
        <f t="shared" si="855"/>
        <v/>
      </c>
      <c r="AU1386" s="304" t="str">
        <f t="shared" si="855"/>
        <v/>
      </c>
      <c r="AV1386" s="28"/>
      <c r="AW1386" s="304" t="str">
        <f t="shared" si="846"/>
        <v/>
      </c>
      <c r="AX1386" s="304" t="str">
        <f t="shared" si="846"/>
        <v/>
      </c>
      <c r="AY1386" s="28"/>
      <c r="AZ1386" s="304" t="str">
        <f t="shared" si="847"/>
        <v/>
      </c>
      <c r="BA1386" s="304" t="str">
        <f t="shared" si="847"/>
        <v/>
      </c>
      <c r="BB1386" s="28"/>
      <c r="BC1386" s="304" t="str">
        <f t="shared" si="848"/>
        <v/>
      </c>
      <c r="BD1386" s="304" t="str">
        <f t="shared" si="848"/>
        <v/>
      </c>
      <c r="BE1386" s="28"/>
      <c r="BF1386" s="304" t="str">
        <f t="shared" si="849"/>
        <v/>
      </c>
      <c r="BG1386" s="304" t="str">
        <f t="shared" si="849"/>
        <v/>
      </c>
      <c r="BH1386" s="28"/>
      <c r="BI1386" s="304">
        <f t="shared" si="850"/>
        <v>5.2438554216867439E-2</v>
      </c>
      <c r="BJ1386" s="304">
        <f t="shared" si="850"/>
        <v>5.2438554216867439E-2</v>
      </c>
      <c r="BK1386" s="28"/>
      <c r="BL1386" s="304" t="str">
        <f t="shared" si="851"/>
        <v/>
      </c>
      <c r="BM1386" s="304" t="str">
        <f t="shared" si="851"/>
        <v/>
      </c>
      <c r="BN1386" s="28"/>
      <c r="BO1386" s="304" t="str">
        <f t="shared" si="852"/>
        <v/>
      </c>
      <c r="BP1386" s="304" t="str">
        <f t="shared" si="852"/>
        <v/>
      </c>
      <c r="BQ1386" s="28"/>
      <c r="BR1386" s="304" t="str">
        <f t="shared" si="853"/>
        <v/>
      </c>
      <c r="BS1386" s="304" t="str">
        <f t="shared" si="853"/>
        <v/>
      </c>
      <c r="BT1386" s="28"/>
      <c r="BU1386" s="304" t="str">
        <f t="shared" si="854"/>
        <v/>
      </c>
      <c r="BV1386" s="304" t="str">
        <f t="shared" si="854"/>
        <v/>
      </c>
      <c r="BW1386" s="28"/>
      <c r="BX1386" s="91"/>
    </row>
    <row r="1387" spans="1:76" s="55" customFormat="1" x14ac:dyDescent="0.25">
      <c r="A1387" s="195">
        <v>58</v>
      </c>
      <c r="B1387" s="216" t="str">
        <f t="shared" si="830"/>
        <v>Latin America: FAO. 2017. Reducing Enteric Methane for improving food security and livelihoods</v>
      </c>
      <c r="C1387" s="219" t="s">
        <v>488</v>
      </c>
      <c r="D1387" s="379" t="s">
        <v>228</v>
      </c>
      <c r="E1387" s="329" t="s">
        <v>100</v>
      </c>
      <c r="F1387" s="341" t="s">
        <v>190</v>
      </c>
      <c r="G1387" s="220" t="s">
        <v>26</v>
      </c>
      <c r="H1387" s="221">
        <v>2017</v>
      </c>
      <c r="I1387" s="240"/>
      <c r="J1387" s="383">
        <f t="shared" si="831"/>
        <v>9.264144578313252E-2</v>
      </c>
      <c r="K1387" s="382" t="s">
        <v>757</v>
      </c>
      <c r="L1387" s="395"/>
      <c r="M1387" s="335" t="str">
        <f>'[1]Advanced Controls'!$I$158</f>
        <v>t CH4-CO2eq per kg of protein</v>
      </c>
      <c r="N1387" s="238"/>
      <c r="O1387" s="227" t="s">
        <v>577</v>
      </c>
      <c r="P1387" s="122"/>
      <c r="Q1387" s="228"/>
      <c r="R1387" s="231">
        <f t="shared" si="843"/>
        <v>9.264144578313252E-2</v>
      </c>
      <c r="S1387" s="230">
        <f t="shared" si="832"/>
        <v>9.264144578313252E-2</v>
      </c>
      <c r="T1387" s="231">
        <f t="shared" si="845"/>
        <v>0</v>
      </c>
      <c r="U1387" s="232" t="str">
        <f t="shared" si="833"/>
        <v>t CH4-CO2eq per kg of protein</v>
      </c>
      <c r="V1387" s="28"/>
      <c r="W1387" s="28"/>
      <c r="Y1387" s="91"/>
      <c r="AO1387" s="91"/>
      <c r="AP1387" s="28"/>
      <c r="AQ1387" s="28"/>
      <c r="AR1387" s="237"/>
      <c r="AS1387" s="28"/>
      <c r="AT1387" s="304" t="str">
        <f t="shared" si="855"/>
        <v/>
      </c>
      <c r="AU1387" s="304" t="str">
        <f t="shared" si="855"/>
        <v/>
      </c>
      <c r="AV1387" s="28"/>
      <c r="AW1387" s="304" t="str">
        <f t="shared" si="846"/>
        <v/>
      </c>
      <c r="AX1387" s="304" t="str">
        <f t="shared" si="846"/>
        <v/>
      </c>
      <c r="AY1387" s="28"/>
      <c r="AZ1387" s="304" t="str">
        <f t="shared" si="847"/>
        <v/>
      </c>
      <c r="BA1387" s="304" t="str">
        <f t="shared" si="847"/>
        <v/>
      </c>
      <c r="BB1387" s="28"/>
      <c r="BC1387" s="304" t="str">
        <f t="shared" si="848"/>
        <v/>
      </c>
      <c r="BD1387" s="304" t="str">
        <f t="shared" si="848"/>
        <v/>
      </c>
      <c r="BE1387" s="28"/>
      <c r="BF1387" s="304" t="str">
        <f t="shared" si="849"/>
        <v/>
      </c>
      <c r="BG1387" s="304" t="str">
        <f t="shared" si="849"/>
        <v/>
      </c>
      <c r="BH1387" s="28"/>
      <c r="BI1387" s="304">
        <f t="shared" si="850"/>
        <v>9.264144578313252E-2</v>
      </c>
      <c r="BJ1387" s="304">
        <f t="shared" si="850"/>
        <v>9.264144578313252E-2</v>
      </c>
      <c r="BK1387" s="28"/>
      <c r="BL1387" s="304" t="str">
        <f t="shared" si="851"/>
        <v/>
      </c>
      <c r="BM1387" s="304" t="str">
        <f t="shared" si="851"/>
        <v/>
      </c>
      <c r="BN1387" s="28"/>
      <c r="BO1387" s="304" t="str">
        <f t="shared" si="852"/>
        <v/>
      </c>
      <c r="BP1387" s="304" t="str">
        <f t="shared" si="852"/>
        <v/>
      </c>
      <c r="BQ1387" s="28"/>
      <c r="BR1387" s="304" t="str">
        <f t="shared" si="853"/>
        <v/>
      </c>
      <c r="BS1387" s="304" t="str">
        <f t="shared" si="853"/>
        <v/>
      </c>
      <c r="BT1387" s="28"/>
      <c r="BU1387" s="304" t="str">
        <f t="shared" si="854"/>
        <v/>
      </c>
      <c r="BV1387" s="304" t="str">
        <f t="shared" si="854"/>
        <v/>
      </c>
      <c r="BW1387" s="28"/>
      <c r="BX1387" s="91"/>
    </row>
    <row r="1388" spans="1:76" s="55" customFormat="1" x14ac:dyDescent="0.25">
      <c r="A1388" s="195">
        <v>59</v>
      </c>
      <c r="B1388" s="216" t="str">
        <f t="shared" si="830"/>
        <v>Latin America: FAO. 2017. Reducing Enteric Methane for improving food security and livelihoods</v>
      </c>
      <c r="C1388" s="219" t="s">
        <v>488</v>
      </c>
      <c r="D1388" s="379" t="s">
        <v>228</v>
      </c>
      <c r="E1388" s="329" t="s">
        <v>100</v>
      </c>
      <c r="F1388" s="341" t="s">
        <v>190</v>
      </c>
      <c r="G1388" s="220" t="s">
        <v>26</v>
      </c>
      <c r="H1388" s="221">
        <v>2017</v>
      </c>
      <c r="I1388" s="240"/>
      <c r="J1388" s="383">
        <f t="shared" si="831"/>
        <v>0.15187759036144577</v>
      </c>
      <c r="K1388" s="382" t="s">
        <v>757</v>
      </c>
      <c r="L1388" s="395"/>
      <c r="M1388" s="335" t="str">
        <f>'[1]Advanced Controls'!$I$158</f>
        <v>t CH4-CO2eq per kg of protein</v>
      </c>
      <c r="N1388" s="238"/>
      <c r="O1388" s="227" t="s">
        <v>578</v>
      </c>
      <c r="P1388" s="122"/>
      <c r="Q1388" s="228"/>
      <c r="R1388" s="231">
        <f t="shared" si="843"/>
        <v>0.15187759036144577</v>
      </c>
      <c r="S1388" s="230">
        <f t="shared" si="832"/>
        <v>0.15187759036144577</v>
      </c>
      <c r="T1388" s="231">
        <f t="shared" si="845"/>
        <v>0</v>
      </c>
      <c r="U1388" s="232" t="str">
        <f t="shared" si="833"/>
        <v>t CH4-CO2eq per kg of protein</v>
      </c>
      <c r="V1388" s="28"/>
      <c r="W1388" s="28"/>
      <c r="Y1388" s="91"/>
      <c r="AO1388" s="91"/>
      <c r="AP1388" s="28"/>
      <c r="AQ1388" s="28"/>
      <c r="AR1388" s="237"/>
      <c r="AS1388" s="28"/>
      <c r="AT1388" s="304" t="str">
        <f t="shared" si="855"/>
        <v/>
      </c>
      <c r="AU1388" s="304" t="str">
        <f t="shared" si="855"/>
        <v/>
      </c>
      <c r="AV1388" s="28"/>
      <c r="AW1388" s="304" t="str">
        <f t="shared" si="846"/>
        <v/>
      </c>
      <c r="AX1388" s="304" t="str">
        <f t="shared" si="846"/>
        <v/>
      </c>
      <c r="AY1388" s="28"/>
      <c r="AZ1388" s="304" t="str">
        <f t="shared" si="847"/>
        <v/>
      </c>
      <c r="BA1388" s="304" t="str">
        <f t="shared" si="847"/>
        <v/>
      </c>
      <c r="BB1388" s="28"/>
      <c r="BC1388" s="304" t="str">
        <f t="shared" si="848"/>
        <v/>
      </c>
      <c r="BD1388" s="304" t="str">
        <f t="shared" si="848"/>
        <v/>
      </c>
      <c r="BE1388" s="28"/>
      <c r="BF1388" s="304" t="str">
        <f t="shared" si="849"/>
        <v/>
      </c>
      <c r="BG1388" s="304" t="str">
        <f t="shared" si="849"/>
        <v/>
      </c>
      <c r="BH1388" s="28"/>
      <c r="BI1388" s="304">
        <f t="shared" si="850"/>
        <v>0.15187759036144577</v>
      </c>
      <c r="BJ1388" s="304">
        <f t="shared" si="850"/>
        <v>0.15187759036144577</v>
      </c>
      <c r="BK1388" s="28"/>
      <c r="BL1388" s="304" t="str">
        <f t="shared" si="851"/>
        <v/>
      </c>
      <c r="BM1388" s="304" t="str">
        <f t="shared" si="851"/>
        <v/>
      </c>
      <c r="BN1388" s="28"/>
      <c r="BO1388" s="304" t="str">
        <f t="shared" si="852"/>
        <v/>
      </c>
      <c r="BP1388" s="304" t="str">
        <f t="shared" si="852"/>
        <v/>
      </c>
      <c r="BQ1388" s="28"/>
      <c r="BR1388" s="304" t="str">
        <f t="shared" si="853"/>
        <v/>
      </c>
      <c r="BS1388" s="304" t="str">
        <f t="shared" si="853"/>
        <v/>
      </c>
      <c r="BT1388" s="28"/>
      <c r="BU1388" s="304" t="str">
        <f t="shared" si="854"/>
        <v/>
      </c>
      <c r="BV1388" s="304" t="str">
        <f t="shared" si="854"/>
        <v/>
      </c>
      <c r="BW1388" s="28"/>
      <c r="BX1388" s="91"/>
    </row>
    <row r="1389" spans="1:76" s="55" customFormat="1" x14ac:dyDescent="0.25">
      <c r="A1389" s="195">
        <v>60</v>
      </c>
      <c r="B1389" s="216" t="str">
        <f t="shared" si="830"/>
        <v>Latin America: FAO. 2017. Reducing Enteric Methane for improving food security and livelihoods</v>
      </c>
      <c r="C1389" s="219" t="s">
        <v>488</v>
      </c>
      <c r="D1389" s="379" t="s">
        <v>228</v>
      </c>
      <c r="E1389" s="329" t="s">
        <v>100</v>
      </c>
      <c r="F1389" s="341" t="s">
        <v>190</v>
      </c>
      <c r="G1389" s="220" t="s">
        <v>26</v>
      </c>
      <c r="H1389" s="221">
        <v>2017</v>
      </c>
      <c r="I1389" s="240"/>
      <c r="J1389" s="383">
        <f t="shared" si="831"/>
        <v>9.4120481927710553E-3</v>
      </c>
      <c r="K1389" s="382" t="s">
        <v>757</v>
      </c>
      <c r="L1389" s="395"/>
      <c r="M1389" s="335" t="str">
        <f>'[1]Advanced Controls'!$I$158</f>
        <v>t CH4-CO2eq per kg of protein</v>
      </c>
      <c r="N1389" s="238"/>
      <c r="O1389" s="227" t="s">
        <v>579</v>
      </c>
      <c r="P1389" s="122"/>
      <c r="Q1389" s="228"/>
      <c r="R1389" s="231">
        <f t="shared" si="843"/>
        <v>9.4120481927710553E-3</v>
      </c>
      <c r="S1389" s="230">
        <f t="shared" si="832"/>
        <v>9.4120481927710553E-3</v>
      </c>
      <c r="T1389" s="231">
        <f t="shared" si="845"/>
        <v>0</v>
      </c>
      <c r="U1389" s="232" t="str">
        <f t="shared" si="833"/>
        <v>t CH4-CO2eq per kg of protein</v>
      </c>
      <c r="V1389" s="28"/>
      <c r="W1389" s="28"/>
      <c r="Y1389" s="91"/>
      <c r="AO1389" s="91"/>
      <c r="AP1389" s="28"/>
      <c r="AQ1389" s="28"/>
      <c r="AR1389" s="237"/>
      <c r="AS1389" s="28"/>
      <c r="AT1389" s="304" t="str">
        <f t="shared" si="855"/>
        <v/>
      </c>
      <c r="AU1389" s="304" t="str">
        <f t="shared" si="855"/>
        <v/>
      </c>
      <c r="AV1389" s="28"/>
      <c r="AW1389" s="304" t="str">
        <f t="shared" si="846"/>
        <v/>
      </c>
      <c r="AX1389" s="304" t="str">
        <f t="shared" si="846"/>
        <v/>
      </c>
      <c r="AY1389" s="28"/>
      <c r="AZ1389" s="304" t="str">
        <f t="shared" si="847"/>
        <v/>
      </c>
      <c r="BA1389" s="304" t="str">
        <f t="shared" si="847"/>
        <v/>
      </c>
      <c r="BB1389" s="28"/>
      <c r="BC1389" s="304" t="str">
        <f t="shared" si="848"/>
        <v/>
      </c>
      <c r="BD1389" s="304" t="str">
        <f t="shared" si="848"/>
        <v/>
      </c>
      <c r="BE1389" s="28"/>
      <c r="BF1389" s="304" t="str">
        <f t="shared" si="849"/>
        <v/>
      </c>
      <c r="BG1389" s="304" t="str">
        <f t="shared" si="849"/>
        <v/>
      </c>
      <c r="BH1389" s="28"/>
      <c r="BI1389" s="304">
        <f t="shared" si="850"/>
        <v>9.4120481927710553E-3</v>
      </c>
      <c r="BJ1389" s="304">
        <f t="shared" si="850"/>
        <v>9.4120481927710553E-3</v>
      </c>
      <c r="BK1389" s="28"/>
      <c r="BL1389" s="304" t="str">
        <f t="shared" si="851"/>
        <v/>
      </c>
      <c r="BM1389" s="304" t="str">
        <f t="shared" si="851"/>
        <v/>
      </c>
      <c r="BN1389" s="28"/>
      <c r="BO1389" s="304" t="str">
        <f t="shared" si="852"/>
        <v/>
      </c>
      <c r="BP1389" s="304" t="str">
        <f t="shared" si="852"/>
        <v/>
      </c>
      <c r="BQ1389" s="28"/>
      <c r="BR1389" s="304" t="str">
        <f t="shared" si="853"/>
        <v/>
      </c>
      <c r="BS1389" s="304" t="str">
        <f t="shared" si="853"/>
        <v/>
      </c>
      <c r="BT1389" s="28"/>
      <c r="BU1389" s="304" t="str">
        <f t="shared" si="854"/>
        <v/>
      </c>
      <c r="BV1389" s="304" t="str">
        <f t="shared" si="854"/>
        <v/>
      </c>
      <c r="BW1389" s="28"/>
      <c r="BX1389" s="91"/>
    </row>
    <row r="1390" spans="1:76" s="55" customFormat="1" x14ac:dyDescent="0.25">
      <c r="A1390" s="195">
        <v>61</v>
      </c>
      <c r="B1390" s="216" t="str">
        <f t="shared" si="830"/>
        <v>Latin America: FAO. 2017. Reducing Enteric Methane for improving food security and livelihoods</v>
      </c>
      <c r="C1390" s="219" t="s">
        <v>488</v>
      </c>
      <c r="D1390" s="379" t="s">
        <v>228</v>
      </c>
      <c r="E1390" s="329" t="s">
        <v>100</v>
      </c>
      <c r="F1390" s="341" t="s">
        <v>190</v>
      </c>
      <c r="G1390" s="220" t="s">
        <v>26</v>
      </c>
      <c r="H1390" s="221">
        <v>2017</v>
      </c>
      <c r="I1390" s="240"/>
      <c r="J1390" s="383">
        <f t="shared" si="831"/>
        <v>9.6137349397589777E-3</v>
      </c>
      <c r="K1390" s="382" t="s">
        <v>757</v>
      </c>
      <c r="L1390" s="395"/>
      <c r="M1390" s="335" t="str">
        <f>'[1]Advanced Controls'!$I$158</f>
        <v>t CH4-CO2eq per kg of protein</v>
      </c>
      <c r="N1390" s="238"/>
      <c r="O1390" s="227" t="s">
        <v>580</v>
      </c>
      <c r="P1390" s="122"/>
      <c r="Q1390" s="228"/>
      <c r="R1390" s="231">
        <f t="shared" si="843"/>
        <v>9.6137349397589777E-3</v>
      </c>
      <c r="S1390" s="230">
        <f t="shared" si="832"/>
        <v>9.6137349397589777E-3</v>
      </c>
      <c r="T1390" s="231">
        <f t="shared" si="845"/>
        <v>0</v>
      </c>
      <c r="U1390" s="232" t="str">
        <f t="shared" si="833"/>
        <v>t CH4-CO2eq per kg of protein</v>
      </c>
      <c r="V1390" s="28"/>
      <c r="W1390" s="28"/>
      <c r="Y1390" s="91"/>
      <c r="AO1390" s="91"/>
      <c r="AP1390" s="28"/>
      <c r="AQ1390" s="28"/>
      <c r="AR1390" s="237"/>
      <c r="AS1390" s="28"/>
      <c r="AT1390" s="304" t="str">
        <f t="shared" si="855"/>
        <v/>
      </c>
      <c r="AU1390" s="304" t="str">
        <f t="shared" si="855"/>
        <v/>
      </c>
      <c r="AV1390" s="28"/>
      <c r="AW1390" s="304" t="str">
        <f t="shared" si="846"/>
        <v/>
      </c>
      <c r="AX1390" s="304" t="str">
        <f t="shared" si="846"/>
        <v/>
      </c>
      <c r="AY1390" s="28"/>
      <c r="AZ1390" s="304" t="str">
        <f t="shared" si="847"/>
        <v/>
      </c>
      <c r="BA1390" s="304" t="str">
        <f t="shared" si="847"/>
        <v/>
      </c>
      <c r="BB1390" s="28"/>
      <c r="BC1390" s="304" t="str">
        <f t="shared" si="848"/>
        <v/>
      </c>
      <c r="BD1390" s="304" t="str">
        <f t="shared" si="848"/>
        <v/>
      </c>
      <c r="BE1390" s="28"/>
      <c r="BF1390" s="304" t="str">
        <f t="shared" si="849"/>
        <v/>
      </c>
      <c r="BG1390" s="304" t="str">
        <f t="shared" si="849"/>
        <v/>
      </c>
      <c r="BH1390" s="28"/>
      <c r="BI1390" s="304">
        <f t="shared" si="850"/>
        <v>9.6137349397589777E-3</v>
      </c>
      <c r="BJ1390" s="304">
        <f t="shared" si="850"/>
        <v>9.6137349397589777E-3</v>
      </c>
      <c r="BK1390" s="28"/>
      <c r="BL1390" s="304" t="str">
        <f t="shared" si="851"/>
        <v/>
      </c>
      <c r="BM1390" s="304" t="str">
        <f t="shared" si="851"/>
        <v/>
      </c>
      <c r="BN1390" s="28"/>
      <c r="BO1390" s="304" t="str">
        <f t="shared" si="852"/>
        <v/>
      </c>
      <c r="BP1390" s="304" t="str">
        <f t="shared" si="852"/>
        <v/>
      </c>
      <c r="BQ1390" s="28"/>
      <c r="BR1390" s="304" t="str">
        <f t="shared" si="853"/>
        <v/>
      </c>
      <c r="BS1390" s="304" t="str">
        <f t="shared" si="853"/>
        <v/>
      </c>
      <c r="BT1390" s="28"/>
      <c r="BU1390" s="304" t="str">
        <f t="shared" si="854"/>
        <v/>
      </c>
      <c r="BV1390" s="304" t="str">
        <f t="shared" si="854"/>
        <v/>
      </c>
      <c r="BW1390" s="28"/>
      <c r="BX1390" s="91"/>
    </row>
    <row r="1391" spans="1:76" s="55" customFormat="1" x14ac:dyDescent="0.25">
      <c r="A1391" s="195">
        <v>62</v>
      </c>
      <c r="B1391" s="216" t="str">
        <f t="shared" si="830"/>
        <v>Latin America: FAO. 2017. Reducing Enteric Methane for improving food security and livelihoods</v>
      </c>
      <c r="C1391" s="219" t="s">
        <v>488</v>
      </c>
      <c r="D1391" s="379" t="s">
        <v>228</v>
      </c>
      <c r="E1391" s="329" t="s">
        <v>100</v>
      </c>
      <c r="F1391" s="341" t="s">
        <v>190</v>
      </c>
      <c r="G1391" s="220" t="s">
        <v>26</v>
      </c>
      <c r="H1391" s="221">
        <v>2017</v>
      </c>
      <c r="I1391" s="240"/>
      <c r="J1391" s="383">
        <f t="shared" si="831"/>
        <v>1.4760481927710845E-2</v>
      </c>
      <c r="K1391" s="382" t="s">
        <v>757</v>
      </c>
      <c r="L1391" s="395"/>
      <c r="M1391" s="335" t="str">
        <f>'[1]Advanced Controls'!$I$158</f>
        <v>t CH4-CO2eq per kg of protein</v>
      </c>
      <c r="N1391" s="238"/>
      <c r="O1391" s="227" t="s">
        <v>581</v>
      </c>
      <c r="P1391" s="122"/>
      <c r="Q1391" s="228"/>
      <c r="R1391" s="231">
        <f t="shared" si="843"/>
        <v>1.4760481927710845E-2</v>
      </c>
      <c r="S1391" s="230">
        <f t="shared" si="832"/>
        <v>1.4760481927710845E-2</v>
      </c>
      <c r="T1391" s="231">
        <f t="shared" si="845"/>
        <v>0</v>
      </c>
      <c r="U1391" s="232" t="str">
        <f t="shared" si="833"/>
        <v>t CH4-CO2eq per kg of protein</v>
      </c>
      <c r="V1391" s="28"/>
      <c r="W1391" s="28"/>
      <c r="Y1391" s="91"/>
      <c r="AO1391" s="91"/>
      <c r="AP1391" s="28"/>
      <c r="AQ1391" s="28"/>
      <c r="AR1391" s="237"/>
      <c r="AS1391" s="28"/>
      <c r="AT1391" s="304" t="str">
        <f t="shared" si="855"/>
        <v/>
      </c>
      <c r="AU1391" s="304" t="str">
        <f t="shared" si="855"/>
        <v/>
      </c>
      <c r="AV1391" s="28"/>
      <c r="AW1391" s="304" t="str">
        <f t="shared" si="846"/>
        <v/>
      </c>
      <c r="AX1391" s="304" t="str">
        <f t="shared" si="846"/>
        <v/>
      </c>
      <c r="AY1391" s="28"/>
      <c r="AZ1391" s="304" t="str">
        <f t="shared" si="847"/>
        <v/>
      </c>
      <c r="BA1391" s="304" t="str">
        <f t="shared" si="847"/>
        <v/>
      </c>
      <c r="BB1391" s="28"/>
      <c r="BC1391" s="304" t="str">
        <f t="shared" si="848"/>
        <v/>
      </c>
      <c r="BD1391" s="304" t="str">
        <f t="shared" si="848"/>
        <v/>
      </c>
      <c r="BE1391" s="28"/>
      <c r="BF1391" s="304" t="str">
        <f t="shared" si="849"/>
        <v/>
      </c>
      <c r="BG1391" s="304" t="str">
        <f t="shared" si="849"/>
        <v/>
      </c>
      <c r="BH1391" s="28"/>
      <c r="BI1391" s="304">
        <f t="shared" si="850"/>
        <v>1.4760481927710845E-2</v>
      </c>
      <c r="BJ1391" s="304">
        <f t="shared" si="850"/>
        <v>1.4760481927710845E-2</v>
      </c>
      <c r="BK1391" s="28"/>
      <c r="BL1391" s="304" t="str">
        <f t="shared" si="851"/>
        <v/>
      </c>
      <c r="BM1391" s="304" t="str">
        <f t="shared" si="851"/>
        <v/>
      </c>
      <c r="BN1391" s="28"/>
      <c r="BO1391" s="304" t="str">
        <f t="shared" si="852"/>
        <v/>
      </c>
      <c r="BP1391" s="304" t="str">
        <f t="shared" si="852"/>
        <v/>
      </c>
      <c r="BQ1391" s="28"/>
      <c r="BR1391" s="304" t="str">
        <f t="shared" si="853"/>
        <v/>
      </c>
      <c r="BS1391" s="304" t="str">
        <f t="shared" si="853"/>
        <v/>
      </c>
      <c r="BT1391" s="28"/>
      <c r="BU1391" s="304" t="str">
        <f t="shared" si="854"/>
        <v/>
      </c>
      <c r="BV1391" s="304" t="str">
        <f t="shared" si="854"/>
        <v/>
      </c>
      <c r="BW1391" s="28"/>
      <c r="BX1391" s="91"/>
    </row>
    <row r="1392" spans="1:76" s="55" customFormat="1" x14ac:dyDescent="0.25">
      <c r="A1392" s="195">
        <v>63</v>
      </c>
      <c r="B1392" s="216" t="str">
        <f t="shared" si="830"/>
        <v>Latin America: FAO. 2017. Reducing Enteric Methane for improving food security and livelihoods</v>
      </c>
      <c r="C1392" s="219" t="s">
        <v>488</v>
      </c>
      <c r="D1392" s="379" t="s">
        <v>228</v>
      </c>
      <c r="E1392" s="329" t="s">
        <v>100</v>
      </c>
      <c r="F1392" s="341" t="s">
        <v>190</v>
      </c>
      <c r="G1392" s="220" t="s">
        <v>26</v>
      </c>
      <c r="H1392" s="221">
        <v>2017</v>
      </c>
      <c r="I1392" s="240"/>
      <c r="J1392" s="383">
        <f t="shared" si="831"/>
        <v>1.0980722891566236E-2</v>
      </c>
      <c r="K1392" s="382" t="s">
        <v>757</v>
      </c>
      <c r="L1392" s="395"/>
      <c r="M1392" s="335" t="str">
        <f>'[1]Advanced Controls'!$I$158</f>
        <v>t CH4-CO2eq per kg of protein</v>
      </c>
      <c r="N1392" s="238"/>
      <c r="O1392" s="227" t="s">
        <v>582</v>
      </c>
      <c r="P1392" s="122"/>
      <c r="Q1392" s="228"/>
      <c r="R1392" s="231">
        <f t="shared" si="843"/>
        <v>1.0980722891566236E-2</v>
      </c>
      <c r="S1392" s="230">
        <f t="shared" si="832"/>
        <v>1.0980722891566236E-2</v>
      </c>
      <c r="T1392" s="231">
        <f t="shared" si="845"/>
        <v>0</v>
      </c>
      <c r="U1392" s="232" t="str">
        <f t="shared" si="833"/>
        <v>t CH4-CO2eq per kg of protein</v>
      </c>
      <c r="V1392" s="28"/>
      <c r="W1392" s="28"/>
      <c r="Y1392" s="91"/>
      <c r="AO1392" s="91"/>
      <c r="AP1392" s="28"/>
      <c r="AQ1392" s="28"/>
      <c r="AR1392" s="237"/>
      <c r="AS1392" s="28"/>
      <c r="AT1392" s="304" t="str">
        <f t="shared" si="855"/>
        <v/>
      </c>
      <c r="AU1392" s="304" t="str">
        <f t="shared" si="855"/>
        <v/>
      </c>
      <c r="AV1392" s="28"/>
      <c r="AW1392" s="304" t="str">
        <f t="shared" si="846"/>
        <v/>
      </c>
      <c r="AX1392" s="304" t="str">
        <f t="shared" si="846"/>
        <v/>
      </c>
      <c r="AY1392" s="28"/>
      <c r="AZ1392" s="304" t="str">
        <f t="shared" si="847"/>
        <v/>
      </c>
      <c r="BA1392" s="304" t="str">
        <f t="shared" si="847"/>
        <v/>
      </c>
      <c r="BB1392" s="28"/>
      <c r="BC1392" s="304" t="str">
        <f t="shared" si="848"/>
        <v/>
      </c>
      <c r="BD1392" s="304" t="str">
        <f t="shared" si="848"/>
        <v/>
      </c>
      <c r="BE1392" s="28"/>
      <c r="BF1392" s="304" t="str">
        <f t="shared" si="849"/>
        <v/>
      </c>
      <c r="BG1392" s="304" t="str">
        <f t="shared" si="849"/>
        <v/>
      </c>
      <c r="BH1392" s="28"/>
      <c r="BI1392" s="304">
        <f t="shared" si="850"/>
        <v>1.0980722891566236E-2</v>
      </c>
      <c r="BJ1392" s="304">
        <f t="shared" si="850"/>
        <v>1.0980722891566236E-2</v>
      </c>
      <c r="BK1392" s="28"/>
      <c r="BL1392" s="304" t="str">
        <f t="shared" si="851"/>
        <v/>
      </c>
      <c r="BM1392" s="304" t="str">
        <f t="shared" si="851"/>
        <v/>
      </c>
      <c r="BN1392" s="28"/>
      <c r="BO1392" s="304" t="str">
        <f t="shared" si="852"/>
        <v/>
      </c>
      <c r="BP1392" s="304" t="str">
        <f t="shared" si="852"/>
        <v/>
      </c>
      <c r="BQ1392" s="28"/>
      <c r="BR1392" s="304" t="str">
        <f t="shared" si="853"/>
        <v/>
      </c>
      <c r="BS1392" s="304" t="str">
        <f t="shared" si="853"/>
        <v/>
      </c>
      <c r="BT1392" s="28"/>
      <c r="BU1392" s="304" t="str">
        <f t="shared" si="854"/>
        <v/>
      </c>
      <c r="BV1392" s="304" t="str">
        <f t="shared" si="854"/>
        <v/>
      </c>
      <c r="BW1392" s="28"/>
      <c r="BX1392" s="91"/>
    </row>
    <row r="1393" spans="1:76" s="55" customFormat="1" x14ac:dyDescent="0.25">
      <c r="A1393" s="195">
        <v>64</v>
      </c>
      <c r="B1393" s="216" t="str">
        <f t="shared" si="830"/>
        <v>Latin America: FAO. 2017. Reducing Enteric Methane for improving food security and livelihoods</v>
      </c>
      <c r="C1393" s="219" t="s">
        <v>488</v>
      </c>
      <c r="D1393" s="379" t="s">
        <v>228</v>
      </c>
      <c r="E1393" s="329" t="s">
        <v>100</v>
      </c>
      <c r="F1393" s="341" t="s">
        <v>190</v>
      </c>
      <c r="G1393" s="220" t="s">
        <v>26</v>
      </c>
      <c r="H1393" s="221">
        <v>2017</v>
      </c>
      <c r="I1393" s="240"/>
      <c r="J1393" s="383">
        <f t="shared" si="831"/>
        <v>1.1070361445783106E-2</v>
      </c>
      <c r="K1393" s="382" t="s">
        <v>757</v>
      </c>
      <c r="L1393" s="395"/>
      <c r="M1393" s="335" t="str">
        <f>'[1]Advanced Controls'!$I$158</f>
        <v>t CH4-CO2eq per kg of protein</v>
      </c>
      <c r="N1393" s="238"/>
      <c r="O1393" s="227" t="s">
        <v>583</v>
      </c>
      <c r="P1393" s="122"/>
      <c r="Q1393" s="228"/>
      <c r="R1393" s="231">
        <f t="shared" si="843"/>
        <v>1.1070361445783106E-2</v>
      </c>
      <c r="S1393" s="230">
        <f t="shared" si="832"/>
        <v>1.1070361445783106E-2</v>
      </c>
      <c r="T1393" s="231">
        <f t="shared" si="845"/>
        <v>0</v>
      </c>
      <c r="U1393" s="232" t="str">
        <f t="shared" si="833"/>
        <v>t CH4-CO2eq per kg of protein</v>
      </c>
      <c r="V1393" s="28"/>
      <c r="W1393" s="28"/>
      <c r="Y1393" s="91"/>
      <c r="AO1393" s="91"/>
      <c r="AP1393" s="28"/>
      <c r="AQ1393" s="28"/>
      <c r="AR1393" s="237"/>
      <c r="AS1393" s="28"/>
      <c r="AT1393" s="304" t="str">
        <f t="shared" si="855"/>
        <v/>
      </c>
      <c r="AU1393" s="304" t="str">
        <f t="shared" si="855"/>
        <v/>
      </c>
      <c r="AV1393" s="28"/>
      <c r="AW1393" s="304" t="str">
        <f t="shared" si="846"/>
        <v/>
      </c>
      <c r="AX1393" s="304" t="str">
        <f t="shared" si="846"/>
        <v/>
      </c>
      <c r="AY1393" s="28"/>
      <c r="AZ1393" s="304" t="str">
        <f t="shared" si="847"/>
        <v/>
      </c>
      <c r="BA1393" s="304" t="str">
        <f t="shared" si="847"/>
        <v/>
      </c>
      <c r="BB1393" s="28"/>
      <c r="BC1393" s="304" t="str">
        <f t="shared" si="848"/>
        <v/>
      </c>
      <c r="BD1393" s="304" t="str">
        <f t="shared" si="848"/>
        <v/>
      </c>
      <c r="BE1393" s="28"/>
      <c r="BF1393" s="304" t="str">
        <f t="shared" si="849"/>
        <v/>
      </c>
      <c r="BG1393" s="304" t="str">
        <f t="shared" si="849"/>
        <v/>
      </c>
      <c r="BH1393" s="28"/>
      <c r="BI1393" s="304">
        <f t="shared" si="850"/>
        <v>1.1070361445783106E-2</v>
      </c>
      <c r="BJ1393" s="304">
        <f t="shared" si="850"/>
        <v>1.1070361445783106E-2</v>
      </c>
      <c r="BK1393" s="28"/>
      <c r="BL1393" s="304" t="str">
        <f t="shared" si="851"/>
        <v/>
      </c>
      <c r="BM1393" s="304" t="str">
        <f t="shared" si="851"/>
        <v/>
      </c>
      <c r="BN1393" s="28"/>
      <c r="BO1393" s="304" t="str">
        <f t="shared" si="852"/>
        <v/>
      </c>
      <c r="BP1393" s="304" t="str">
        <f t="shared" si="852"/>
        <v/>
      </c>
      <c r="BQ1393" s="28"/>
      <c r="BR1393" s="304" t="str">
        <f t="shared" si="853"/>
        <v/>
      </c>
      <c r="BS1393" s="304" t="str">
        <f t="shared" si="853"/>
        <v/>
      </c>
      <c r="BT1393" s="28"/>
      <c r="BU1393" s="304" t="str">
        <f t="shared" si="854"/>
        <v/>
      </c>
      <c r="BV1393" s="304" t="str">
        <f t="shared" si="854"/>
        <v/>
      </c>
      <c r="BW1393" s="28"/>
      <c r="BX1393" s="91"/>
    </row>
    <row r="1394" spans="1:76" s="55" customFormat="1" x14ac:dyDescent="0.25">
      <c r="A1394" s="195">
        <v>65</v>
      </c>
      <c r="B1394" s="216" t="str">
        <f t="shared" ref="B1394:B1457" si="856">CONCATENATE(E1394,": ",C1394)</f>
        <v>Latin America: FAO. 2017. Reducing Enteric Methane for improving food security and livelihoods</v>
      </c>
      <c r="C1394" s="219" t="s">
        <v>488</v>
      </c>
      <c r="D1394" s="379" t="s">
        <v>228</v>
      </c>
      <c r="E1394" s="329" t="s">
        <v>100</v>
      </c>
      <c r="F1394" s="341" t="s">
        <v>190</v>
      </c>
      <c r="G1394" s="220" t="s">
        <v>26</v>
      </c>
      <c r="H1394" s="221">
        <v>2017</v>
      </c>
      <c r="I1394" s="240"/>
      <c r="J1394" s="383">
        <f t="shared" ref="J1394:J1413" si="857">L882-L982</f>
        <v>1.709108433734946E-2</v>
      </c>
      <c r="K1394" s="382" t="s">
        <v>757</v>
      </c>
      <c r="L1394" s="395"/>
      <c r="M1394" s="335" t="str">
        <f>'[1]Advanced Controls'!$I$158</f>
        <v>t CH4-CO2eq per kg of protein</v>
      </c>
      <c r="N1394" s="238"/>
      <c r="O1394" s="227" t="s">
        <v>584</v>
      </c>
      <c r="P1394" s="122"/>
      <c r="Q1394" s="228"/>
      <c r="R1394" s="231">
        <f t="shared" si="843"/>
        <v>1.709108433734946E-2</v>
      </c>
      <c r="S1394" s="230">
        <f t="shared" ref="S1394:S1424" si="858">IF(R1394="","",IF($R$1433="Y",T1394,IF(R1394&gt;=$R$1425-$AA$35*$R$1429,IF(R1394&lt;=$R$1425+$AA$35*$R$1429,R1394,""),"")))</f>
        <v>1.709108433734946E-2</v>
      </c>
      <c r="T1394" s="231">
        <f t="shared" si="845"/>
        <v>0</v>
      </c>
      <c r="U1394" s="232" t="str">
        <f t="shared" ref="U1394:U1457" si="859">IF(AND(M1394="",K1394=""),"",IF(M1394="",K1394,M1394))</f>
        <v>t CH4-CO2eq per kg of protein</v>
      </c>
      <c r="V1394" s="28"/>
      <c r="W1394" s="28"/>
      <c r="Y1394" s="91"/>
      <c r="AO1394" s="91"/>
      <c r="AP1394" s="28"/>
      <c r="AQ1394" s="28"/>
      <c r="AR1394" s="237"/>
      <c r="AS1394" s="28"/>
      <c r="AT1394" s="304" t="str">
        <f t="shared" si="855"/>
        <v/>
      </c>
      <c r="AU1394" s="304" t="str">
        <f t="shared" si="855"/>
        <v/>
      </c>
      <c r="AV1394" s="28"/>
      <c r="AW1394" s="304" t="str">
        <f t="shared" si="846"/>
        <v/>
      </c>
      <c r="AX1394" s="304" t="str">
        <f t="shared" si="846"/>
        <v/>
      </c>
      <c r="AY1394" s="28"/>
      <c r="AZ1394" s="304" t="str">
        <f t="shared" si="847"/>
        <v/>
      </c>
      <c r="BA1394" s="304" t="str">
        <f t="shared" si="847"/>
        <v/>
      </c>
      <c r="BB1394" s="28"/>
      <c r="BC1394" s="304" t="str">
        <f t="shared" si="848"/>
        <v/>
      </c>
      <c r="BD1394" s="304" t="str">
        <f t="shared" si="848"/>
        <v/>
      </c>
      <c r="BE1394" s="28"/>
      <c r="BF1394" s="304" t="str">
        <f t="shared" si="849"/>
        <v/>
      </c>
      <c r="BG1394" s="304" t="str">
        <f t="shared" si="849"/>
        <v/>
      </c>
      <c r="BH1394" s="28"/>
      <c r="BI1394" s="304">
        <f t="shared" si="850"/>
        <v>1.709108433734946E-2</v>
      </c>
      <c r="BJ1394" s="304">
        <f t="shared" si="850"/>
        <v>1.709108433734946E-2</v>
      </c>
      <c r="BK1394" s="28"/>
      <c r="BL1394" s="304" t="str">
        <f t="shared" si="851"/>
        <v/>
      </c>
      <c r="BM1394" s="304" t="str">
        <f t="shared" si="851"/>
        <v/>
      </c>
      <c r="BN1394" s="28"/>
      <c r="BO1394" s="304" t="str">
        <f t="shared" si="852"/>
        <v/>
      </c>
      <c r="BP1394" s="304" t="str">
        <f t="shared" si="852"/>
        <v/>
      </c>
      <c r="BQ1394" s="28"/>
      <c r="BR1394" s="304" t="str">
        <f t="shared" si="853"/>
        <v/>
      </c>
      <c r="BS1394" s="304" t="str">
        <f t="shared" si="853"/>
        <v/>
      </c>
      <c r="BT1394" s="28"/>
      <c r="BU1394" s="304" t="str">
        <f t="shared" si="854"/>
        <v/>
      </c>
      <c r="BV1394" s="304" t="str">
        <f t="shared" si="854"/>
        <v/>
      </c>
      <c r="BW1394" s="28"/>
      <c r="BX1394" s="91"/>
    </row>
    <row r="1395" spans="1:76" s="55" customFormat="1" x14ac:dyDescent="0.25">
      <c r="A1395" s="195">
        <v>66</v>
      </c>
      <c r="B1395" s="216" t="str">
        <f t="shared" si="856"/>
        <v>Latin America: FAO. 2017. Reducing Enteric Methane for improving food security and livelihoods</v>
      </c>
      <c r="C1395" s="219" t="s">
        <v>488</v>
      </c>
      <c r="D1395" s="379" t="s">
        <v>228</v>
      </c>
      <c r="E1395" s="329" t="s">
        <v>100</v>
      </c>
      <c r="F1395" s="341" t="s">
        <v>190</v>
      </c>
      <c r="G1395" s="220" t="s">
        <v>26</v>
      </c>
      <c r="H1395" s="221">
        <v>2017</v>
      </c>
      <c r="I1395" s="240"/>
      <c r="J1395" s="383">
        <f t="shared" si="857"/>
        <v>9.9498795180722882E-3</v>
      </c>
      <c r="K1395" s="382" t="s">
        <v>757</v>
      </c>
      <c r="L1395" s="395"/>
      <c r="M1395" s="335" t="str">
        <f>'[1]Advanced Controls'!$I$158</f>
        <v>t CH4-CO2eq per kg of protein</v>
      </c>
      <c r="N1395" s="238"/>
      <c r="O1395" s="227" t="s">
        <v>585</v>
      </c>
      <c r="P1395" s="122"/>
      <c r="Q1395" s="228"/>
      <c r="R1395" s="231">
        <f t="shared" ref="R1395:R1458" si="860">IF(Q1395="Y","",IF(AND(L1395="",J1395=""),"",IF(L1395="",J1395,L1395)))</f>
        <v>9.9498795180722882E-3</v>
      </c>
      <c r="S1395" s="230">
        <f t="shared" si="858"/>
        <v>9.9498795180722882E-3</v>
      </c>
      <c r="T1395" s="231">
        <f t="shared" si="845"/>
        <v>0</v>
      </c>
      <c r="U1395" s="232" t="str">
        <f t="shared" si="859"/>
        <v>t CH4-CO2eq per kg of protein</v>
      </c>
      <c r="V1395" s="28"/>
      <c r="W1395" s="28"/>
      <c r="Y1395" s="91"/>
      <c r="AO1395" s="91"/>
      <c r="AP1395" s="28"/>
      <c r="AQ1395" s="28"/>
      <c r="AR1395" s="237"/>
      <c r="AS1395" s="28"/>
      <c r="AT1395" s="304" t="str">
        <f t="shared" si="855"/>
        <v/>
      </c>
      <c r="AU1395" s="304" t="str">
        <f t="shared" si="855"/>
        <v/>
      </c>
      <c r="AV1395" s="28"/>
      <c r="AW1395" s="304" t="str">
        <f t="shared" si="846"/>
        <v/>
      </c>
      <c r="AX1395" s="304" t="str">
        <f t="shared" si="846"/>
        <v/>
      </c>
      <c r="AY1395" s="28"/>
      <c r="AZ1395" s="304" t="str">
        <f t="shared" si="847"/>
        <v/>
      </c>
      <c r="BA1395" s="304" t="str">
        <f t="shared" si="847"/>
        <v/>
      </c>
      <c r="BB1395" s="28"/>
      <c r="BC1395" s="304" t="str">
        <f t="shared" si="848"/>
        <v/>
      </c>
      <c r="BD1395" s="304" t="str">
        <f t="shared" si="848"/>
        <v/>
      </c>
      <c r="BE1395" s="28"/>
      <c r="BF1395" s="304" t="str">
        <f t="shared" si="849"/>
        <v/>
      </c>
      <c r="BG1395" s="304" t="str">
        <f t="shared" si="849"/>
        <v/>
      </c>
      <c r="BH1395" s="28"/>
      <c r="BI1395" s="304">
        <f t="shared" si="850"/>
        <v>9.9498795180722882E-3</v>
      </c>
      <c r="BJ1395" s="304">
        <f t="shared" si="850"/>
        <v>9.9498795180722882E-3</v>
      </c>
      <c r="BK1395" s="28"/>
      <c r="BL1395" s="304" t="str">
        <f t="shared" si="851"/>
        <v/>
      </c>
      <c r="BM1395" s="304" t="str">
        <f t="shared" si="851"/>
        <v/>
      </c>
      <c r="BN1395" s="28"/>
      <c r="BO1395" s="304" t="str">
        <f t="shared" si="852"/>
        <v/>
      </c>
      <c r="BP1395" s="304" t="str">
        <f t="shared" si="852"/>
        <v/>
      </c>
      <c r="BQ1395" s="28"/>
      <c r="BR1395" s="304" t="str">
        <f t="shared" si="853"/>
        <v/>
      </c>
      <c r="BS1395" s="304" t="str">
        <f t="shared" si="853"/>
        <v/>
      </c>
      <c r="BT1395" s="28"/>
      <c r="BU1395" s="304" t="str">
        <f t="shared" si="854"/>
        <v/>
      </c>
      <c r="BV1395" s="304" t="str">
        <f t="shared" si="854"/>
        <v/>
      </c>
      <c r="BW1395" s="28"/>
      <c r="BX1395" s="91"/>
    </row>
    <row r="1396" spans="1:76" s="55" customFormat="1" x14ac:dyDescent="0.25">
      <c r="A1396" s="195">
        <v>67</v>
      </c>
      <c r="B1396" s="216" t="str">
        <f t="shared" si="856"/>
        <v>Latin America: FAO. 2017. Reducing Enteric Methane for improving food security and livelihoods</v>
      </c>
      <c r="C1396" s="219" t="s">
        <v>488</v>
      </c>
      <c r="D1396" s="379" t="s">
        <v>228</v>
      </c>
      <c r="E1396" s="329" t="s">
        <v>100</v>
      </c>
      <c r="F1396" s="341" t="s">
        <v>190</v>
      </c>
      <c r="G1396" s="220" t="s">
        <v>26</v>
      </c>
      <c r="H1396" s="221">
        <v>2017</v>
      </c>
      <c r="I1396" s="240"/>
      <c r="J1396" s="383">
        <f t="shared" si="857"/>
        <v>1.2405975903614454E-2</v>
      </c>
      <c r="K1396" s="382" t="s">
        <v>757</v>
      </c>
      <c r="L1396" s="395"/>
      <c r="M1396" s="335" t="str">
        <f>'[1]Advanced Controls'!$I$158</f>
        <v>t CH4-CO2eq per kg of protein</v>
      </c>
      <c r="N1396" s="238"/>
      <c r="O1396" s="227" t="s">
        <v>586</v>
      </c>
      <c r="P1396" s="122"/>
      <c r="Q1396" s="228"/>
      <c r="R1396" s="231">
        <f t="shared" si="860"/>
        <v>1.2405975903614454E-2</v>
      </c>
      <c r="S1396" s="230">
        <f t="shared" si="858"/>
        <v>1.2405975903614454E-2</v>
      </c>
      <c r="T1396" s="231">
        <f t="shared" ref="T1396:T1424" si="861">IF(OR(Q1396="Y",IFERROR(R1396&gt;R1490+R1494*$AA$35,0),IFERROR(R1396&lt;R1490-R1494*$AA$35,0)),"",IFERROR(R1396*N1396,""))</f>
        <v>0</v>
      </c>
      <c r="U1396" s="232" t="str">
        <f t="shared" si="859"/>
        <v>t CH4-CO2eq per kg of protein</v>
      </c>
      <c r="V1396" s="28"/>
      <c r="W1396" s="28"/>
      <c r="Y1396" s="91"/>
      <c r="AO1396" s="91"/>
      <c r="AP1396" s="28"/>
      <c r="AQ1396" s="28"/>
      <c r="AR1396" s="237"/>
      <c r="AS1396" s="28"/>
      <c r="AT1396" s="304" t="str">
        <f t="shared" si="855"/>
        <v/>
      </c>
      <c r="AU1396" s="304" t="str">
        <f t="shared" si="855"/>
        <v/>
      </c>
      <c r="AV1396" s="28"/>
      <c r="AW1396" s="304" t="str">
        <f t="shared" si="846"/>
        <v/>
      </c>
      <c r="AX1396" s="304" t="str">
        <f t="shared" si="846"/>
        <v/>
      </c>
      <c r="AY1396" s="28"/>
      <c r="AZ1396" s="304" t="str">
        <f t="shared" si="847"/>
        <v/>
      </c>
      <c r="BA1396" s="304" t="str">
        <f t="shared" si="847"/>
        <v/>
      </c>
      <c r="BB1396" s="28"/>
      <c r="BC1396" s="304" t="str">
        <f t="shared" si="848"/>
        <v/>
      </c>
      <c r="BD1396" s="304" t="str">
        <f t="shared" si="848"/>
        <v/>
      </c>
      <c r="BE1396" s="28"/>
      <c r="BF1396" s="304" t="str">
        <f t="shared" si="849"/>
        <v/>
      </c>
      <c r="BG1396" s="304" t="str">
        <f t="shared" si="849"/>
        <v/>
      </c>
      <c r="BH1396" s="28"/>
      <c r="BI1396" s="304">
        <f t="shared" si="850"/>
        <v>1.2405975903614454E-2</v>
      </c>
      <c r="BJ1396" s="304">
        <f t="shared" si="850"/>
        <v>1.2405975903614454E-2</v>
      </c>
      <c r="BK1396" s="28"/>
      <c r="BL1396" s="304" t="str">
        <f t="shared" si="851"/>
        <v/>
      </c>
      <c r="BM1396" s="304" t="str">
        <f t="shared" si="851"/>
        <v/>
      </c>
      <c r="BN1396" s="28"/>
      <c r="BO1396" s="304" t="str">
        <f t="shared" si="852"/>
        <v/>
      </c>
      <c r="BP1396" s="304" t="str">
        <f t="shared" si="852"/>
        <v/>
      </c>
      <c r="BQ1396" s="28"/>
      <c r="BR1396" s="304" t="str">
        <f t="shared" si="853"/>
        <v/>
      </c>
      <c r="BS1396" s="304" t="str">
        <f t="shared" si="853"/>
        <v/>
      </c>
      <c r="BT1396" s="28"/>
      <c r="BU1396" s="304" t="str">
        <f t="shared" si="854"/>
        <v/>
      </c>
      <c r="BV1396" s="304" t="str">
        <f t="shared" si="854"/>
        <v/>
      </c>
      <c r="BW1396" s="28"/>
      <c r="BX1396" s="91"/>
    </row>
    <row r="1397" spans="1:76" s="55" customFormat="1" x14ac:dyDescent="0.25">
      <c r="A1397" s="195">
        <v>68</v>
      </c>
      <c r="B1397" s="216" t="str">
        <f t="shared" si="856"/>
        <v>Latin America: FAO. 2017. Reducing Enteric Methane for improving food security and livelihoods</v>
      </c>
      <c r="C1397" s="219" t="s">
        <v>488</v>
      </c>
      <c r="D1397" s="379" t="s">
        <v>228</v>
      </c>
      <c r="E1397" s="329" t="s">
        <v>100</v>
      </c>
      <c r="F1397" s="341" t="s">
        <v>190</v>
      </c>
      <c r="G1397" s="220" t="s">
        <v>26</v>
      </c>
      <c r="H1397" s="221">
        <v>2017</v>
      </c>
      <c r="I1397" s="240"/>
      <c r="J1397" s="383">
        <f t="shared" si="857"/>
        <v>1.8562650602409629E-2</v>
      </c>
      <c r="K1397" s="382" t="s">
        <v>757</v>
      </c>
      <c r="L1397" s="395"/>
      <c r="M1397" s="335" t="str">
        <f>'[1]Advanced Controls'!$I$158</f>
        <v>t CH4-CO2eq per kg of protein</v>
      </c>
      <c r="N1397" s="238"/>
      <c r="O1397" s="227" t="s">
        <v>587</v>
      </c>
      <c r="P1397" s="122"/>
      <c r="Q1397" s="228"/>
      <c r="R1397" s="231">
        <f t="shared" si="860"/>
        <v>1.8562650602409629E-2</v>
      </c>
      <c r="S1397" s="230">
        <f t="shared" si="858"/>
        <v>1.8562650602409629E-2</v>
      </c>
      <c r="T1397" s="231">
        <f t="shared" si="861"/>
        <v>0</v>
      </c>
      <c r="U1397" s="232" t="str">
        <f t="shared" si="859"/>
        <v>t CH4-CO2eq per kg of protein</v>
      </c>
      <c r="V1397" s="28"/>
      <c r="W1397" s="28"/>
      <c r="Y1397" s="91"/>
      <c r="AO1397" s="91"/>
      <c r="AP1397" s="28"/>
      <c r="AQ1397" s="28"/>
      <c r="AR1397" s="237"/>
      <c r="AS1397" s="28"/>
      <c r="AT1397" s="304" t="str">
        <f t="shared" si="855"/>
        <v/>
      </c>
      <c r="AU1397" s="304" t="str">
        <f t="shared" si="855"/>
        <v/>
      </c>
      <c r="AV1397" s="28"/>
      <c r="AW1397" s="304" t="str">
        <f t="shared" si="846"/>
        <v/>
      </c>
      <c r="AX1397" s="304" t="str">
        <f t="shared" si="846"/>
        <v/>
      </c>
      <c r="AY1397" s="28"/>
      <c r="AZ1397" s="304" t="str">
        <f t="shared" si="847"/>
        <v/>
      </c>
      <c r="BA1397" s="304" t="str">
        <f t="shared" si="847"/>
        <v/>
      </c>
      <c r="BB1397" s="28"/>
      <c r="BC1397" s="304" t="str">
        <f t="shared" si="848"/>
        <v/>
      </c>
      <c r="BD1397" s="304" t="str">
        <f t="shared" si="848"/>
        <v/>
      </c>
      <c r="BE1397" s="28"/>
      <c r="BF1397" s="304" t="str">
        <f t="shared" si="849"/>
        <v/>
      </c>
      <c r="BG1397" s="304" t="str">
        <f t="shared" si="849"/>
        <v/>
      </c>
      <c r="BH1397" s="28"/>
      <c r="BI1397" s="304">
        <f t="shared" si="850"/>
        <v>1.8562650602409629E-2</v>
      </c>
      <c r="BJ1397" s="304">
        <f t="shared" si="850"/>
        <v>1.8562650602409629E-2</v>
      </c>
      <c r="BK1397" s="28"/>
      <c r="BL1397" s="304" t="str">
        <f t="shared" si="851"/>
        <v/>
      </c>
      <c r="BM1397" s="304" t="str">
        <f t="shared" si="851"/>
        <v/>
      </c>
      <c r="BN1397" s="28"/>
      <c r="BO1397" s="304" t="str">
        <f t="shared" si="852"/>
        <v/>
      </c>
      <c r="BP1397" s="304" t="str">
        <f t="shared" si="852"/>
        <v/>
      </c>
      <c r="BQ1397" s="28"/>
      <c r="BR1397" s="304" t="str">
        <f t="shared" si="853"/>
        <v/>
      </c>
      <c r="BS1397" s="304" t="str">
        <f t="shared" si="853"/>
        <v/>
      </c>
      <c r="BT1397" s="28"/>
      <c r="BU1397" s="304" t="str">
        <f t="shared" si="854"/>
        <v/>
      </c>
      <c r="BV1397" s="304" t="str">
        <f t="shared" si="854"/>
        <v/>
      </c>
      <c r="BW1397" s="28"/>
      <c r="BX1397" s="91"/>
    </row>
    <row r="1398" spans="1:76" s="55" customFormat="1" x14ac:dyDescent="0.25">
      <c r="A1398" s="195">
        <v>69</v>
      </c>
      <c r="B1398" s="216" t="str">
        <f t="shared" si="856"/>
        <v>Latin America: FAO. 2017. Reducing Enteric Methane for improving food security and livelihoods</v>
      </c>
      <c r="C1398" s="219" t="s">
        <v>488</v>
      </c>
      <c r="D1398" s="379" t="s">
        <v>228</v>
      </c>
      <c r="E1398" s="329" t="s">
        <v>100</v>
      </c>
      <c r="F1398" s="341" t="s">
        <v>190</v>
      </c>
      <c r="G1398" s="220" t="s">
        <v>26</v>
      </c>
      <c r="H1398" s="221">
        <v>2017</v>
      </c>
      <c r="I1398" s="240"/>
      <c r="J1398" s="383">
        <f t="shared" si="857"/>
        <v>1.5059277108433744E-3</v>
      </c>
      <c r="K1398" s="382" t="s">
        <v>757</v>
      </c>
      <c r="L1398" s="395"/>
      <c r="M1398" s="335" t="str">
        <f>'[1]Advanced Controls'!$I$158</f>
        <v>t CH4-CO2eq per kg of protein</v>
      </c>
      <c r="N1398" s="238"/>
      <c r="O1398" s="227" t="s">
        <v>588</v>
      </c>
      <c r="P1398" s="122"/>
      <c r="Q1398" s="228"/>
      <c r="R1398" s="231">
        <f t="shared" si="860"/>
        <v>1.5059277108433744E-3</v>
      </c>
      <c r="S1398" s="230">
        <f t="shared" si="858"/>
        <v>1.5059277108433744E-3</v>
      </c>
      <c r="T1398" s="231">
        <f t="shared" si="861"/>
        <v>0</v>
      </c>
      <c r="U1398" s="232" t="str">
        <f t="shared" si="859"/>
        <v>t CH4-CO2eq per kg of protein</v>
      </c>
      <c r="V1398" s="28"/>
      <c r="W1398" s="28"/>
      <c r="Y1398" s="91"/>
      <c r="AO1398" s="91"/>
      <c r="AP1398" s="28"/>
      <c r="AQ1398" s="28"/>
      <c r="AR1398" s="237"/>
      <c r="AS1398" s="28"/>
      <c r="AT1398" s="304" t="str">
        <f t="shared" si="855"/>
        <v/>
      </c>
      <c r="AU1398" s="304" t="str">
        <f t="shared" si="855"/>
        <v/>
      </c>
      <c r="AV1398" s="28"/>
      <c r="AW1398" s="304" t="str">
        <f t="shared" si="846"/>
        <v/>
      </c>
      <c r="AX1398" s="304" t="str">
        <f t="shared" si="846"/>
        <v/>
      </c>
      <c r="AY1398" s="28"/>
      <c r="AZ1398" s="304" t="str">
        <f t="shared" si="847"/>
        <v/>
      </c>
      <c r="BA1398" s="304" t="str">
        <f t="shared" si="847"/>
        <v/>
      </c>
      <c r="BB1398" s="28"/>
      <c r="BC1398" s="304" t="str">
        <f t="shared" si="848"/>
        <v/>
      </c>
      <c r="BD1398" s="304" t="str">
        <f t="shared" si="848"/>
        <v/>
      </c>
      <c r="BE1398" s="28"/>
      <c r="BF1398" s="304" t="str">
        <f t="shared" si="849"/>
        <v/>
      </c>
      <c r="BG1398" s="304" t="str">
        <f t="shared" si="849"/>
        <v/>
      </c>
      <c r="BH1398" s="28"/>
      <c r="BI1398" s="304">
        <f t="shared" si="850"/>
        <v>1.5059277108433744E-3</v>
      </c>
      <c r="BJ1398" s="304">
        <f t="shared" si="850"/>
        <v>1.5059277108433744E-3</v>
      </c>
      <c r="BK1398" s="28"/>
      <c r="BL1398" s="304" t="str">
        <f t="shared" si="851"/>
        <v/>
      </c>
      <c r="BM1398" s="304" t="str">
        <f t="shared" si="851"/>
        <v/>
      </c>
      <c r="BN1398" s="28"/>
      <c r="BO1398" s="304" t="str">
        <f t="shared" si="852"/>
        <v/>
      </c>
      <c r="BP1398" s="304" t="str">
        <f t="shared" si="852"/>
        <v/>
      </c>
      <c r="BQ1398" s="28"/>
      <c r="BR1398" s="304" t="str">
        <f t="shared" si="853"/>
        <v/>
      </c>
      <c r="BS1398" s="304" t="str">
        <f t="shared" si="853"/>
        <v/>
      </c>
      <c r="BT1398" s="28"/>
      <c r="BU1398" s="304" t="str">
        <f t="shared" si="854"/>
        <v/>
      </c>
      <c r="BV1398" s="304" t="str">
        <f t="shared" si="854"/>
        <v/>
      </c>
      <c r="BW1398" s="28"/>
      <c r="BX1398" s="91"/>
    </row>
    <row r="1399" spans="1:76" s="55" customFormat="1" x14ac:dyDescent="0.25">
      <c r="A1399" s="195">
        <v>70</v>
      </c>
      <c r="B1399" s="216" t="str">
        <f t="shared" si="856"/>
        <v>Latin America: FAO. 2017. Reducing Enteric Methane for improving food security and livelihoods</v>
      </c>
      <c r="C1399" s="219" t="s">
        <v>488</v>
      </c>
      <c r="D1399" s="379" t="s">
        <v>228</v>
      </c>
      <c r="E1399" s="329" t="s">
        <v>100</v>
      </c>
      <c r="F1399" s="341" t="s">
        <v>190</v>
      </c>
      <c r="G1399" s="220" t="s">
        <v>26</v>
      </c>
      <c r="H1399" s="221">
        <v>2017</v>
      </c>
      <c r="I1399" s="240"/>
      <c r="J1399" s="383">
        <f t="shared" si="857"/>
        <v>-2.3807999999999982E-2</v>
      </c>
      <c r="K1399" s="382" t="s">
        <v>757</v>
      </c>
      <c r="L1399" s="395"/>
      <c r="M1399" s="335" t="str">
        <f>'[1]Advanced Controls'!$I$158</f>
        <v>t CH4-CO2eq per kg of protein</v>
      </c>
      <c r="N1399" s="238"/>
      <c r="O1399" s="227" t="s">
        <v>589</v>
      </c>
      <c r="P1399" s="122"/>
      <c r="Q1399" s="228"/>
      <c r="R1399" s="231">
        <f t="shared" si="860"/>
        <v>-2.3807999999999982E-2</v>
      </c>
      <c r="S1399" s="230">
        <f t="shared" si="858"/>
        <v>-2.3807999999999982E-2</v>
      </c>
      <c r="T1399" s="231">
        <f t="shared" si="861"/>
        <v>0</v>
      </c>
      <c r="U1399" s="232" t="str">
        <f t="shared" si="859"/>
        <v>t CH4-CO2eq per kg of protein</v>
      </c>
      <c r="V1399" s="28"/>
      <c r="W1399" s="28"/>
      <c r="Y1399" s="91"/>
      <c r="AO1399" s="91"/>
      <c r="AP1399" s="28"/>
      <c r="AQ1399" s="28"/>
      <c r="AR1399" s="237"/>
      <c r="AS1399" s="28"/>
      <c r="AT1399" s="304" t="str">
        <f t="shared" si="855"/>
        <v/>
      </c>
      <c r="AU1399" s="304" t="str">
        <f t="shared" si="855"/>
        <v/>
      </c>
      <c r="AV1399" s="28"/>
      <c r="AW1399" s="304" t="str">
        <f t="shared" si="846"/>
        <v/>
      </c>
      <c r="AX1399" s="304" t="str">
        <f t="shared" si="846"/>
        <v/>
      </c>
      <c r="AY1399" s="28"/>
      <c r="AZ1399" s="304" t="str">
        <f t="shared" si="847"/>
        <v/>
      </c>
      <c r="BA1399" s="304" t="str">
        <f t="shared" si="847"/>
        <v/>
      </c>
      <c r="BB1399" s="28"/>
      <c r="BC1399" s="304" t="str">
        <f t="shared" si="848"/>
        <v/>
      </c>
      <c r="BD1399" s="304" t="str">
        <f t="shared" si="848"/>
        <v/>
      </c>
      <c r="BE1399" s="28"/>
      <c r="BF1399" s="304" t="str">
        <f t="shared" si="849"/>
        <v/>
      </c>
      <c r="BG1399" s="304" t="str">
        <f t="shared" si="849"/>
        <v/>
      </c>
      <c r="BH1399" s="28"/>
      <c r="BI1399" s="304">
        <f t="shared" si="850"/>
        <v>-2.3807999999999982E-2</v>
      </c>
      <c r="BJ1399" s="304">
        <f t="shared" si="850"/>
        <v>-2.3807999999999982E-2</v>
      </c>
      <c r="BK1399" s="28"/>
      <c r="BL1399" s="304" t="str">
        <f t="shared" si="851"/>
        <v/>
      </c>
      <c r="BM1399" s="304" t="str">
        <f t="shared" si="851"/>
        <v/>
      </c>
      <c r="BN1399" s="28"/>
      <c r="BO1399" s="304" t="str">
        <f t="shared" si="852"/>
        <v/>
      </c>
      <c r="BP1399" s="304" t="str">
        <f t="shared" si="852"/>
        <v/>
      </c>
      <c r="BQ1399" s="28"/>
      <c r="BR1399" s="304" t="str">
        <f t="shared" si="853"/>
        <v/>
      </c>
      <c r="BS1399" s="304" t="str">
        <f t="shared" si="853"/>
        <v/>
      </c>
      <c r="BT1399" s="28"/>
      <c r="BU1399" s="304" t="str">
        <f t="shared" si="854"/>
        <v/>
      </c>
      <c r="BV1399" s="304" t="str">
        <f t="shared" si="854"/>
        <v/>
      </c>
      <c r="BW1399" s="28"/>
      <c r="BX1399" s="91"/>
    </row>
    <row r="1400" spans="1:76" s="55" customFormat="1" x14ac:dyDescent="0.25">
      <c r="A1400" s="195">
        <v>71</v>
      </c>
      <c r="B1400" s="216" t="str">
        <f t="shared" si="856"/>
        <v>Latin America: FAO. 2017. Reducing Enteric Methane for improving food security and livelihoods</v>
      </c>
      <c r="C1400" s="219" t="s">
        <v>488</v>
      </c>
      <c r="D1400" s="379" t="s">
        <v>228</v>
      </c>
      <c r="E1400" s="329" t="s">
        <v>100</v>
      </c>
      <c r="F1400" s="341" t="s">
        <v>190</v>
      </c>
      <c r="G1400" s="220" t="s">
        <v>26</v>
      </c>
      <c r="H1400" s="221">
        <v>2017</v>
      </c>
      <c r="I1400" s="240"/>
      <c r="J1400" s="383">
        <f t="shared" si="857"/>
        <v>4.5080722891566172E-3</v>
      </c>
      <c r="K1400" s="382" t="s">
        <v>757</v>
      </c>
      <c r="L1400" s="395"/>
      <c r="M1400" s="335" t="str">
        <f>'[1]Advanced Controls'!$I$158</f>
        <v>t CH4-CO2eq per kg of protein</v>
      </c>
      <c r="N1400" s="238"/>
      <c r="O1400" s="227" t="s">
        <v>590</v>
      </c>
      <c r="P1400" s="122"/>
      <c r="Q1400" s="228"/>
      <c r="R1400" s="231">
        <f t="shared" si="860"/>
        <v>4.5080722891566172E-3</v>
      </c>
      <c r="S1400" s="230">
        <f t="shared" si="858"/>
        <v>4.5080722891566172E-3</v>
      </c>
      <c r="T1400" s="231">
        <f t="shared" si="861"/>
        <v>0</v>
      </c>
      <c r="U1400" s="232" t="str">
        <f t="shared" si="859"/>
        <v>t CH4-CO2eq per kg of protein</v>
      </c>
      <c r="V1400" s="28"/>
      <c r="W1400" s="28"/>
      <c r="Y1400" s="91"/>
      <c r="AO1400" s="91"/>
      <c r="AP1400" s="28"/>
      <c r="AQ1400" s="28"/>
      <c r="AR1400" s="237"/>
      <c r="AS1400" s="28"/>
      <c r="AT1400" s="304" t="str">
        <f t="shared" si="855"/>
        <v/>
      </c>
      <c r="AU1400" s="304" t="str">
        <f t="shared" si="855"/>
        <v/>
      </c>
      <c r="AV1400" s="28"/>
      <c r="AW1400" s="304" t="str">
        <f t="shared" si="846"/>
        <v/>
      </c>
      <c r="AX1400" s="304" t="str">
        <f t="shared" si="846"/>
        <v/>
      </c>
      <c r="AY1400" s="28"/>
      <c r="AZ1400" s="304" t="str">
        <f t="shared" si="847"/>
        <v/>
      </c>
      <c r="BA1400" s="304" t="str">
        <f t="shared" si="847"/>
        <v/>
      </c>
      <c r="BB1400" s="28"/>
      <c r="BC1400" s="304" t="str">
        <f t="shared" si="848"/>
        <v/>
      </c>
      <c r="BD1400" s="304" t="str">
        <f t="shared" si="848"/>
        <v/>
      </c>
      <c r="BE1400" s="28"/>
      <c r="BF1400" s="304" t="str">
        <f t="shared" si="849"/>
        <v/>
      </c>
      <c r="BG1400" s="304" t="str">
        <f t="shared" si="849"/>
        <v/>
      </c>
      <c r="BH1400" s="28"/>
      <c r="BI1400" s="304">
        <f t="shared" si="850"/>
        <v>4.5080722891566172E-3</v>
      </c>
      <c r="BJ1400" s="304">
        <f t="shared" si="850"/>
        <v>4.5080722891566172E-3</v>
      </c>
      <c r="BK1400" s="28"/>
      <c r="BL1400" s="304" t="str">
        <f t="shared" si="851"/>
        <v/>
      </c>
      <c r="BM1400" s="304" t="str">
        <f t="shared" si="851"/>
        <v/>
      </c>
      <c r="BN1400" s="28"/>
      <c r="BO1400" s="304" t="str">
        <f t="shared" si="852"/>
        <v/>
      </c>
      <c r="BP1400" s="304" t="str">
        <f t="shared" si="852"/>
        <v/>
      </c>
      <c r="BQ1400" s="28"/>
      <c r="BR1400" s="304" t="str">
        <f t="shared" si="853"/>
        <v/>
      </c>
      <c r="BS1400" s="304" t="str">
        <f t="shared" si="853"/>
        <v/>
      </c>
      <c r="BT1400" s="28"/>
      <c r="BU1400" s="304" t="str">
        <f t="shared" si="854"/>
        <v/>
      </c>
      <c r="BV1400" s="304" t="str">
        <f t="shared" si="854"/>
        <v/>
      </c>
      <c r="BW1400" s="28"/>
      <c r="BX1400" s="91"/>
    </row>
    <row r="1401" spans="1:76" s="55" customFormat="1" x14ac:dyDescent="0.25">
      <c r="A1401" s="195">
        <v>72</v>
      </c>
      <c r="B1401" s="216" t="str">
        <f t="shared" si="856"/>
        <v>Latin America: FAO. 2017. Reducing Enteric Methane for improving food security and livelihoods</v>
      </c>
      <c r="C1401" s="219" t="s">
        <v>488</v>
      </c>
      <c r="D1401" s="379" t="s">
        <v>295</v>
      </c>
      <c r="E1401" s="329" t="s">
        <v>100</v>
      </c>
      <c r="F1401" s="341" t="s">
        <v>532</v>
      </c>
      <c r="G1401" s="220" t="s">
        <v>26</v>
      </c>
      <c r="H1401" s="221">
        <v>2017</v>
      </c>
      <c r="I1401" s="240"/>
      <c r="J1401" s="383">
        <f t="shared" si="857"/>
        <v>0.15035746987951809</v>
      </c>
      <c r="K1401" s="382" t="s">
        <v>757</v>
      </c>
      <c r="L1401" s="395"/>
      <c r="M1401" s="335" t="str">
        <f>'[1]Advanced Controls'!$I$158</f>
        <v>t CH4-CO2eq per kg of protein</v>
      </c>
      <c r="N1401" s="238"/>
      <c r="O1401" s="227" t="s">
        <v>591</v>
      </c>
      <c r="P1401" s="122"/>
      <c r="Q1401" s="228"/>
      <c r="R1401" s="231">
        <f t="shared" si="860"/>
        <v>0.15035746987951809</v>
      </c>
      <c r="S1401" s="230">
        <f t="shared" si="858"/>
        <v>0.15035746987951809</v>
      </c>
      <c r="T1401" s="231">
        <f t="shared" si="861"/>
        <v>0</v>
      </c>
      <c r="U1401" s="232" t="str">
        <f t="shared" si="859"/>
        <v>t CH4-CO2eq per kg of protein</v>
      </c>
      <c r="V1401" s="28"/>
      <c r="W1401" s="28"/>
      <c r="Y1401" s="91"/>
      <c r="AO1401" s="91"/>
      <c r="AP1401" s="28"/>
      <c r="AQ1401" s="28"/>
      <c r="AR1401" s="237"/>
      <c r="AS1401" s="28"/>
      <c r="AT1401" s="304" t="str">
        <f t="shared" si="855"/>
        <v/>
      </c>
      <c r="AU1401" s="304" t="str">
        <f t="shared" si="855"/>
        <v/>
      </c>
      <c r="AV1401" s="28"/>
      <c r="AW1401" s="304" t="str">
        <f t="shared" si="846"/>
        <v/>
      </c>
      <c r="AX1401" s="304" t="str">
        <f t="shared" si="846"/>
        <v/>
      </c>
      <c r="AY1401" s="28"/>
      <c r="AZ1401" s="304" t="str">
        <f t="shared" si="847"/>
        <v/>
      </c>
      <c r="BA1401" s="304" t="str">
        <f t="shared" si="847"/>
        <v/>
      </c>
      <c r="BB1401" s="28"/>
      <c r="BC1401" s="304" t="str">
        <f t="shared" si="848"/>
        <v/>
      </c>
      <c r="BD1401" s="304" t="str">
        <f t="shared" si="848"/>
        <v/>
      </c>
      <c r="BE1401" s="28"/>
      <c r="BF1401" s="304" t="str">
        <f t="shared" si="849"/>
        <v/>
      </c>
      <c r="BG1401" s="304" t="str">
        <f t="shared" si="849"/>
        <v/>
      </c>
      <c r="BH1401" s="28"/>
      <c r="BI1401" s="304">
        <f t="shared" si="850"/>
        <v>0.15035746987951809</v>
      </c>
      <c r="BJ1401" s="304">
        <f t="shared" si="850"/>
        <v>0.15035746987951809</v>
      </c>
      <c r="BK1401" s="28"/>
      <c r="BL1401" s="304" t="str">
        <f t="shared" si="851"/>
        <v/>
      </c>
      <c r="BM1401" s="304" t="str">
        <f t="shared" si="851"/>
        <v/>
      </c>
      <c r="BN1401" s="28"/>
      <c r="BO1401" s="304" t="str">
        <f t="shared" si="852"/>
        <v/>
      </c>
      <c r="BP1401" s="304" t="str">
        <f t="shared" si="852"/>
        <v/>
      </c>
      <c r="BQ1401" s="28"/>
      <c r="BR1401" s="304" t="str">
        <f t="shared" si="853"/>
        <v/>
      </c>
      <c r="BS1401" s="304" t="str">
        <f t="shared" si="853"/>
        <v/>
      </c>
      <c r="BT1401" s="28"/>
      <c r="BU1401" s="304" t="str">
        <f t="shared" si="854"/>
        <v/>
      </c>
      <c r="BV1401" s="304" t="str">
        <f t="shared" si="854"/>
        <v/>
      </c>
      <c r="BW1401" s="28"/>
      <c r="BX1401" s="91"/>
    </row>
    <row r="1402" spans="1:76" s="55" customFormat="1" x14ac:dyDescent="0.25">
      <c r="A1402" s="195">
        <v>73</v>
      </c>
      <c r="B1402" s="216" t="str">
        <f t="shared" si="856"/>
        <v>Latin America: FAO. 2017. Reducing Enteric Methane for improving food security and livelihoods</v>
      </c>
      <c r="C1402" s="219" t="s">
        <v>488</v>
      </c>
      <c r="D1402" s="379" t="s">
        <v>295</v>
      </c>
      <c r="E1402" s="329" t="s">
        <v>100</v>
      </c>
      <c r="F1402" s="341" t="s">
        <v>532</v>
      </c>
      <c r="G1402" s="220" t="s">
        <v>26</v>
      </c>
      <c r="H1402" s="221">
        <v>2017</v>
      </c>
      <c r="I1402" s="240"/>
      <c r="J1402" s="383">
        <f t="shared" si="857"/>
        <v>0.10448269879518073</v>
      </c>
      <c r="K1402" s="382" t="s">
        <v>757</v>
      </c>
      <c r="L1402" s="395"/>
      <c r="M1402" s="335" t="str">
        <f>'[1]Advanced Controls'!$I$158</f>
        <v>t CH4-CO2eq per kg of protein</v>
      </c>
      <c r="N1402" s="238"/>
      <c r="O1402" s="227" t="s">
        <v>592</v>
      </c>
      <c r="P1402" s="122"/>
      <c r="Q1402" s="228"/>
      <c r="R1402" s="231">
        <f t="shared" si="860"/>
        <v>0.10448269879518073</v>
      </c>
      <c r="S1402" s="230">
        <f t="shared" si="858"/>
        <v>0.10448269879518073</v>
      </c>
      <c r="T1402" s="231">
        <f t="shared" si="861"/>
        <v>0</v>
      </c>
      <c r="U1402" s="232" t="str">
        <f t="shared" si="859"/>
        <v>t CH4-CO2eq per kg of protein</v>
      </c>
      <c r="V1402" s="28"/>
      <c r="W1402" s="28"/>
      <c r="Y1402" s="91"/>
      <c r="AO1402" s="91"/>
      <c r="AP1402" s="28"/>
      <c r="AQ1402" s="28"/>
      <c r="AR1402" s="237"/>
      <c r="AS1402" s="28"/>
      <c r="AT1402" s="304" t="str">
        <f t="shared" si="855"/>
        <v/>
      </c>
      <c r="AU1402" s="304" t="str">
        <f t="shared" si="855"/>
        <v/>
      </c>
      <c r="AV1402" s="28"/>
      <c r="AW1402" s="304" t="str">
        <f t="shared" si="846"/>
        <v/>
      </c>
      <c r="AX1402" s="304" t="str">
        <f t="shared" si="846"/>
        <v/>
      </c>
      <c r="AY1402" s="28"/>
      <c r="AZ1402" s="304" t="str">
        <f t="shared" si="847"/>
        <v/>
      </c>
      <c r="BA1402" s="304" t="str">
        <f t="shared" si="847"/>
        <v/>
      </c>
      <c r="BB1402" s="28"/>
      <c r="BC1402" s="304" t="str">
        <f t="shared" si="848"/>
        <v/>
      </c>
      <c r="BD1402" s="304" t="str">
        <f t="shared" si="848"/>
        <v/>
      </c>
      <c r="BE1402" s="28"/>
      <c r="BF1402" s="304" t="str">
        <f t="shared" si="849"/>
        <v/>
      </c>
      <c r="BG1402" s="304" t="str">
        <f t="shared" si="849"/>
        <v/>
      </c>
      <c r="BH1402" s="28"/>
      <c r="BI1402" s="304">
        <f t="shared" si="850"/>
        <v>0.10448269879518073</v>
      </c>
      <c r="BJ1402" s="304">
        <f t="shared" si="850"/>
        <v>0.10448269879518073</v>
      </c>
      <c r="BK1402" s="28"/>
      <c r="BL1402" s="304" t="str">
        <f t="shared" si="851"/>
        <v/>
      </c>
      <c r="BM1402" s="304" t="str">
        <f t="shared" si="851"/>
        <v/>
      </c>
      <c r="BN1402" s="28"/>
      <c r="BO1402" s="304" t="str">
        <f t="shared" si="852"/>
        <v/>
      </c>
      <c r="BP1402" s="304" t="str">
        <f t="shared" si="852"/>
        <v/>
      </c>
      <c r="BQ1402" s="28"/>
      <c r="BR1402" s="304" t="str">
        <f t="shared" si="853"/>
        <v/>
      </c>
      <c r="BS1402" s="304" t="str">
        <f t="shared" si="853"/>
        <v/>
      </c>
      <c r="BT1402" s="28"/>
      <c r="BU1402" s="304" t="str">
        <f t="shared" si="854"/>
        <v/>
      </c>
      <c r="BV1402" s="304" t="str">
        <f t="shared" si="854"/>
        <v/>
      </c>
      <c r="BW1402" s="28"/>
      <c r="BX1402" s="91"/>
    </row>
    <row r="1403" spans="1:76" s="55" customFormat="1" x14ac:dyDescent="0.25">
      <c r="A1403" s="195">
        <v>74</v>
      </c>
      <c r="B1403" s="216" t="str">
        <f t="shared" si="856"/>
        <v>Latin America: FAO. 2017. Reducing Enteric Methane for improving food security and livelihoods</v>
      </c>
      <c r="C1403" s="219" t="s">
        <v>488</v>
      </c>
      <c r="D1403" s="379" t="s">
        <v>295</v>
      </c>
      <c r="E1403" s="329" t="s">
        <v>100</v>
      </c>
      <c r="F1403" s="341" t="s">
        <v>532</v>
      </c>
      <c r="G1403" s="220" t="s">
        <v>26</v>
      </c>
      <c r="H1403" s="221">
        <v>2017</v>
      </c>
      <c r="I1403" s="240"/>
      <c r="J1403" s="383">
        <f t="shared" si="857"/>
        <v>7.1666024096385561E-2</v>
      </c>
      <c r="K1403" s="382" t="s">
        <v>757</v>
      </c>
      <c r="L1403" s="395"/>
      <c r="M1403" s="335" t="str">
        <f>'[1]Advanced Controls'!$I$158</f>
        <v>t CH4-CO2eq per kg of protein</v>
      </c>
      <c r="N1403" s="238"/>
      <c r="O1403" s="227" t="s">
        <v>593</v>
      </c>
      <c r="P1403" s="122"/>
      <c r="Q1403" s="228"/>
      <c r="R1403" s="231">
        <f t="shared" si="860"/>
        <v>7.1666024096385561E-2</v>
      </c>
      <c r="S1403" s="230">
        <f t="shared" si="858"/>
        <v>7.1666024096385561E-2</v>
      </c>
      <c r="T1403" s="231">
        <f t="shared" si="861"/>
        <v>0</v>
      </c>
      <c r="U1403" s="232" t="str">
        <f t="shared" si="859"/>
        <v>t CH4-CO2eq per kg of protein</v>
      </c>
      <c r="V1403" s="28"/>
      <c r="W1403" s="28"/>
      <c r="Y1403" s="91"/>
      <c r="AO1403" s="91"/>
      <c r="AP1403" s="28"/>
      <c r="AQ1403" s="28"/>
      <c r="AR1403" s="237"/>
      <c r="AS1403" s="28"/>
      <c r="AT1403" s="304" t="str">
        <f t="shared" si="855"/>
        <v/>
      </c>
      <c r="AU1403" s="304" t="str">
        <f t="shared" si="855"/>
        <v/>
      </c>
      <c r="AV1403" s="28"/>
      <c r="AW1403" s="304" t="str">
        <f t="shared" si="846"/>
        <v/>
      </c>
      <c r="AX1403" s="304" t="str">
        <f t="shared" si="846"/>
        <v/>
      </c>
      <c r="AY1403" s="28"/>
      <c r="AZ1403" s="304" t="str">
        <f t="shared" si="847"/>
        <v/>
      </c>
      <c r="BA1403" s="304" t="str">
        <f t="shared" si="847"/>
        <v/>
      </c>
      <c r="BB1403" s="28"/>
      <c r="BC1403" s="304" t="str">
        <f t="shared" si="848"/>
        <v/>
      </c>
      <c r="BD1403" s="304" t="str">
        <f t="shared" si="848"/>
        <v/>
      </c>
      <c r="BE1403" s="28"/>
      <c r="BF1403" s="304" t="str">
        <f t="shared" si="849"/>
        <v/>
      </c>
      <c r="BG1403" s="304" t="str">
        <f t="shared" si="849"/>
        <v/>
      </c>
      <c r="BH1403" s="28"/>
      <c r="BI1403" s="304">
        <f t="shared" si="850"/>
        <v>7.1666024096385561E-2</v>
      </c>
      <c r="BJ1403" s="304">
        <f t="shared" si="850"/>
        <v>7.1666024096385561E-2</v>
      </c>
      <c r="BK1403" s="28"/>
      <c r="BL1403" s="304" t="str">
        <f t="shared" si="851"/>
        <v/>
      </c>
      <c r="BM1403" s="304" t="str">
        <f t="shared" si="851"/>
        <v/>
      </c>
      <c r="BN1403" s="28"/>
      <c r="BO1403" s="304" t="str">
        <f t="shared" si="852"/>
        <v/>
      </c>
      <c r="BP1403" s="304" t="str">
        <f t="shared" si="852"/>
        <v/>
      </c>
      <c r="BQ1403" s="28"/>
      <c r="BR1403" s="304" t="str">
        <f t="shared" si="853"/>
        <v/>
      </c>
      <c r="BS1403" s="304" t="str">
        <f t="shared" si="853"/>
        <v/>
      </c>
      <c r="BT1403" s="28"/>
      <c r="BU1403" s="304" t="str">
        <f t="shared" si="854"/>
        <v/>
      </c>
      <c r="BV1403" s="304" t="str">
        <f t="shared" si="854"/>
        <v/>
      </c>
      <c r="BW1403" s="28"/>
      <c r="BX1403" s="91"/>
    </row>
    <row r="1404" spans="1:76" s="55" customFormat="1" x14ac:dyDescent="0.25">
      <c r="A1404" s="195">
        <v>75</v>
      </c>
      <c r="B1404" s="216" t="str">
        <f t="shared" si="856"/>
        <v>Latin America: FAO. 2017. Reducing Enteric Methane for improving food security and livelihoods</v>
      </c>
      <c r="C1404" s="219" t="s">
        <v>488</v>
      </c>
      <c r="D1404" s="379" t="s">
        <v>295</v>
      </c>
      <c r="E1404" s="329" t="s">
        <v>100</v>
      </c>
      <c r="F1404" s="341" t="s">
        <v>532</v>
      </c>
      <c r="G1404" s="220" t="s">
        <v>26</v>
      </c>
      <c r="H1404" s="221">
        <v>2017</v>
      </c>
      <c r="I1404" s="240"/>
      <c r="J1404" s="383">
        <f t="shared" si="857"/>
        <v>7.4515783132530183E-2</v>
      </c>
      <c r="K1404" s="382" t="s">
        <v>757</v>
      </c>
      <c r="L1404" s="395"/>
      <c r="M1404" s="335" t="str">
        <f>'[1]Advanced Controls'!$I$158</f>
        <v>t CH4-CO2eq per kg of protein</v>
      </c>
      <c r="N1404" s="238"/>
      <c r="O1404" s="227" t="s">
        <v>594</v>
      </c>
      <c r="P1404" s="122"/>
      <c r="Q1404" s="228"/>
      <c r="R1404" s="231">
        <f t="shared" si="860"/>
        <v>7.4515783132530183E-2</v>
      </c>
      <c r="S1404" s="230">
        <f t="shared" si="858"/>
        <v>7.4515783132530183E-2</v>
      </c>
      <c r="T1404" s="231">
        <f t="shared" si="861"/>
        <v>0</v>
      </c>
      <c r="U1404" s="232" t="str">
        <f t="shared" si="859"/>
        <v>t CH4-CO2eq per kg of protein</v>
      </c>
      <c r="V1404" s="28"/>
      <c r="W1404" s="28"/>
      <c r="Y1404" s="91"/>
      <c r="AO1404" s="91"/>
      <c r="AP1404" s="28"/>
      <c r="AQ1404" s="28"/>
      <c r="AR1404" s="237"/>
      <c r="AS1404" s="28"/>
      <c r="AT1404" s="304" t="str">
        <f t="shared" si="855"/>
        <v/>
      </c>
      <c r="AU1404" s="304" t="str">
        <f t="shared" si="855"/>
        <v/>
      </c>
      <c r="AV1404" s="28"/>
      <c r="AW1404" s="304" t="str">
        <f t="shared" si="846"/>
        <v/>
      </c>
      <c r="AX1404" s="304" t="str">
        <f t="shared" si="846"/>
        <v/>
      </c>
      <c r="AY1404" s="28"/>
      <c r="AZ1404" s="304" t="str">
        <f t="shared" si="847"/>
        <v/>
      </c>
      <c r="BA1404" s="304" t="str">
        <f t="shared" si="847"/>
        <v/>
      </c>
      <c r="BB1404" s="28"/>
      <c r="BC1404" s="304" t="str">
        <f t="shared" si="848"/>
        <v/>
      </c>
      <c r="BD1404" s="304" t="str">
        <f t="shared" si="848"/>
        <v/>
      </c>
      <c r="BE1404" s="28"/>
      <c r="BF1404" s="304" t="str">
        <f t="shared" si="849"/>
        <v/>
      </c>
      <c r="BG1404" s="304" t="str">
        <f t="shared" si="849"/>
        <v/>
      </c>
      <c r="BH1404" s="28"/>
      <c r="BI1404" s="304">
        <f t="shared" si="850"/>
        <v>7.4515783132530183E-2</v>
      </c>
      <c r="BJ1404" s="304">
        <f t="shared" si="850"/>
        <v>7.4515783132530183E-2</v>
      </c>
      <c r="BK1404" s="28"/>
      <c r="BL1404" s="304" t="str">
        <f t="shared" si="851"/>
        <v/>
      </c>
      <c r="BM1404" s="304" t="str">
        <f t="shared" si="851"/>
        <v/>
      </c>
      <c r="BN1404" s="28"/>
      <c r="BO1404" s="304" t="str">
        <f t="shared" si="852"/>
        <v/>
      </c>
      <c r="BP1404" s="304" t="str">
        <f t="shared" si="852"/>
        <v/>
      </c>
      <c r="BQ1404" s="28"/>
      <c r="BR1404" s="304" t="str">
        <f t="shared" si="853"/>
        <v/>
      </c>
      <c r="BS1404" s="304" t="str">
        <f t="shared" si="853"/>
        <v/>
      </c>
      <c r="BT1404" s="28"/>
      <c r="BU1404" s="304" t="str">
        <f t="shared" si="854"/>
        <v/>
      </c>
      <c r="BV1404" s="304" t="str">
        <f t="shared" si="854"/>
        <v/>
      </c>
      <c r="BW1404" s="28"/>
      <c r="BX1404" s="91"/>
    </row>
    <row r="1405" spans="1:76" s="55" customFormat="1" x14ac:dyDescent="0.25">
      <c r="A1405" s="195">
        <v>76</v>
      </c>
      <c r="B1405" s="216" t="str">
        <f t="shared" si="856"/>
        <v>Latin America: FAO. 2017. Reducing Enteric Methane for improving food security and livelihoods</v>
      </c>
      <c r="C1405" s="219" t="s">
        <v>488</v>
      </c>
      <c r="D1405" s="379" t="s">
        <v>295</v>
      </c>
      <c r="E1405" s="329" t="s">
        <v>100</v>
      </c>
      <c r="F1405" s="341" t="s">
        <v>532</v>
      </c>
      <c r="G1405" s="220" t="s">
        <v>26</v>
      </c>
      <c r="H1405" s="221">
        <v>2017</v>
      </c>
      <c r="I1405" s="240"/>
      <c r="J1405" s="383">
        <f t="shared" si="857"/>
        <v>6.1133493975903633E-2</v>
      </c>
      <c r="K1405" s="382" t="s">
        <v>757</v>
      </c>
      <c r="L1405" s="395"/>
      <c r="M1405" s="335" t="str">
        <f>'[1]Advanced Controls'!$I$158</f>
        <v>t CH4-CO2eq per kg of protein</v>
      </c>
      <c r="N1405" s="238"/>
      <c r="O1405" s="227" t="s">
        <v>595</v>
      </c>
      <c r="P1405" s="122"/>
      <c r="Q1405" s="228"/>
      <c r="R1405" s="231">
        <f t="shared" si="860"/>
        <v>6.1133493975903633E-2</v>
      </c>
      <c r="S1405" s="230">
        <f t="shared" si="858"/>
        <v>6.1133493975903633E-2</v>
      </c>
      <c r="T1405" s="231">
        <f t="shared" si="861"/>
        <v>0</v>
      </c>
      <c r="U1405" s="232" t="str">
        <f t="shared" si="859"/>
        <v>t CH4-CO2eq per kg of protein</v>
      </c>
      <c r="V1405" s="28"/>
      <c r="W1405" s="28"/>
      <c r="Y1405" s="91"/>
      <c r="AO1405" s="91"/>
      <c r="AP1405" s="28"/>
      <c r="AQ1405" s="28"/>
      <c r="AR1405" s="237"/>
      <c r="AS1405" s="28"/>
      <c r="AT1405" s="304" t="str">
        <f t="shared" si="855"/>
        <v/>
      </c>
      <c r="AU1405" s="304" t="str">
        <f t="shared" si="855"/>
        <v/>
      </c>
      <c r="AV1405" s="28"/>
      <c r="AW1405" s="304" t="str">
        <f t="shared" si="846"/>
        <v/>
      </c>
      <c r="AX1405" s="304" t="str">
        <f t="shared" si="846"/>
        <v/>
      </c>
      <c r="AY1405" s="28"/>
      <c r="AZ1405" s="304" t="str">
        <f t="shared" si="847"/>
        <v/>
      </c>
      <c r="BA1405" s="304" t="str">
        <f t="shared" si="847"/>
        <v/>
      </c>
      <c r="BB1405" s="28"/>
      <c r="BC1405" s="304" t="str">
        <f t="shared" si="848"/>
        <v/>
      </c>
      <c r="BD1405" s="304" t="str">
        <f t="shared" si="848"/>
        <v/>
      </c>
      <c r="BE1405" s="28"/>
      <c r="BF1405" s="304" t="str">
        <f t="shared" si="849"/>
        <v/>
      </c>
      <c r="BG1405" s="304" t="str">
        <f t="shared" si="849"/>
        <v/>
      </c>
      <c r="BH1405" s="28"/>
      <c r="BI1405" s="304">
        <f t="shared" si="850"/>
        <v>6.1133493975903633E-2</v>
      </c>
      <c r="BJ1405" s="304">
        <f t="shared" si="850"/>
        <v>6.1133493975903633E-2</v>
      </c>
      <c r="BK1405" s="28"/>
      <c r="BL1405" s="304" t="str">
        <f t="shared" si="851"/>
        <v/>
      </c>
      <c r="BM1405" s="304" t="str">
        <f t="shared" si="851"/>
        <v/>
      </c>
      <c r="BN1405" s="28"/>
      <c r="BO1405" s="304" t="str">
        <f t="shared" si="852"/>
        <v/>
      </c>
      <c r="BP1405" s="304" t="str">
        <f t="shared" si="852"/>
        <v/>
      </c>
      <c r="BQ1405" s="28"/>
      <c r="BR1405" s="304" t="str">
        <f t="shared" si="853"/>
        <v/>
      </c>
      <c r="BS1405" s="304" t="str">
        <f t="shared" si="853"/>
        <v/>
      </c>
      <c r="BT1405" s="28"/>
      <c r="BU1405" s="304" t="str">
        <f t="shared" si="854"/>
        <v/>
      </c>
      <c r="BV1405" s="304" t="str">
        <f t="shared" si="854"/>
        <v/>
      </c>
      <c r="BW1405" s="28"/>
      <c r="BX1405" s="91"/>
    </row>
    <row r="1406" spans="1:76" s="55" customFormat="1" x14ac:dyDescent="0.25">
      <c r="A1406" s="195">
        <v>77</v>
      </c>
      <c r="B1406" s="216" t="str">
        <f t="shared" si="856"/>
        <v>Latin America: FAO. 2017. Reducing Enteric Methane for improving food security and livelihoods</v>
      </c>
      <c r="C1406" s="219" t="s">
        <v>488</v>
      </c>
      <c r="D1406" s="379" t="s">
        <v>295</v>
      </c>
      <c r="E1406" s="329" t="s">
        <v>100</v>
      </c>
      <c r="F1406" s="341" t="s">
        <v>532</v>
      </c>
      <c r="G1406" s="220" t="s">
        <v>26</v>
      </c>
      <c r="H1406" s="221">
        <v>2017</v>
      </c>
      <c r="I1406" s="240"/>
      <c r="J1406" s="383">
        <f t="shared" si="857"/>
        <v>3.5220481927710823E-2</v>
      </c>
      <c r="K1406" s="382" t="s">
        <v>757</v>
      </c>
      <c r="L1406" s="395"/>
      <c r="M1406" s="335" t="str">
        <f>'[1]Advanced Controls'!$I$158</f>
        <v>t CH4-CO2eq per kg of protein</v>
      </c>
      <c r="N1406" s="238"/>
      <c r="O1406" s="227" t="s">
        <v>596</v>
      </c>
      <c r="P1406" s="122"/>
      <c r="Q1406" s="228"/>
      <c r="R1406" s="231">
        <f t="shared" si="860"/>
        <v>3.5220481927710823E-2</v>
      </c>
      <c r="S1406" s="230">
        <f t="shared" si="858"/>
        <v>3.5220481927710823E-2</v>
      </c>
      <c r="T1406" s="231">
        <f t="shared" si="861"/>
        <v>0</v>
      </c>
      <c r="U1406" s="232" t="str">
        <f t="shared" si="859"/>
        <v>t CH4-CO2eq per kg of protein</v>
      </c>
      <c r="V1406" s="28"/>
      <c r="W1406" s="28"/>
      <c r="Y1406" s="91"/>
      <c r="AO1406" s="91"/>
      <c r="AP1406" s="28"/>
      <c r="AQ1406" s="28"/>
      <c r="AR1406" s="237"/>
      <c r="AS1406" s="28"/>
      <c r="AT1406" s="304" t="str">
        <f t="shared" si="855"/>
        <v/>
      </c>
      <c r="AU1406" s="304" t="str">
        <f t="shared" si="855"/>
        <v/>
      </c>
      <c r="AV1406" s="28"/>
      <c r="AW1406" s="304" t="str">
        <f t="shared" si="846"/>
        <v/>
      </c>
      <c r="AX1406" s="304" t="str">
        <f t="shared" si="846"/>
        <v/>
      </c>
      <c r="AY1406" s="28"/>
      <c r="AZ1406" s="304" t="str">
        <f t="shared" si="847"/>
        <v/>
      </c>
      <c r="BA1406" s="304" t="str">
        <f t="shared" si="847"/>
        <v/>
      </c>
      <c r="BB1406" s="28"/>
      <c r="BC1406" s="304" t="str">
        <f t="shared" si="848"/>
        <v/>
      </c>
      <c r="BD1406" s="304" t="str">
        <f t="shared" si="848"/>
        <v/>
      </c>
      <c r="BE1406" s="28"/>
      <c r="BF1406" s="304" t="str">
        <f t="shared" si="849"/>
        <v/>
      </c>
      <c r="BG1406" s="304" t="str">
        <f t="shared" si="849"/>
        <v/>
      </c>
      <c r="BH1406" s="28"/>
      <c r="BI1406" s="304">
        <f t="shared" si="850"/>
        <v>3.5220481927710823E-2</v>
      </c>
      <c r="BJ1406" s="304">
        <f t="shared" si="850"/>
        <v>3.5220481927710823E-2</v>
      </c>
      <c r="BK1406" s="28"/>
      <c r="BL1406" s="304" t="str">
        <f t="shared" si="851"/>
        <v/>
      </c>
      <c r="BM1406" s="304" t="str">
        <f t="shared" si="851"/>
        <v/>
      </c>
      <c r="BN1406" s="28"/>
      <c r="BO1406" s="304" t="str">
        <f t="shared" si="852"/>
        <v/>
      </c>
      <c r="BP1406" s="304" t="str">
        <f t="shared" si="852"/>
        <v/>
      </c>
      <c r="BQ1406" s="28"/>
      <c r="BR1406" s="304" t="str">
        <f t="shared" si="853"/>
        <v/>
      </c>
      <c r="BS1406" s="304" t="str">
        <f t="shared" si="853"/>
        <v/>
      </c>
      <c r="BT1406" s="28"/>
      <c r="BU1406" s="304" t="str">
        <f t="shared" si="854"/>
        <v/>
      </c>
      <c r="BV1406" s="304" t="str">
        <f t="shared" si="854"/>
        <v/>
      </c>
      <c r="BW1406" s="28"/>
      <c r="BX1406" s="91"/>
    </row>
    <row r="1407" spans="1:76" s="55" customFormat="1" x14ac:dyDescent="0.25">
      <c r="A1407" s="195">
        <v>78</v>
      </c>
      <c r="B1407" s="216" t="str">
        <f t="shared" si="856"/>
        <v>Latin America: FAO. 2017. Reducing Enteric Methane for improving food security and livelihoods</v>
      </c>
      <c r="C1407" s="219" t="s">
        <v>488</v>
      </c>
      <c r="D1407" s="379" t="s">
        <v>295</v>
      </c>
      <c r="E1407" s="329" t="s">
        <v>100</v>
      </c>
      <c r="F1407" s="341" t="s">
        <v>532</v>
      </c>
      <c r="G1407" s="220" t="s">
        <v>26</v>
      </c>
      <c r="H1407" s="221">
        <v>2017</v>
      </c>
      <c r="I1407" s="240"/>
      <c r="J1407" s="383">
        <f t="shared" si="857"/>
        <v>5.2770963855421738E-2</v>
      </c>
      <c r="K1407" s="382" t="s">
        <v>757</v>
      </c>
      <c r="L1407" s="395"/>
      <c r="M1407" s="335" t="str">
        <f>'[1]Advanced Controls'!$I$158</f>
        <v>t CH4-CO2eq per kg of protein</v>
      </c>
      <c r="N1407" s="238"/>
      <c r="O1407" s="227" t="s">
        <v>597</v>
      </c>
      <c r="P1407" s="122"/>
      <c r="Q1407" s="228"/>
      <c r="R1407" s="231">
        <f t="shared" si="860"/>
        <v>5.2770963855421738E-2</v>
      </c>
      <c r="S1407" s="230">
        <f t="shared" si="858"/>
        <v>5.2770963855421738E-2</v>
      </c>
      <c r="T1407" s="231">
        <f t="shared" si="861"/>
        <v>0</v>
      </c>
      <c r="U1407" s="232" t="str">
        <f t="shared" si="859"/>
        <v>t CH4-CO2eq per kg of protein</v>
      </c>
      <c r="V1407" s="28"/>
      <c r="W1407" s="28"/>
      <c r="Y1407" s="91"/>
      <c r="AO1407" s="91"/>
      <c r="AP1407" s="28"/>
      <c r="AQ1407" s="28"/>
      <c r="AR1407" s="237"/>
      <c r="AS1407" s="28"/>
      <c r="AT1407" s="304" t="str">
        <f t="shared" si="855"/>
        <v/>
      </c>
      <c r="AU1407" s="304" t="str">
        <f t="shared" si="855"/>
        <v/>
      </c>
      <c r="AV1407" s="28"/>
      <c r="AW1407" s="304" t="str">
        <f t="shared" si="846"/>
        <v/>
      </c>
      <c r="AX1407" s="304" t="str">
        <f t="shared" si="846"/>
        <v/>
      </c>
      <c r="AY1407" s="28"/>
      <c r="AZ1407" s="304" t="str">
        <f t="shared" si="847"/>
        <v/>
      </c>
      <c r="BA1407" s="304" t="str">
        <f t="shared" si="847"/>
        <v/>
      </c>
      <c r="BB1407" s="28"/>
      <c r="BC1407" s="304" t="str">
        <f t="shared" si="848"/>
        <v/>
      </c>
      <c r="BD1407" s="304" t="str">
        <f t="shared" si="848"/>
        <v/>
      </c>
      <c r="BE1407" s="28"/>
      <c r="BF1407" s="304" t="str">
        <f t="shared" si="849"/>
        <v/>
      </c>
      <c r="BG1407" s="304" t="str">
        <f t="shared" si="849"/>
        <v/>
      </c>
      <c r="BH1407" s="28"/>
      <c r="BI1407" s="304">
        <f t="shared" si="850"/>
        <v>5.2770963855421738E-2</v>
      </c>
      <c r="BJ1407" s="304">
        <f t="shared" si="850"/>
        <v>5.2770963855421738E-2</v>
      </c>
      <c r="BK1407" s="28"/>
      <c r="BL1407" s="304" t="str">
        <f t="shared" si="851"/>
        <v/>
      </c>
      <c r="BM1407" s="304" t="str">
        <f t="shared" si="851"/>
        <v/>
      </c>
      <c r="BN1407" s="28"/>
      <c r="BO1407" s="304" t="str">
        <f t="shared" si="852"/>
        <v/>
      </c>
      <c r="BP1407" s="304" t="str">
        <f t="shared" si="852"/>
        <v/>
      </c>
      <c r="BQ1407" s="28"/>
      <c r="BR1407" s="304" t="str">
        <f t="shared" si="853"/>
        <v/>
      </c>
      <c r="BS1407" s="304" t="str">
        <f t="shared" si="853"/>
        <v/>
      </c>
      <c r="BT1407" s="28"/>
      <c r="BU1407" s="304" t="str">
        <f t="shared" si="854"/>
        <v/>
      </c>
      <c r="BV1407" s="304" t="str">
        <f t="shared" si="854"/>
        <v/>
      </c>
      <c r="BW1407" s="28"/>
      <c r="BX1407" s="91"/>
    </row>
    <row r="1408" spans="1:76" s="55" customFormat="1" x14ac:dyDescent="0.25">
      <c r="A1408" s="195">
        <v>79</v>
      </c>
      <c r="B1408" s="216" t="str">
        <f t="shared" si="856"/>
        <v>Latin America: FAO. 2017. Reducing Enteric Methane for improving food security and livelihoods</v>
      </c>
      <c r="C1408" s="219" t="s">
        <v>488</v>
      </c>
      <c r="D1408" s="379" t="s">
        <v>295</v>
      </c>
      <c r="E1408" s="329" t="s">
        <v>100</v>
      </c>
      <c r="F1408" s="341" t="s">
        <v>532</v>
      </c>
      <c r="G1408" s="220" t="s">
        <v>26</v>
      </c>
      <c r="H1408" s="221">
        <v>2017</v>
      </c>
      <c r="I1408" s="240"/>
      <c r="J1408" s="383">
        <f t="shared" si="857"/>
        <v>4.8351036144578308E-2</v>
      </c>
      <c r="K1408" s="382" t="s">
        <v>757</v>
      </c>
      <c r="L1408" s="395"/>
      <c r="M1408" s="335" t="str">
        <f>'[1]Advanced Controls'!$I$158</f>
        <v>t CH4-CO2eq per kg of protein</v>
      </c>
      <c r="N1408" s="238"/>
      <c r="O1408" s="227" t="s">
        <v>598</v>
      </c>
      <c r="P1408" s="122"/>
      <c r="Q1408" s="228"/>
      <c r="R1408" s="231">
        <f t="shared" si="860"/>
        <v>4.8351036144578308E-2</v>
      </c>
      <c r="S1408" s="230">
        <f t="shared" si="858"/>
        <v>4.8351036144578308E-2</v>
      </c>
      <c r="T1408" s="231">
        <f t="shared" si="861"/>
        <v>0</v>
      </c>
      <c r="U1408" s="232" t="str">
        <f t="shared" si="859"/>
        <v>t CH4-CO2eq per kg of protein</v>
      </c>
      <c r="V1408" s="28"/>
      <c r="W1408" s="28"/>
      <c r="Y1408" s="91"/>
      <c r="AO1408" s="91"/>
      <c r="AP1408" s="28"/>
      <c r="AQ1408" s="28"/>
      <c r="AR1408" s="237"/>
      <c r="AS1408" s="28"/>
      <c r="AT1408" s="304" t="str">
        <f t="shared" si="855"/>
        <v/>
      </c>
      <c r="AU1408" s="304" t="str">
        <f t="shared" si="855"/>
        <v/>
      </c>
      <c r="AV1408" s="28"/>
      <c r="AW1408" s="304" t="str">
        <f t="shared" si="846"/>
        <v/>
      </c>
      <c r="AX1408" s="304" t="str">
        <f t="shared" si="846"/>
        <v/>
      </c>
      <c r="AY1408" s="28"/>
      <c r="AZ1408" s="304" t="str">
        <f t="shared" si="847"/>
        <v/>
      </c>
      <c r="BA1408" s="304" t="str">
        <f t="shared" si="847"/>
        <v/>
      </c>
      <c r="BB1408" s="28"/>
      <c r="BC1408" s="304" t="str">
        <f t="shared" si="848"/>
        <v/>
      </c>
      <c r="BD1408" s="304" t="str">
        <f t="shared" si="848"/>
        <v/>
      </c>
      <c r="BE1408" s="28"/>
      <c r="BF1408" s="304" t="str">
        <f t="shared" si="849"/>
        <v/>
      </c>
      <c r="BG1408" s="304" t="str">
        <f t="shared" si="849"/>
        <v/>
      </c>
      <c r="BH1408" s="28"/>
      <c r="BI1408" s="304">
        <f t="shared" si="850"/>
        <v>4.8351036144578308E-2</v>
      </c>
      <c r="BJ1408" s="304">
        <f t="shared" si="850"/>
        <v>4.8351036144578308E-2</v>
      </c>
      <c r="BK1408" s="28"/>
      <c r="BL1408" s="304" t="str">
        <f t="shared" si="851"/>
        <v/>
      </c>
      <c r="BM1408" s="304" t="str">
        <f t="shared" si="851"/>
        <v/>
      </c>
      <c r="BN1408" s="28"/>
      <c r="BO1408" s="304" t="str">
        <f t="shared" si="852"/>
        <v/>
      </c>
      <c r="BP1408" s="304" t="str">
        <f t="shared" si="852"/>
        <v/>
      </c>
      <c r="BQ1408" s="28"/>
      <c r="BR1408" s="304" t="str">
        <f t="shared" si="853"/>
        <v/>
      </c>
      <c r="BS1408" s="304" t="str">
        <f t="shared" si="853"/>
        <v/>
      </c>
      <c r="BT1408" s="28"/>
      <c r="BU1408" s="304" t="str">
        <f t="shared" si="854"/>
        <v/>
      </c>
      <c r="BV1408" s="304" t="str">
        <f t="shared" si="854"/>
        <v/>
      </c>
      <c r="BW1408" s="28"/>
      <c r="BX1408" s="91"/>
    </row>
    <row r="1409" spans="1:76" s="55" customFormat="1" x14ac:dyDescent="0.25">
      <c r="A1409" s="195">
        <v>80</v>
      </c>
      <c r="B1409" s="216" t="str">
        <f t="shared" si="856"/>
        <v>Latin America: FAO. 2017. Reducing Enteric Methane for improving food security and livelihoods</v>
      </c>
      <c r="C1409" s="219" t="s">
        <v>488</v>
      </c>
      <c r="D1409" s="379" t="s">
        <v>295</v>
      </c>
      <c r="E1409" s="329" t="s">
        <v>100</v>
      </c>
      <c r="F1409" s="341" t="s">
        <v>532</v>
      </c>
      <c r="G1409" s="220" t="s">
        <v>26</v>
      </c>
      <c r="H1409" s="221">
        <v>2017</v>
      </c>
      <c r="I1409" s="240"/>
      <c r="J1409" s="383">
        <f t="shared" si="857"/>
        <v>5.489240963855424E-2</v>
      </c>
      <c r="K1409" s="382" t="s">
        <v>757</v>
      </c>
      <c r="L1409" s="395"/>
      <c r="M1409" s="335" t="str">
        <f>'[1]Advanced Controls'!$I$158</f>
        <v>t CH4-CO2eq per kg of protein</v>
      </c>
      <c r="N1409" s="238"/>
      <c r="O1409" s="227" t="s">
        <v>599</v>
      </c>
      <c r="P1409" s="122"/>
      <c r="Q1409" s="228"/>
      <c r="R1409" s="231">
        <f t="shared" si="860"/>
        <v>5.489240963855424E-2</v>
      </c>
      <c r="S1409" s="230">
        <f t="shared" si="858"/>
        <v>5.489240963855424E-2</v>
      </c>
      <c r="T1409" s="231">
        <f t="shared" si="861"/>
        <v>0</v>
      </c>
      <c r="U1409" s="232" t="str">
        <f t="shared" si="859"/>
        <v>t CH4-CO2eq per kg of protein</v>
      </c>
      <c r="V1409" s="28"/>
      <c r="W1409" s="28"/>
      <c r="Y1409" s="91"/>
      <c r="AO1409" s="91"/>
      <c r="AP1409" s="28"/>
      <c r="AQ1409" s="28"/>
      <c r="AR1409" s="237"/>
      <c r="AS1409" s="28"/>
      <c r="AT1409" s="304" t="str">
        <f t="shared" si="855"/>
        <v/>
      </c>
      <c r="AU1409" s="304" t="str">
        <f t="shared" si="855"/>
        <v/>
      </c>
      <c r="AV1409" s="28"/>
      <c r="AW1409" s="304" t="str">
        <f t="shared" si="846"/>
        <v/>
      </c>
      <c r="AX1409" s="304" t="str">
        <f t="shared" si="846"/>
        <v/>
      </c>
      <c r="AY1409" s="28"/>
      <c r="AZ1409" s="304" t="str">
        <f t="shared" si="847"/>
        <v/>
      </c>
      <c r="BA1409" s="304" t="str">
        <f t="shared" si="847"/>
        <v/>
      </c>
      <c r="BB1409" s="28"/>
      <c r="BC1409" s="304" t="str">
        <f t="shared" si="848"/>
        <v/>
      </c>
      <c r="BD1409" s="304" t="str">
        <f t="shared" si="848"/>
        <v/>
      </c>
      <c r="BE1409" s="28"/>
      <c r="BF1409" s="304" t="str">
        <f t="shared" si="849"/>
        <v/>
      </c>
      <c r="BG1409" s="304" t="str">
        <f t="shared" si="849"/>
        <v/>
      </c>
      <c r="BH1409" s="28"/>
      <c r="BI1409" s="304">
        <f t="shared" si="850"/>
        <v>5.489240963855424E-2</v>
      </c>
      <c r="BJ1409" s="304">
        <f t="shared" si="850"/>
        <v>5.489240963855424E-2</v>
      </c>
      <c r="BK1409" s="28"/>
      <c r="BL1409" s="304" t="str">
        <f t="shared" si="851"/>
        <v/>
      </c>
      <c r="BM1409" s="304" t="str">
        <f t="shared" si="851"/>
        <v/>
      </c>
      <c r="BN1409" s="28"/>
      <c r="BO1409" s="304" t="str">
        <f t="shared" si="852"/>
        <v/>
      </c>
      <c r="BP1409" s="304" t="str">
        <f t="shared" si="852"/>
        <v/>
      </c>
      <c r="BQ1409" s="28"/>
      <c r="BR1409" s="304" t="str">
        <f t="shared" si="853"/>
        <v/>
      </c>
      <c r="BS1409" s="304" t="str">
        <f t="shared" si="853"/>
        <v/>
      </c>
      <c r="BT1409" s="28"/>
      <c r="BU1409" s="304" t="str">
        <f t="shared" si="854"/>
        <v/>
      </c>
      <c r="BV1409" s="304" t="str">
        <f t="shared" si="854"/>
        <v/>
      </c>
      <c r="BW1409" s="28"/>
      <c r="BX1409" s="91"/>
    </row>
    <row r="1410" spans="1:76" s="55" customFormat="1" x14ac:dyDescent="0.25">
      <c r="A1410" s="195">
        <v>81</v>
      </c>
      <c r="B1410" s="216" t="str">
        <f t="shared" si="856"/>
        <v>Latin America: FAO. 2017. Reducing Enteric Methane for improving food security and livelihoods</v>
      </c>
      <c r="C1410" s="219" t="s">
        <v>488</v>
      </c>
      <c r="D1410" s="379" t="s">
        <v>295</v>
      </c>
      <c r="E1410" s="329" t="s">
        <v>100</v>
      </c>
      <c r="F1410" s="341" t="s">
        <v>532</v>
      </c>
      <c r="G1410" s="220" t="s">
        <v>26</v>
      </c>
      <c r="H1410" s="221">
        <v>2017</v>
      </c>
      <c r="I1410" s="240"/>
      <c r="J1410" s="383">
        <f t="shared" si="857"/>
        <v>3.8347373493975878E-2</v>
      </c>
      <c r="K1410" s="382" t="s">
        <v>757</v>
      </c>
      <c r="L1410" s="395"/>
      <c r="M1410" s="335" t="str">
        <f>'[1]Advanced Controls'!$I$158</f>
        <v>t CH4-CO2eq per kg of protein</v>
      </c>
      <c r="N1410" s="238"/>
      <c r="O1410" s="227" t="s">
        <v>600</v>
      </c>
      <c r="P1410" s="122"/>
      <c r="Q1410" s="228"/>
      <c r="R1410" s="231">
        <f t="shared" si="860"/>
        <v>3.8347373493975878E-2</v>
      </c>
      <c r="S1410" s="230">
        <f t="shared" si="858"/>
        <v>3.8347373493975878E-2</v>
      </c>
      <c r="T1410" s="231">
        <f t="shared" si="861"/>
        <v>0</v>
      </c>
      <c r="U1410" s="232" t="str">
        <f t="shared" si="859"/>
        <v>t CH4-CO2eq per kg of protein</v>
      </c>
      <c r="V1410" s="28"/>
      <c r="W1410" s="28"/>
      <c r="Y1410" s="91"/>
      <c r="AO1410" s="91"/>
      <c r="AP1410" s="28"/>
      <c r="AQ1410" s="28"/>
      <c r="AR1410" s="237"/>
      <c r="AS1410" s="28"/>
      <c r="AT1410" s="304" t="str">
        <f t="shared" si="855"/>
        <v/>
      </c>
      <c r="AU1410" s="304" t="str">
        <f t="shared" si="855"/>
        <v/>
      </c>
      <c r="AV1410" s="28"/>
      <c r="AW1410" s="304" t="str">
        <f t="shared" ref="AW1410:AX1438" si="862">IF($E1410=$AW$83,R1410,"")</f>
        <v/>
      </c>
      <c r="AX1410" s="304" t="str">
        <f t="shared" si="862"/>
        <v/>
      </c>
      <c r="AY1410" s="28"/>
      <c r="AZ1410" s="304" t="str">
        <f t="shared" ref="AZ1410:BA1438" si="863">IF($E1410=$AZ$83,R1410,"")</f>
        <v/>
      </c>
      <c r="BA1410" s="304" t="str">
        <f t="shared" si="863"/>
        <v/>
      </c>
      <c r="BB1410" s="28"/>
      <c r="BC1410" s="304" t="str">
        <f t="shared" ref="BC1410:BD1438" si="864">IF($E1410=$BC$83,R1410,"")</f>
        <v/>
      </c>
      <c r="BD1410" s="304" t="str">
        <f t="shared" si="864"/>
        <v/>
      </c>
      <c r="BE1410" s="28"/>
      <c r="BF1410" s="304" t="str">
        <f t="shared" ref="BF1410:BG1438" si="865">IF($E1410=$BF$83,R1410,"")</f>
        <v/>
      </c>
      <c r="BG1410" s="304" t="str">
        <f t="shared" si="865"/>
        <v/>
      </c>
      <c r="BH1410" s="28"/>
      <c r="BI1410" s="304">
        <f t="shared" ref="BI1410:BJ1438" si="866">IF($E1410=$BI$83,R1410,"")</f>
        <v>3.8347373493975878E-2</v>
      </c>
      <c r="BJ1410" s="304">
        <f t="shared" si="866"/>
        <v>3.8347373493975878E-2</v>
      </c>
      <c r="BK1410" s="28"/>
      <c r="BL1410" s="304" t="str">
        <f t="shared" ref="BL1410:BM1438" si="867">IF($E1410=$BL$83,R1410,"")</f>
        <v/>
      </c>
      <c r="BM1410" s="304" t="str">
        <f t="shared" si="867"/>
        <v/>
      </c>
      <c r="BN1410" s="28"/>
      <c r="BO1410" s="304" t="str">
        <f t="shared" ref="BO1410:BP1438" si="868">IF($E1410=$BO$83,R1410,"")</f>
        <v/>
      </c>
      <c r="BP1410" s="304" t="str">
        <f t="shared" si="868"/>
        <v/>
      </c>
      <c r="BQ1410" s="28"/>
      <c r="BR1410" s="304" t="str">
        <f t="shared" ref="BR1410:BS1438" si="869">IF($E1410=$BR$83,R1410,"")</f>
        <v/>
      </c>
      <c r="BS1410" s="304" t="str">
        <f t="shared" si="869"/>
        <v/>
      </c>
      <c r="BT1410" s="28"/>
      <c r="BU1410" s="304" t="str">
        <f t="shared" ref="BU1410:BV1438" si="870">IF($E1410=$BU$83,R1410,"")</f>
        <v/>
      </c>
      <c r="BV1410" s="304" t="str">
        <f t="shared" si="870"/>
        <v/>
      </c>
      <c r="BW1410" s="28"/>
      <c r="BX1410" s="91"/>
    </row>
    <row r="1411" spans="1:76" s="55" customFormat="1" x14ac:dyDescent="0.25">
      <c r="A1411" s="195">
        <v>82</v>
      </c>
      <c r="B1411" s="216" t="str">
        <f t="shared" si="856"/>
        <v>Latin America: FAO. 2017. Reducing Enteric Methane for improving food security and livelihoods</v>
      </c>
      <c r="C1411" s="219" t="s">
        <v>488</v>
      </c>
      <c r="D1411" s="379" t="s">
        <v>295</v>
      </c>
      <c r="E1411" s="329" t="s">
        <v>100</v>
      </c>
      <c r="F1411" s="341" t="s">
        <v>532</v>
      </c>
      <c r="G1411" s="220" t="s">
        <v>26</v>
      </c>
      <c r="H1411" s="221">
        <v>2017</v>
      </c>
      <c r="I1411" s="240"/>
      <c r="J1411" s="383">
        <f t="shared" si="857"/>
        <v>6.0946746987951855E-2</v>
      </c>
      <c r="K1411" s="382" t="s">
        <v>757</v>
      </c>
      <c r="L1411" s="395"/>
      <c r="M1411" s="335" t="str">
        <f>'[1]Advanced Controls'!$I$158</f>
        <v>t CH4-CO2eq per kg of protein</v>
      </c>
      <c r="N1411" s="238"/>
      <c r="O1411" s="227" t="s">
        <v>601</v>
      </c>
      <c r="P1411" s="122"/>
      <c r="Q1411" s="228"/>
      <c r="R1411" s="231">
        <f t="shared" si="860"/>
        <v>6.0946746987951855E-2</v>
      </c>
      <c r="S1411" s="230">
        <f t="shared" si="858"/>
        <v>6.0946746987951855E-2</v>
      </c>
      <c r="T1411" s="231" t="str">
        <f t="shared" si="861"/>
        <v/>
      </c>
      <c r="U1411" s="232" t="str">
        <f t="shared" si="859"/>
        <v>t CH4-CO2eq per kg of protein</v>
      </c>
      <c r="V1411" s="28"/>
      <c r="W1411" s="28"/>
      <c r="Y1411" s="91"/>
      <c r="AO1411" s="91"/>
      <c r="AP1411" s="28"/>
      <c r="AQ1411" s="28"/>
      <c r="AR1411" s="237"/>
      <c r="AS1411" s="28"/>
      <c r="AT1411" s="304" t="str">
        <f t="shared" ref="AT1411:AU1439" si="871">IF($E1411=$AT$47,R1411,"")</f>
        <v/>
      </c>
      <c r="AU1411" s="304" t="str">
        <f t="shared" si="871"/>
        <v/>
      </c>
      <c r="AV1411" s="28"/>
      <c r="AW1411" s="304" t="str">
        <f t="shared" si="862"/>
        <v/>
      </c>
      <c r="AX1411" s="304" t="str">
        <f t="shared" si="862"/>
        <v/>
      </c>
      <c r="AY1411" s="28"/>
      <c r="AZ1411" s="304" t="str">
        <f t="shared" si="863"/>
        <v/>
      </c>
      <c r="BA1411" s="304" t="str">
        <f t="shared" si="863"/>
        <v/>
      </c>
      <c r="BB1411" s="28"/>
      <c r="BC1411" s="304" t="str">
        <f t="shared" si="864"/>
        <v/>
      </c>
      <c r="BD1411" s="304" t="str">
        <f t="shared" si="864"/>
        <v/>
      </c>
      <c r="BE1411" s="28"/>
      <c r="BF1411" s="304" t="str">
        <f t="shared" si="865"/>
        <v/>
      </c>
      <c r="BG1411" s="304" t="str">
        <f t="shared" si="865"/>
        <v/>
      </c>
      <c r="BH1411" s="28"/>
      <c r="BI1411" s="304">
        <f t="shared" si="866"/>
        <v>6.0946746987951855E-2</v>
      </c>
      <c r="BJ1411" s="304">
        <f t="shared" si="866"/>
        <v>6.0946746987951855E-2</v>
      </c>
      <c r="BK1411" s="28"/>
      <c r="BL1411" s="304" t="str">
        <f t="shared" si="867"/>
        <v/>
      </c>
      <c r="BM1411" s="304" t="str">
        <f t="shared" si="867"/>
        <v/>
      </c>
      <c r="BN1411" s="28"/>
      <c r="BO1411" s="304" t="str">
        <f t="shared" si="868"/>
        <v/>
      </c>
      <c r="BP1411" s="304" t="str">
        <f t="shared" si="868"/>
        <v/>
      </c>
      <c r="BQ1411" s="28"/>
      <c r="BR1411" s="304" t="str">
        <f t="shared" si="869"/>
        <v/>
      </c>
      <c r="BS1411" s="304" t="str">
        <f t="shared" si="869"/>
        <v/>
      </c>
      <c r="BT1411" s="28"/>
      <c r="BU1411" s="304" t="str">
        <f t="shared" si="870"/>
        <v/>
      </c>
      <c r="BV1411" s="304" t="str">
        <f t="shared" si="870"/>
        <v/>
      </c>
      <c r="BW1411" s="28"/>
      <c r="BX1411" s="91"/>
    </row>
    <row r="1412" spans="1:76" s="55" customFormat="1" x14ac:dyDescent="0.25">
      <c r="A1412" s="195">
        <v>83</v>
      </c>
      <c r="B1412" s="216" t="str">
        <f t="shared" si="856"/>
        <v>Latin America: FAO. 2017. Reducing Enteric Methane for improving food security and livelihoods</v>
      </c>
      <c r="C1412" s="219" t="s">
        <v>488</v>
      </c>
      <c r="D1412" s="379" t="s">
        <v>295</v>
      </c>
      <c r="E1412" s="329" t="s">
        <v>100</v>
      </c>
      <c r="F1412" s="341" t="s">
        <v>532</v>
      </c>
      <c r="G1412" s="220" t="s">
        <v>26</v>
      </c>
      <c r="H1412" s="221">
        <v>2017</v>
      </c>
      <c r="I1412" s="240"/>
      <c r="J1412" s="383">
        <f t="shared" si="857"/>
        <v>4.0572650602409666E-2</v>
      </c>
      <c r="K1412" s="382" t="s">
        <v>757</v>
      </c>
      <c r="L1412" s="395"/>
      <c r="M1412" s="335" t="str">
        <f>'[1]Advanced Controls'!$I$158</f>
        <v>t CH4-CO2eq per kg of protein</v>
      </c>
      <c r="N1412" s="238"/>
      <c r="O1412" s="227" t="s">
        <v>602</v>
      </c>
      <c r="P1412" s="122"/>
      <c r="Q1412" s="228"/>
      <c r="R1412" s="231">
        <f t="shared" si="860"/>
        <v>4.0572650602409666E-2</v>
      </c>
      <c r="S1412" s="230">
        <f t="shared" si="858"/>
        <v>4.0572650602409666E-2</v>
      </c>
      <c r="T1412" s="231" t="str">
        <f t="shared" si="861"/>
        <v/>
      </c>
      <c r="U1412" s="232" t="str">
        <f t="shared" si="859"/>
        <v>t CH4-CO2eq per kg of protein</v>
      </c>
      <c r="V1412" s="28"/>
      <c r="W1412" s="28"/>
      <c r="Y1412" s="91"/>
      <c r="AO1412" s="91"/>
      <c r="AP1412" s="28"/>
      <c r="AQ1412" s="28"/>
      <c r="AR1412" s="237"/>
      <c r="AS1412" s="28"/>
      <c r="AT1412" s="304" t="str">
        <f t="shared" si="871"/>
        <v/>
      </c>
      <c r="AU1412" s="304" t="str">
        <f t="shared" si="871"/>
        <v/>
      </c>
      <c r="AV1412" s="28"/>
      <c r="AW1412" s="304" t="str">
        <f t="shared" si="862"/>
        <v/>
      </c>
      <c r="AX1412" s="304" t="str">
        <f t="shared" si="862"/>
        <v/>
      </c>
      <c r="AY1412" s="28"/>
      <c r="AZ1412" s="304" t="str">
        <f t="shared" si="863"/>
        <v/>
      </c>
      <c r="BA1412" s="304" t="str">
        <f t="shared" si="863"/>
        <v/>
      </c>
      <c r="BB1412" s="28"/>
      <c r="BC1412" s="304" t="str">
        <f t="shared" si="864"/>
        <v/>
      </c>
      <c r="BD1412" s="304" t="str">
        <f t="shared" si="864"/>
        <v/>
      </c>
      <c r="BE1412" s="28"/>
      <c r="BF1412" s="304" t="str">
        <f t="shared" si="865"/>
        <v/>
      </c>
      <c r="BG1412" s="304" t="str">
        <f t="shared" si="865"/>
        <v/>
      </c>
      <c r="BH1412" s="28"/>
      <c r="BI1412" s="304">
        <f t="shared" si="866"/>
        <v>4.0572650602409666E-2</v>
      </c>
      <c r="BJ1412" s="304">
        <f t="shared" si="866"/>
        <v>4.0572650602409666E-2</v>
      </c>
      <c r="BK1412" s="28"/>
      <c r="BL1412" s="304" t="str">
        <f t="shared" si="867"/>
        <v/>
      </c>
      <c r="BM1412" s="304" t="str">
        <f t="shared" si="867"/>
        <v/>
      </c>
      <c r="BN1412" s="28"/>
      <c r="BO1412" s="304" t="str">
        <f t="shared" si="868"/>
        <v/>
      </c>
      <c r="BP1412" s="304" t="str">
        <f t="shared" si="868"/>
        <v/>
      </c>
      <c r="BQ1412" s="28"/>
      <c r="BR1412" s="304" t="str">
        <f t="shared" si="869"/>
        <v/>
      </c>
      <c r="BS1412" s="304" t="str">
        <f t="shared" si="869"/>
        <v/>
      </c>
      <c r="BT1412" s="28"/>
      <c r="BU1412" s="304" t="str">
        <f t="shared" si="870"/>
        <v/>
      </c>
      <c r="BV1412" s="304" t="str">
        <f t="shared" si="870"/>
        <v/>
      </c>
      <c r="BW1412" s="28"/>
      <c r="BX1412" s="91"/>
    </row>
    <row r="1413" spans="1:76" s="55" customFormat="1" x14ac:dyDescent="0.25">
      <c r="A1413" s="195">
        <v>84</v>
      </c>
      <c r="B1413" s="216" t="str">
        <f t="shared" si="856"/>
        <v>Latin America: FAO. 2017. Reducing Enteric Methane for improving food security and livelihoods</v>
      </c>
      <c r="C1413" s="219" t="s">
        <v>488</v>
      </c>
      <c r="D1413" s="379" t="s">
        <v>295</v>
      </c>
      <c r="E1413" s="329" t="s">
        <v>100</v>
      </c>
      <c r="F1413" s="341" t="s">
        <v>532</v>
      </c>
      <c r="G1413" s="220" t="s">
        <v>26</v>
      </c>
      <c r="H1413" s="221">
        <v>2017</v>
      </c>
      <c r="I1413" s="240"/>
      <c r="J1413" s="383">
        <f t="shared" si="857"/>
        <v>2.9825734939759069E-2</v>
      </c>
      <c r="K1413" s="382" t="s">
        <v>757</v>
      </c>
      <c r="L1413" s="395"/>
      <c r="M1413" s="335" t="str">
        <f>'[1]Advanced Controls'!$I$158</f>
        <v>t CH4-CO2eq per kg of protein</v>
      </c>
      <c r="N1413" s="238"/>
      <c r="O1413" s="227" t="s">
        <v>603</v>
      </c>
      <c r="P1413" s="122"/>
      <c r="Q1413" s="228"/>
      <c r="R1413" s="231">
        <f t="shared" si="860"/>
        <v>2.9825734939759069E-2</v>
      </c>
      <c r="S1413" s="230">
        <f t="shared" si="858"/>
        <v>2.9825734939759069E-2</v>
      </c>
      <c r="T1413" s="231">
        <f t="shared" si="861"/>
        <v>0</v>
      </c>
      <c r="U1413" s="232" t="str">
        <f t="shared" si="859"/>
        <v>t CH4-CO2eq per kg of protein</v>
      </c>
      <c r="V1413" s="28"/>
      <c r="W1413" s="28"/>
      <c r="Y1413" s="91"/>
      <c r="AO1413" s="91"/>
      <c r="AP1413" s="28"/>
      <c r="AQ1413" s="28"/>
      <c r="AR1413" s="237"/>
      <c r="AS1413" s="28"/>
      <c r="AT1413" s="304" t="str">
        <f t="shared" si="871"/>
        <v/>
      </c>
      <c r="AU1413" s="304" t="str">
        <f t="shared" si="871"/>
        <v/>
      </c>
      <c r="AV1413" s="28"/>
      <c r="AW1413" s="304" t="str">
        <f t="shared" si="862"/>
        <v/>
      </c>
      <c r="AX1413" s="304" t="str">
        <f t="shared" si="862"/>
        <v/>
      </c>
      <c r="AY1413" s="28"/>
      <c r="AZ1413" s="304" t="str">
        <f t="shared" si="863"/>
        <v/>
      </c>
      <c r="BA1413" s="304" t="str">
        <f t="shared" si="863"/>
        <v/>
      </c>
      <c r="BB1413" s="28"/>
      <c r="BC1413" s="304" t="str">
        <f t="shared" si="864"/>
        <v/>
      </c>
      <c r="BD1413" s="304" t="str">
        <f t="shared" si="864"/>
        <v/>
      </c>
      <c r="BE1413" s="28"/>
      <c r="BF1413" s="304" t="str">
        <f t="shared" si="865"/>
        <v/>
      </c>
      <c r="BG1413" s="304" t="str">
        <f t="shared" si="865"/>
        <v/>
      </c>
      <c r="BH1413" s="28"/>
      <c r="BI1413" s="304">
        <f t="shared" si="866"/>
        <v>2.9825734939759069E-2</v>
      </c>
      <c r="BJ1413" s="304">
        <f t="shared" si="866"/>
        <v>2.9825734939759069E-2</v>
      </c>
      <c r="BK1413" s="28"/>
      <c r="BL1413" s="304" t="str">
        <f t="shared" si="867"/>
        <v/>
      </c>
      <c r="BM1413" s="304" t="str">
        <f t="shared" si="867"/>
        <v/>
      </c>
      <c r="BN1413" s="28"/>
      <c r="BO1413" s="304" t="str">
        <f t="shared" si="868"/>
        <v/>
      </c>
      <c r="BP1413" s="304" t="str">
        <f t="shared" si="868"/>
        <v/>
      </c>
      <c r="BQ1413" s="28"/>
      <c r="BR1413" s="304" t="str">
        <f t="shared" si="869"/>
        <v/>
      </c>
      <c r="BS1413" s="304" t="str">
        <f t="shared" si="869"/>
        <v/>
      </c>
      <c r="BT1413" s="28"/>
      <c r="BU1413" s="304" t="str">
        <f t="shared" si="870"/>
        <v/>
      </c>
      <c r="BV1413" s="304" t="str">
        <f t="shared" si="870"/>
        <v/>
      </c>
      <c r="BW1413" s="28"/>
      <c r="BX1413" s="91"/>
    </row>
    <row r="1414" spans="1:76" s="55" customFormat="1" x14ac:dyDescent="0.25">
      <c r="A1414" s="195">
        <v>85</v>
      </c>
      <c r="B1414" s="216" t="str">
        <f t="shared" si="856"/>
        <v>OECD90: Hart et atl. 2019. An Essential Oil Blend Decreases Methane Emissions and Increases Milk Yield in Dairy Cows</v>
      </c>
      <c r="C1414" s="219" t="s">
        <v>328</v>
      </c>
      <c r="D1414" s="219" t="s">
        <v>329</v>
      </c>
      <c r="E1414" s="219" t="s">
        <v>96</v>
      </c>
      <c r="F1414" s="219" t="s">
        <v>330</v>
      </c>
      <c r="G1414" s="220" t="s">
        <v>24</v>
      </c>
      <c r="H1414" s="221">
        <v>2019</v>
      </c>
      <c r="I1414" s="220"/>
      <c r="J1414" s="222">
        <f>(15.6-12.7)</f>
        <v>2.9000000000000004</v>
      </c>
      <c r="K1414" s="333" t="s">
        <v>758</v>
      </c>
      <c r="L1414" s="241">
        <f>(J1414*0.00001*$AL$37)/(0.032)</f>
        <v>2.5375000000000005E-2</v>
      </c>
      <c r="M1414" s="335" t="str">
        <f>'[1]Advanced Controls'!$I$158</f>
        <v>t CH4-CO2eq per kg of protein</v>
      </c>
      <c r="N1414" s="238"/>
      <c r="O1414" s="227" t="s">
        <v>759</v>
      </c>
      <c r="P1414" s="122"/>
      <c r="Q1414" s="228"/>
      <c r="R1414" s="231">
        <f t="shared" si="860"/>
        <v>2.5375000000000005E-2</v>
      </c>
      <c r="S1414" s="230">
        <f t="shared" si="858"/>
        <v>2.5375000000000005E-2</v>
      </c>
      <c r="T1414" s="231">
        <f t="shared" si="861"/>
        <v>0</v>
      </c>
      <c r="U1414" s="232" t="str">
        <f t="shared" si="859"/>
        <v>t CH4-CO2eq per kg of protein</v>
      </c>
      <c r="V1414" s="28"/>
      <c r="W1414" s="28"/>
      <c r="Y1414" s="91"/>
      <c r="AO1414" s="91"/>
      <c r="AP1414" s="28"/>
      <c r="AQ1414" s="28"/>
      <c r="AR1414" s="237"/>
      <c r="AS1414" s="28"/>
      <c r="AT1414" s="304" t="str">
        <f t="shared" si="871"/>
        <v/>
      </c>
      <c r="AU1414" s="304" t="str">
        <f t="shared" si="871"/>
        <v/>
      </c>
      <c r="AV1414" s="28"/>
      <c r="AW1414" s="304">
        <f t="shared" si="862"/>
        <v>2.5375000000000005E-2</v>
      </c>
      <c r="AX1414" s="304">
        <f t="shared" si="862"/>
        <v>2.5375000000000005E-2</v>
      </c>
      <c r="AY1414" s="28"/>
      <c r="AZ1414" s="304" t="str">
        <f t="shared" si="863"/>
        <v/>
      </c>
      <c r="BA1414" s="304" t="str">
        <f t="shared" si="863"/>
        <v/>
      </c>
      <c r="BB1414" s="28"/>
      <c r="BC1414" s="304" t="str">
        <f t="shared" si="864"/>
        <v/>
      </c>
      <c r="BD1414" s="304" t="str">
        <f t="shared" si="864"/>
        <v/>
      </c>
      <c r="BE1414" s="28"/>
      <c r="BF1414" s="304" t="str">
        <f t="shared" si="865"/>
        <v/>
      </c>
      <c r="BG1414" s="304" t="str">
        <f t="shared" si="865"/>
        <v/>
      </c>
      <c r="BH1414" s="28"/>
      <c r="BI1414" s="304" t="str">
        <f t="shared" si="866"/>
        <v/>
      </c>
      <c r="BJ1414" s="304" t="str">
        <f t="shared" si="866"/>
        <v/>
      </c>
      <c r="BK1414" s="28"/>
      <c r="BL1414" s="304" t="str">
        <f t="shared" si="867"/>
        <v/>
      </c>
      <c r="BM1414" s="304" t="str">
        <f t="shared" si="867"/>
        <v/>
      </c>
      <c r="BN1414" s="28"/>
      <c r="BO1414" s="304" t="str">
        <f t="shared" si="868"/>
        <v/>
      </c>
      <c r="BP1414" s="304" t="str">
        <f t="shared" si="868"/>
        <v/>
      </c>
      <c r="BQ1414" s="28"/>
      <c r="BR1414" s="304" t="str">
        <f t="shared" si="869"/>
        <v/>
      </c>
      <c r="BS1414" s="304" t="str">
        <f t="shared" si="869"/>
        <v/>
      </c>
      <c r="BT1414" s="28"/>
      <c r="BU1414" s="304" t="str">
        <f t="shared" si="870"/>
        <v/>
      </c>
      <c r="BV1414" s="304" t="str">
        <f t="shared" si="870"/>
        <v/>
      </c>
      <c r="BW1414" s="28"/>
      <c r="BX1414" s="91"/>
    </row>
    <row r="1415" spans="1:76" s="55" customFormat="1" ht="15.75" x14ac:dyDescent="0.25">
      <c r="A1415" s="195">
        <v>86</v>
      </c>
      <c r="B1415" s="216" t="str">
        <f t="shared" si="856"/>
        <v>OECD90: Castro-Montoya et al. 2015. In vivo and in vitro effects of a blend of essential oils on rumen methane mitigation</v>
      </c>
      <c r="C1415" s="221" t="s">
        <v>341</v>
      </c>
      <c r="D1415" s="351" t="s">
        <v>342</v>
      </c>
      <c r="E1415" s="221" t="s">
        <v>96</v>
      </c>
      <c r="F1415" s="221" t="s">
        <v>343</v>
      </c>
      <c r="G1415" s="240" t="s">
        <v>24</v>
      </c>
      <c r="H1415" s="221">
        <v>2015</v>
      </c>
      <c r="I1415" s="240"/>
      <c r="J1415" s="338">
        <f>14.6-13.1</f>
        <v>1.5</v>
      </c>
      <c r="K1415" s="333" t="s">
        <v>758</v>
      </c>
      <c r="L1415" s="241">
        <f>(J1415*0.00001*$AL$37)/(0.032)</f>
        <v>1.3125000000000001E-2</v>
      </c>
      <c r="M1415" s="335" t="str">
        <f>'[1]Advanced Controls'!$I$158</f>
        <v>t CH4-CO2eq per kg of protein</v>
      </c>
      <c r="N1415" s="227"/>
      <c r="O1415" s="242" t="s">
        <v>344</v>
      </c>
      <c r="P1415" s="122"/>
      <c r="Q1415" s="228"/>
      <c r="R1415" s="231">
        <f t="shared" si="860"/>
        <v>1.3125000000000001E-2</v>
      </c>
      <c r="S1415" s="230">
        <f t="shared" si="858"/>
        <v>1.3125000000000001E-2</v>
      </c>
      <c r="T1415" s="231">
        <f t="shared" si="861"/>
        <v>0</v>
      </c>
      <c r="U1415" s="232" t="str">
        <f t="shared" si="859"/>
        <v>t CH4-CO2eq per kg of protein</v>
      </c>
      <c r="V1415" s="28"/>
      <c r="W1415" s="28"/>
      <c r="Y1415" s="91"/>
      <c r="AO1415" s="91"/>
      <c r="AP1415" s="28"/>
      <c r="AQ1415" s="28"/>
      <c r="AR1415" s="237"/>
      <c r="AS1415" s="28"/>
      <c r="AT1415" s="304" t="str">
        <f t="shared" si="871"/>
        <v/>
      </c>
      <c r="AU1415" s="304" t="str">
        <f t="shared" si="871"/>
        <v/>
      </c>
      <c r="AV1415" s="28"/>
      <c r="AW1415" s="304">
        <f t="shared" si="862"/>
        <v>1.3125000000000001E-2</v>
      </c>
      <c r="AX1415" s="304">
        <f t="shared" si="862"/>
        <v>1.3125000000000001E-2</v>
      </c>
      <c r="AY1415" s="28"/>
      <c r="AZ1415" s="304" t="str">
        <f t="shared" si="863"/>
        <v/>
      </c>
      <c r="BA1415" s="304" t="str">
        <f t="shared" si="863"/>
        <v/>
      </c>
      <c r="BB1415" s="28"/>
      <c r="BC1415" s="304" t="str">
        <f t="shared" si="864"/>
        <v/>
      </c>
      <c r="BD1415" s="304" t="str">
        <f t="shared" si="864"/>
        <v/>
      </c>
      <c r="BE1415" s="28"/>
      <c r="BF1415" s="304" t="str">
        <f t="shared" si="865"/>
        <v/>
      </c>
      <c r="BG1415" s="304" t="str">
        <f t="shared" si="865"/>
        <v/>
      </c>
      <c r="BH1415" s="28"/>
      <c r="BI1415" s="304" t="str">
        <f t="shared" si="866"/>
        <v/>
      </c>
      <c r="BJ1415" s="304" t="str">
        <f t="shared" si="866"/>
        <v/>
      </c>
      <c r="BK1415" s="28"/>
      <c r="BL1415" s="304" t="str">
        <f t="shared" si="867"/>
        <v/>
      </c>
      <c r="BM1415" s="304" t="str">
        <f t="shared" si="867"/>
        <v/>
      </c>
      <c r="BN1415" s="28"/>
      <c r="BO1415" s="304" t="str">
        <f t="shared" si="868"/>
        <v/>
      </c>
      <c r="BP1415" s="304" t="str">
        <f t="shared" si="868"/>
        <v/>
      </c>
      <c r="BQ1415" s="28"/>
      <c r="BR1415" s="304" t="str">
        <f t="shared" si="869"/>
        <v/>
      </c>
      <c r="BS1415" s="304" t="str">
        <f t="shared" si="869"/>
        <v/>
      </c>
      <c r="BT1415" s="28"/>
      <c r="BU1415" s="304" t="str">
        <f t="shared" si="870"/>
        <v/>
      </c>
      <c r="BV1415" s="304" t="str">
        <f t="shared" si="870"/>
        <v/>
      </c>
      <c r="BW1415" s="28"/>
      <c r="BX1415" s="91"/>
    </row>
    <row r="1416" spans="1:76" s="55" customFormat="1" x14ac:dyDescent="0.25">
      <c r="A1416" s="195">
        <v>87</v>
      </c>
      <c r="B1416" s="216" t="str">
        <f t="shared" si="856"/>
        <v xml:space="preserve">: </v>
      </c>
      <c r="C1416" s="219"/>
      <c r="D1416" s="219"/>
      <c r="E1416" s="219"/>
      <c r="F1416" s="219"/>
      <c r="G1416" s="220"/>
      <c r="H1416" s="221"/>
      <c r="I1416" s="220"/>
      <c r="J1416" s="227"/>
      <c r="K1416" s="227"/>
      <c r="L1416" s="241"/>
      <c r="M1416" s="225" t="str">
        <f>'[1]Advanced Controls'!$I$158</f>
        <v>t CH4-CO2eq per kg of protein</v>
      </c>
      <c r="N1416" s="227"/>
      <c r="O1416" s="241"/>
      <c r="P1416" s="122"/>
      <c r="Q1416" s="228"/>
      <c r="R1416" s="231" t="str">
        <f t="shared" si="860"/>
        <v/>
      </c>
      <c r="S1416" s="230" t="str">
        <f t="shared" si="858"/>
        <v/>
      </c>
      <c r="T1416" s="231" t="str">
        <f t="shared" si="861"/>
        <v/>
      </c>
      <c r="U1416" s="232" t="str">
        <f t="shared" si="859"/>
        <v>t CH4-CO2eq per kg of protein</v>
      </c>
      <c r="V1416" s="28"/>
      <c r="W1416" s="28"/>
      <c r="Y1416" s="91"/>
      <c r="AO1416" s="91"/>
      <c r="AP1416" s="28"/>
      <c r="AQ1416" s="28"/>
      <c r="AR1416" s="237"/>
      <c r="AS1416" s="28"/>
      <c r="AT1416" s="304" t="str">
        <f t="shared" si="871"/>
        <v/>
      </c>
      <c r="AU1416" s="304" t="str">
        <f t="shared" si="871"/>
        <v/>
      </c>
      <c r="AV1416" s="28"/>
      <c r="AW1416" s="304" t="str">
        <f t="shared" si="862"/>
        <v/>
      </c>
      <c r="AX1416" s="304" t="str">
        <f t="shared" si="862"/>
        <v/>
      </c>
      <c r="AY1416" s="28"/>
      <c r="AZ1416" s="304" t="str">
        <f t="shared" si="863"/>
        <v/>
      </c>
      <c r="BA1416" s="304" t="str">
        <f t="shared" si="863"/>
        <v/>
      </c>
      <c r="BB1416" s="28"/>
      <c r="BC1416" s="304" t="str">
        <f t="shared" si="864"/>
        <v/>
      </c>
      <c r="BD1416" s="304" t="str">
        <f t="shared" si="864"/>
        <v/>
      </c>
      <c r="BE1416" s="28"/>
      <c r="BF1416" s="304" t="str">
        <f t="shared" si="865"/>
        <v/>
      </c>
      <c r="BG1416" s="304" t="str">
        <f t="shared" si="865"/>
        <v/>
      </c>
      <c r="BH1416" s="28"/>
      <c r="BI1416" s="304" t="str">
        <f t="shared" si="866"/>
        <v/>
      </c>
      <c r="BJ1416" s="304" t="str">
        <f t="shared" si="866"/>
        <v/>
      </c>
      <c r="BK1416" s="28"/>
      <c r="BL1416" s="304" t="str">
        <f t="shared" si="867"/>
        <v/>
      </c>
      <c r="BM1416" s="304" t="str">
        <f t="shared" si="867"/>
        <v/>
      </c>
      <c r="BN1416" s="28"/>
      <c r="BO1416" s="304" t="str">
        <f t="shared" si="868"/>
        <v/>
      </c>
      <c r="BP1416" s="304" t="str">
        <f t="shared" si="868"/>
        <v/>
      </c>
      <c r="BQ1416" s="28"/>
      <c r="BR1416" s="304" t="str">
        <f t="shared" si="869"/>
        <v/>
      </c>
      <c r="BS1416" s="304" t="str">
        <f t="shared" si="869"/>
        <v/>
      </c>
      <c r="BT1416" s="28"/>
      <c r="BU1416" s="304" t="str">
        <f t="shared" si="870"/>
        <v/>
      </c>
      <c r="BV1416" s="304" t="str">
        <f t="shared" si="870"/>
        <v/>
      </c>
      <c r="BW1416" s="28"/>
      <c r="BX1416" s="91"/>
    </row>
    <row r="1417" spans="1:76" s="55" customFormat="1" x14ac:dyDescent="0.25">
      <c r="A1417" s="195">
        <v>88</v>
      </c>
      <c r="B1417" s="216" t="str">
        <f t="shared" si="856"/>
        <v xml:space="preserve">: </v>
      </c>
      <c r="C1417" s="219"/>
      <c r="D1417" s="219"/>
      <c r="E1417" s="219"/>
      <c r="F1417" s="219"/>
      <c r="G1417" s="220"/>
      <c r="H1417" s="221"/>
      <c r="I1417" s="220"/>
      <c r="J1417" s="227"/>
      <c r="K1417" s="227"/>
      <c r="L1417" s="241"/>
      <c r="M1417" s="225" t="str">
        <f>'[1]Advanced Controls'!$I$158</f>
        <v>t CH4-CO2eq per kg of protein</v>
      </c>
      <c r="N1417" s="227"/>
      <c r="O1417" s="241"/>
      <c r="P1417" s="122"/>
      <c r="Q1417" s="228"/>
      <c r="R1417" s="231" t="str">
        <f t="shared" si="860"/>
        <v/>
      </c>
      <c r="S1417" s="230" t="str">
        <f t="shared" si="858"/>
        <v/>
      </c>
      <c r="T1417" s="231" t="str">
        <f t="shared" si="861"/>
        <v/>
      </c>
      <c r="U1417" s="232" t="str">
        <f t="shared" si="859"/>
        <v>t CH4-CO2eq per kg of protein</v>
      </c>
      <c r="V1417" s="28"/>
      <c r="W1417" s="28"/>
      <c r="Y1417" s="91"/>
      <c r="AO1417" s="91"/>
      <c r="AP1417" s="28"/>
      <c r="AQ1417" s="28"/>
      <c r="AR1417" s="237"/>
      <c r="AS1417" s="28"/>
      <c r="AT1417" s="304" t="str">
        <f t="shared" si="871"/>
        <v/>
      </c>
      <c r="AU1417" s="304" t="str">
        <f t="shared" si="871"/>
        <v/>
      </c>
      <c r="AV1417" s="28"/>
      <c r="AW1417" s="304" t="str">
        <f t="shared" si="862"/>
        <v/>
      </c>
      <c r="AX1417" s="304" t="str">
        <f t="shared" si="862"/>
        <v/>
      </c>
      <c r="AY1417" s="28"/>
      <c r="AZ1417" s="304" t="str">
        <f t="shared" si="863"/>
        <v/>
      </c>
      <c r="BA1417" s="304" t="str">
        <f t="shared" si="863"/>
        <v/>
      </c>
      <c r="BB1417" s="28"/>
      <c r="BC1417" s="304" t="str">
        <f t="shared" si="864"/>
        <v/>
      </c>
      <c r="BD1417" s="304" t="str">
        <f t="shared" si="864"/>
        <v/>
      </c>
      <c r="BE1417" s="28"/>
      <c r="BF1417" s="304" t="str">
        <f t="shared" si="865"/>
        <v/>
      </c>
      <c r="BG1417" s="304" t="str">
        <f t="shared" si="865"/>
        <v/>
      </c>
      <c r="BH1417" s="28"/>
      <c r="BI1417" s="304" t="str">
        <f t="shared" si="866"/>
        <v/>
      </c>
      <c r="BJ1417" s="304" t="str">
        <f t="shared" si="866"/>
        <v/>
      </c>
      <c r="BK1417" s="28"/>
      <c r="BL1417" s="304" t="str">
        <f t="shared" si="867"/>
        <v/>
      </c>
      <c r="BM1417" s="304" t="str">
        <f t="shared" si="867"/>
        <v/>
      </c>
      <c r="BN1417" s="28"/>
      <c r="BO1417" s="304" t="str">
        <f t="shared" si="868"/>
        <v/>
      </c>
      <c r="BP1417" s="304" t="str">
        <f t="shared" si="868"/>
        <v/>
      </c>
      <c r="BQ1417" s="28"/>
      <c r="BR1417" s="304" t="str">
        <f t="shared" si="869"/>
        <v/>
      </c>
      <c r="BS1417" s="304" t="str">
        <f t="shared" si="869"/>
        <v/>
      </c>
      <c r="BT1417" s="28"/>
      <c r="BU1417" s="304" t="str">
        <f t="shared" si="870"/>
        <v/>
      </c>
      <c r="BV1417" s="304" t="str">
        <f t="shared" si="870"/>
        <v/>
      </c>
      <c r="BW1417" s="28"/>
      <c r="BX1417" s="91"/>
    </row>
    <row r="1418" spans="1:76" s="55" customFormat="1" x14ac:dyDescent="0.25">
      <c r="A1418" s="195">
        <v>89</v>
      </c>
      <c r="B1418" s="216" t="str">
        <f t="shared" si="856"/>
        <v xml:space="preserve">: </v>
      </c>
      <c r="C1418" s="219"/>
      <c r="D1418" s="219"/>
      <c r="E1418" s="219"/>
      <c r="F1418" s="219"/>
      <c r="G1418" s="220"/>
      <c r="H1418" s="221"/>
      <c r="I1418" s="220"/>
      <c r="J1418" s="227"/>
      <c r="K1418" s="227"/>
      <c r="L1418" s="241"/>
      <c r="M1418" s="225" t="str">
        <f>'[1]Advanced Controls'!$I$158</f>
        <v>t CH4-CO2eq per kg of protein</v>
      </c>
      <c r="N1418" s="227"/>
      <c r="O1418" s="241"/>
      <c r="P1418" s="122"/>
      <c r="Q1418" s="228"/>
      <c r="R1418" s="231" t="str">
        <f t="shared" si="860"/>
        <v/>
      </c>
      <c r="S1418" s="230" t="str">
        <f t="shared" si="858"/>
        <v/>
      </c>
      <c r="T1418" s="231" t="str">
        <f t="shared" si="861"/>
        <v/>
      </c>
      <c r="U1418" s="232" t="str">
        <f t="shared" si="859"/>
        <v>t CH4-CO2eq per kg of protein</v>
      </c>
      <c r="V1418" s="28"/>
      <c r="W1418" s="28"/>
      <c r="Y1418" s="91"/>
      <c r="AO1418" s="91"/>
      <c r="AP1418" s="28"/>
      <c r="AQ1418" s="28"/>
      <c r="AR1418" s="237"/>
      <c r="AS1418" s="28"/>
      <c r="AT1418" s="304" t="str">
        <f t="shared" si="871"/>
        <v/>
      </c>
      <c r="AU1418" s="304" t="str">
        <f t="shared" si="871"/>
        <v/>
      </c>
      <c r="AV1418" s="28"/>
      <c r="AW1418" s="304" t="str">
        <f t="shared" si="862"/>
        <v/>
      </c>
      <c r="AX1418" s="304" t="str">
        <f t="shared" si="862"/>
        <v/>
      </c>
      <c r="AY1418" s="28"/>
      <c r="AZ1418" s="304" t="str">
        <f t="shared" si="863"/>
        <v/>
      </c>
      <c r="BA1418" s="304" t="str">
        <f t="shared" si="863"/>
        <v/>
      </c>
      <c r="BB1418" s="28"/>
      <c r="BC1418" s="304" t="str">
        <f t="shared" si="864"/>
        <v/>
      </c>
      <c r="BD1418" s="304" t="str">
        <f t="shared" si="864"/>
        <v/>
      </c>
      <c r="BE1418" s="28"/>
      <c r="BF1418" s="304" t="str">
        <f t="shared" si="865"/>
        <v/>
      </c>
      <c r="BG1418" s="304" t="str">
        <f t="shared" si="865"/>
        <v/>
      </c>
      <c r="BH1418" s="28"/>
      <c r="BI1418" s="304" t="str">
        <f t="shared" si="866"/>
        <v/>
      </c>
      <c r="BJ1418" s="304" t="str">
        <f t="shared" si="866"/>
        <v/>
      </c>
      <c r="BK1418" s="28"/>
      <c r="BL1418" s="304" t="str">
        <f t="shared" si="867"/>
        <v/>
      </c>
      <c r="BM1418" s="304" t="str">
        <f t="shared" si="867"/>
        <v/>
      </c>
      <c r="BN1418" s="28"/>
      <c r="BO1418" s="304" t="str">
        <f t="shared" si="868"/>
        <v/>
      </c>
      <c r="BP1418" s="304" t="str">
        <f t="shared" si="868"/>
        <v/>
      </c>
      <c r="BQ1418" s="28"/>
      <c r="BR1418" s="304" t="str">
        <f t="shared" si="869"/>
        <v/>
      </c>
      <c r="BS1418" s="304" t="str">
        <f t="shared" si="869"/>
        <v/>
      </c>
      <c r="BT1418" s="28"/>
      <c r="BU1418" s="304" t="str">
        <f t="shared" si="870"/>
        <v/>
      </c>
      <c r="BV1418" s="304" t="str">
        <f t="shared" si="870"/>
        <v/>
      </c>
      <c r="BW1418" s="28"/>
      <c r="BX1418" s="91"/>
    </row>
    <row r="1419" spans="1:76" s="55" customFormat="1" x14ac:dyDescent="0.25">
      <c r="A1419" s="195">
        <v>90</v>
      </c>
      <c r="B1419" s="216" t="str">
        <f t="shared" si="856"/>
        <v xml:space="preserve">: </v>
      </c>
      <c r="C1419" s="219"/>
      <c r="D1419" s="219"/>
      <c r="E1419" s="219"/>
      <c r="F1419" s="219"/>
      <c r="G1419" s="220"/>
      <c r="H1419" s="221"/>
      <c r="I1419" s="220"/>
      <c r="J1419" s="227"/>
      <c r="K1419" s="227"/>
      <c r="L1419" s="241"/>
      <c r="M1419" s="225" t="str">
        <f>'[1]Advanced Controls'!$I$158</f>
        <v>t CH4-CO2eq per kg of protein</v>
      </c>
      <c r="N1419" s="227"/>
      <c r="O1419" s="241"/>
      <c r="P1419" s="122"/>
      <c r="Q1419" s="228"/>
      <c r="R1419" s="231" t="str">
        <f t="shared" si="860"/>
        <v/>
      </c>
      <c r="S1419" s="230" t="str">
        <f t="shared" si="858"/>
        <v/>
      </c>
      <c r="T1419" s="231" t="str">
        <f t="shared" si="861"/>
        <v/>
      </c>
      <c r="U1419" s="232" t="str">
        <f t="shared" si="859"/>
        <v>t CH4-CO2eq per kg of protein</v>
      </c>
      <c r="V1419" s="28"/>
      <c r="W1419" s="28"/>
      <c r="Y1419" s="91"/>
      <c r="AO1419" s="91"/>
      <c r="AP1419" s="28"/>
      <c r="AQ1419" s="28"/>
      <c r="AR1419" s="237"/>
      <c r="AS1419" s="28"/>
      <c r="AT1419" s="304" t="str">
        <f t="shared" si="871"/>
        <v/>
      </c>
      <c r="AU1419" s="304" t="str">
        <f t="shared" si="871"/>
        <v/>
      </c>
      <c r="AV1419" s="28"/>
      <c r="AW1419" s="304" t="str">
        <f t="shared" si="862"/>
        <v/>
      </c>
      <c r="AX1419" s="304" t="str">
        <f t="shared" si="862"/>
        <v/>
      </c>
      <c r="AY1419" s="28"/>
      <c r="AZ1419" s="304" t="str">
        <f t="shared" si="863"/>
        <v/>
      </c>
      <c r="BA1419" s="304" t="str">
        <f t="shared" si="863"/>
        <v/>
      </c>
      <c r="BB1419" s="28"/>
      <c r="BC1419" s="304" t="str">
        <f t="shared" si="864"/>
        <v/>
      </c>
      <c r="BD1419" s="304" t="str">
        <f t="shared" si="864"/>
        <v/>
      </c>
      <c r="BE1419" s="28"/>
      <c r="BF1419" s="304" t="str">
        <f t="shared" si="865"/>
        <v/>
      </c>
      <c r="BG1419" s="304" t="str">
        <f t="shared" si="865"/>
        <v/>
      </c>
      <c r="BH1419" s="28"/>
      <c r="BI1419" s="304" t="str">
        <f t="shared" si="866"/>
        <v/>
      </c>
      <c r="BJ1419" s="304" t="str">
        <f t="shared" si="866"/>
        <v/>
      </c>
      <c r="BK1419" s="28"/>
      <c r="BL1419" s="304" t="str">
        <f t="shared" si="867"/>
        <v/>
      </c>
      <c r="BM1419" s="304" t="str">
        <f t="shared" si="867"/>
        <v/>
      </c>
      <c r="BN1419" s="28"/>
      <c r="BO1419" s="304" t="str">
        <f t="shared" si="868"/>
        <v/>
      </c>
      <c r="BP1419" s="304" t="str">
        <f t="shared" si="868"/>
        <v/>
      </c>
      <c r="BQ1419" s="28"/>
      <c r="BR1419" s="304" t="str">
        <f t="shared" si="869"/>
        <v/>
      </c>
      <c r="BS1419" s="304" t="str">
        <f t="shared" si="869"/>
        <v/>
      </c>
      <c r="BT1419" s="28"/>
      <c r="BU1419" s="304" t="str">
        <f t="shared" si="870"/>
        <v/>
      </c>
      <c r="BV1419" s="304" t="str">
        <f t="shared" si="870"/>
        <v/>
      </c>
      <c r="BW1419" s="28"/>
      <c r="BX1419" s="91"/>
    </row>
    <row r="1420" spans="1:76" s="55" customFormat="1" x14ac:dyDescent="0.25">
      <c r="A1420" s="195">
        <v>91</v>
      </c>
      <c r="B1420" s="216" t="str">
        <f t="shared" si="856"/>
        <v xml:space="preserve">: </v>
      </c>
      <c r="C1420" s="219"/>
      <c r="D1420" s="219"/>
      <c r="E1420" s="219"/>
      <c r="F1420" s="219"/>
      <c r="G1420" s="220"/>
      <c r="H1420" s="221"/>
      <c r="I1420" s="220"/>
      <c r="J1420" s="227"/>
      <c r="K1420" s="227"/>
      <c r="L1420" s="241"/>
      <c r="M1420" s="225" t="str">
        <f>'[1]Advanced Controls'!$I$158</f>
        <v>t CH4-CO2eq per kg of protein</v>
      </c>
      <c r="N1420" s="227"/>
      <c r="O1420" s="241"/>
      <c r="P1420" s="122"/>
      <c r="Q1420" s="228"/>
      <c r="R1420" s="231" t="str">
        <f t="shared" si="860"/>
        <v/>
      </c>
      <c r="S1420" s="230" t="str">
        <f t="shared" si="858"/>
        <v/>
      </c>
      <c r="T1420" s="231" t="str">
        <f t="shared" si="861"/>
        <v/>
      </c>
      <c r="U1420" s="232" t="str">
        <f t="shared" si="859"/>
        <v>t CH4-CO2eq per kg of protein</v>
      </c>
      <c r="V1420" s="28"/>
      <c r="W1420" s="28"/>
      <c r="Y1420" s="91"/>
      <c r="AO1420" s="91"/>
      <c r="AP1420" s="28"/>
      <c r="AQ1420" s="28"/>
      <c r="AR1420" s="237"/>
      <c r="AS1420" s="28"/>
      <c r="AT1420" s="304" t="str">
        <f t="shared" si="871"/>
        <v/>
      </c>
      <c r="AU1420" s="304" t="str">
        <f t="shared" si="871"/>
        <v/>
      </c>
      <c r="AV1420" s="28"/>
      <c r="AW1420" s="304" t="str">
        <f t="shared" si="862"/>
        <v/>
      </c>
      <c r="AX1420" s="304" t="str">
        <f t="shared" si="862"/>
        <v/>
      </c>
      <c r="AY1420" s="28"/>
      <c r="AZ1420" s="304" t="str">
        <f t="shared" si="863"/>
        <v/>
      </c>
      <c r="BA1420" s="304" t="str">
        <f t="shared" si="863"/>
        <v/>
      </c>
      <c r="BB1420" s="28"/>
      <c r="BC1420" s="304" t="str">
        <f t="shared" si="864"/>
        <v/>
      </c>
      <c r="BD1420" s="304" t="str">
        <f t="shared" si="864"/>
        <v/>
      </c>
      <c r="BE1420" s="28"/>
      <c r="BF1420" s="304" t="str">
        <f t="shared" si="865"/>
        <v/>
      </c>
      <c r="BG1420" s="304" t="str">
        <f t="shared" si="865"/>
        <v/>
      </c>
      <c r="BH1420" s="28"/>
      <c r="BI1420" s="304" t="str">
        <f t="shared" si="866"/>
        <v/>
      </c>
      <c r="BJ1420" s="304" t="str">
        <f t="shared" si="866"/>
        <v/>
      </c>
      <c r="BK1420" s="28"/>
      <c r="BL1420" s="304" t="str">
        <f t="shared" si="867"/>
        <v/>
      </c>
      <c r="BM1420" s="304" t="str">
        <f t="shared" si="867"/>
        <v/>
      </c>
      <c r="BN1420" s="28"/>
      <c r="BO1420" s="304" t="str">
        <f t="shared" si="868"/>
        <v/>
      </c>
      <c r="BP1420" s="304" t="str">
        <f t="shared" si="868"/>
        <v/>
      </c>
      <c r="BQ1420" s="28"/>
      <c r="BR1420" s="304" t="str">
        <f t="shared" si="869"/>
        <v/>
      </c>
      <c r="BS1420" s="304" t="str">
        <f t="shared" si="869"/>
        <v/>
      </c>
      <c r="BT1420" s="28"/>
      <c r="BU1420" s="304" t="str">
        <f t="shared" si="870"/>
        <v/>
      </c>
      <c r="BV1420" s="304" t="str">
        <f t="shared" si="870"/>
        <v/>
      </c>
      <c r="BW1420" s="28"/>
      <c r="BX1420" s="91"/>
    </row>
    <row r="1421" spans="1:76" s="55" customFormat="1" x14ac:dyDescent="0.25">
      <c r="A1421" s="195">
        <v>92</v>
      </c>
      <c r="B1421" s="216" t="str">
        <f t="shared" si="856"/>
        <v xml:space="preserve">: </v>
      </c>
      <c r="C1421" s="219"/>
      <c r="D1421" s="219"/>
      <c r="E1421" s="219"/>
      <c r="F1421" s="219"/>
      <c r="G1421" s="220"/>
      <c r="H1421" s="221"/>
      <c r="I1421" s="220"/>
      <c r="J1421" s="227"/>
      <c r="K1421" s="227"/>
      <c r="L1421" s="241"/>
      <c r="M1421" s="225" t="str">
        <f>'[1]Advanced Controls'!$I$158</f>
        <v>t CH4-CO2eq per kg of protein</v>
      </c>
      <c r="N1421" s="227"/>
      <c r="O1421" s="241"/>
      <c r="P1421" s="122"/>
      <c r="Q1421" s="228"/>
      <c r="R1421" s="231" t="str">
        <f t="shared" si="860"/>
        <v/>
      </c>
      <c r="S1421" s="230" t="str">
        <f t="shared" si="858"/>
        <v/>
      </c>
      <c r="T1421" s="231" t="str">
        <f t="shared" si="861"/>
        <v/>
      </c>
      <c r="U1421" s="232" t="str">
        <f t="shared" si="859"/>
        <v>t CH4-CO2eq per kg of protein</v>
      </c>
      <c r="V1421" s="28"/>
      <c r="W1421" s="28"/>
      <c r="Y1421" s="91"/>
      <c r="AO1421" s="91"/>
      <c r="AP1421" s="28"/>
      <c r="AQ1421" s="28"/>
      <c r="AR1421" s="237"/>
      <c r="AS1421" s="28"/>
      <c r="AT1421" s="304" t="str">
        <f t="shared" si="871"/>
        <v/>
      </c>
      <c r="AU1421" s="304" t="str">
        <f t="shared" si="871"/>
        <v/>
      </c>
      <c r="AV1421" s="28"/>
      <c r="AW1421" s="304" t="str">
        <f t="shared" si="862"/>
        <v/>
      </c>
      <c r="AX1421" s="304" t="str">
        <f t="shared" si="862"/>
        <v/>
      </c>
      <c r="AY1421" s="28"/>
      <c r="AZ1421" s="304" t="str">
        <f t="shared" si="863"/>
        <v/>
      </c>
      <c r="BA1421" s="304" t="str">
        <f t="shared" si="863"/>
        <v/>
      </c>
      <c r="BB1421" s="28"/>
      <c r="BC1421" s="304" t="str">
        <f t="shared" si="864"/>
        <v/>
      </c>
      <c r="BD1421" s="304" t="str">
        <f t="shared" si="864"/>
        <v/>
      </c>
      <c r="BE1421" s="28"/>
      <c r="BF1421" s="304" t="str">
        <f t="shared" si="865"/>
        <v/>
      </c>
      <c r="BG1421" s="304" t="str">
        <f t="shared" si="865"/>
        <v/>
      </c>
      <c r="BH1421" s="28"/>
      <c r="BI1421" s="304" t="str">
        <f t="shared" si="866"/>
        <v/>
      </c>
      <c r="BJ1421" s="304" t="str">
        <f t="shared" si="866"/>
        <v/>
      </c>
      <c r="BK1421" s="28"/>
      <c r="BL1421" s="304" t="str">
        <f t="shared" si="867"/>
        <v/>
      </c>
      <c r="BM1421" s="304" t="str">
        <f t="shared" si="867"/>
        <v/>
      </c>
      <c r="BN1421" s="28"/>
      <c r="BO1421" s="304" t="str">
        <f t="shared" si="868"/>
        <v/>
      </c>
      <c r="BP1421" s="304" t="str">
        <f t="shared" si="868"/>
        <v/>
      </c>
      <c r="BQ1421" s="28"/>
      <c r="BR1421" s="304" t="str">
        <f t="shared" si="869"/>
        <v/>
      </c>
      <c r="BS1421" s="304" t="str">
        <f t="shared" si="869"/>
        <v/>
      </c>
      <c r="BT1421" s="28"/>
      <c r="BU1421" s="304" t="str">
        <f t="shared" si="870"/>
        <v/>
      </c>
      <c r="BV1421" s="304" t="str">
        <f t="shared" si="870"/>
        <v/>
      </c>
      <c r="BW1421" s="28"/>
      <c r="BX1421" s="91"/>
    </row>
    <row r="1422" spans="1:76" s="55" customFormat="1" x14ac:dyDescent="0.25">
      <c r="A1422" s="195">
        <v>93</v>
      </c>
      <c r="B1422" s="216" t="str">
        <f t="shared" si="856"/>
        <v xml:space="preserve">: </v>
      </c>
      <c r="C1422" s="219"/>
      <c r="D1422" s="219"/>
      <c r="E1422" s="219"/>
      <c r="F1422" s="219"/>
      <c r="G1422" s="220"/>
      <c r="H1422" s="221"/>
      <c r="I1422" s="220"/>
      <c r="J1422" s="227"/>
      <c r="K1422" s="227"/>
      <c r="L1422" s="241"/>
      <c r="M1422" s="225" t="str">
        <f>'[1]Advanced Controls'!$I$158</f>
        <v>t CH4-CO2eq per kg of protein</v>
      </c>
      <c r="N1422" s="227"/>
      <c r="O1422" s="241"/>
      <c r="P1422" s="122"/>
      <c r="Q1422" s="228"/>
      <c r="R1422" s="231" t="str">
        <f t="shared" si="860"/>
        <v/>
      </c>
      <c r="S1422" s="230" t="str">
        <f t="shared" si="858"/>
        <v/>
      </c>
      <c r="T1422" s="231" t="str">
        <f t="shared" si="861"/>
        <v/>
      </c>
      <c r="U1422" s="232" t="str">
        <f t="shared" si="859"/>
        <v>t CH4-CO2eq per kg of protein</v>
      </c>
      <c r="V1422" s="28"/>
      <c r="W1422" s="28"/>
      <c r="Y1422" s="91"/>
      <c r="AO1422" s="91"/>
      <c r="AP1422" s="28"/>
      <c r="AQ1422" s="28"/>
      <c r="AR1422" s="237"/>
      <c r="AS1422" s="28"/>
      <c r="AT1422" s="304" t="str">
        <f t="shared" si="871"/>
        <v/>
      </c>
      <c r="AU1422" s="304" t="str">
        <f t="shared" si="871"/>
        <v/>
      </c>
      <c r="AV1422" s="28"/>
      <c r="AW1422" s="304" t="str">
        <f t="shared" si="862"/>
        <v/>
      </c>
      <c r="AX1422" s="304" t="str">
        <f t="shared" si="862"/>
        <v/>
      </c>
      <c r="AY1422" s="28"/>
      <c r="AZ1422" s="304" t="str">
        <f t="shared" si="863"/>
        <v/>
      </c>
      <c r="BA1422" s="304" t="str">
        <f t="shared" si="863"/>
        <v/>
      </c>
      <c r="BB1422" s="28"/>
      <c r="BC1422" s="304" t="str">
        <f t="shared" si="864"/>
        <v/>
      </c>
      <c r="BD1422" s="304" t="str">
        <f t="shared" si="864"/>
        <v/>
      </c>
      <c r="BE1422" s="28"/>
      <c r="BF1422" s="304" t="str">
        <f t="shared" si="865"/>
        <v/>
      </c>
      <c r="BG1422" s="304" t="str">
        <f t="shared" si="865"/>
        <v/>
      </c>
      <c r="BH1422" s="28"/>
      <c r="BI1422" s="304" t="str">
        <f t="shared" si="866"/>
        <v/>
      </c>
      <c r="BJ1422" s="304" t="str">
        <f t="shared" si="866"/>
        <v/>
      </c>
      <c r="BK1422" s="28"/>
      <c r="BL1422" s="304" t="str">
        <f t="shared" si="867"/>
        <v/>
      </c>
      <c r="BM1422" s="304" t="str">
        <f t="shared" si="867"/>
        <v/>
      </c>
      <c r="BN1422" s="28"/>
      <c r="BO1422" s="304" t="str">
        <f t="shared" si="868"/>
        <v/>
      </c>
      <c r="BP1422" s="304" t="str">
        <f t="shared" si="868"/>
        <v/>
      </c>
      <c r="BQ1422" s="28"/>
      <c r="BR1422" s="304" t="str">
        <f t="shared" si="869"/>
        <v/>
      </c>
      <c r="BS1422" s="304" t="str">
        <f t="shared" si="869"/>
        <v/>
      </c>
      <c r="BT1422" s="28"/>
      <c r="BU1422" s="304" t="str">
        <f t="shared" si="870"/>
        <v/>
      </c>
      <c r="BV1422" s="304" t="str">
        <f t="shared" si="870"/>
        <v/>
      </c>
      <c r="BW1422" s="28"/>
      <c r="BX1422" s="91"/>
    </row>
    <row r="1423" spans="1:76" s="55" customFormat="1" x14ac:dyDescent="0.25">
      <c r="A1423" s="195">
        <v>94</v>
      </c>
      <c r="B1423" s="216" t="str">
        <f t="shared" si="856"/>
        <v xml:space="preserve">: </v>
      </c>
      <c r="C1423" s="219"/>
      <c r="D1423" s="219"/>
      <c r="E1423" s="219"/>
      <c r="F1423" s="219"/>
      <c r="G1423" s="220"/>
      <c r="H1423" s="221"/>
      <c r="I1423" s="220"/>
      <c r="J1423" s="227"/>
      <c r="K1423" s="227"/>
      <c r="L1423" s="241"/>
      <c r="M1423" s="225" t="str">
        <f>'[1]Advanced Controls'!$I$158</f>
        <v>t CH4-CO2eq per kg of protein</v>
      </c>
      <c r="N1423" s="227"/>
      <c r="O1423" s="241"/>
      <c r="P1423" s="122"/>
      <c r="Q1423" s="228"/>
      <c r="R1423" s="231" t="str">
        <f t="shared" si="860"/>
        <v/>
      </c>
      <c r="S1423" s="230" t="str">
        <f t="shared" si="858"/>
        <v/>
      </c>
      <c r="T1423" s="231" t="str">
        <f t="shared" si="861"/>
        <v/>
      </c>
      <c r="U1423" s="232" t="str">
        <f t="shared" si="859"/>
        <v>t CH4-CO2eq per kg of protein</v>
      </c>
      <c r="V1423" s="28"/>
      <c r="W1423" s="28"/>
      <c r="Y1423" s="91"/>
      <c r="AO1423" s="91"/>
      <c r="AP1423" s="28"/>
      <c r="AQ1423" s="28"/>
      <c r="AR1423" s="237"/>
      <c r="AS1423" s="28"/>
      <c r="AT1423" s="304" t="str">
        <f t="shared" si="871"/>
        <v/>
      </c>
      <c r="AU1423" s="304" t="str">
        <f t="shared" si="871"/>
        <v/>
      </c>
      <c r="AV1423" s="28"/>
      <c r="AW1423" s="304" t="str">
        <f t="shared" si="862"/>
        <v/>
      </c>
      <c r="AX1423" s="304" t="str">
        <f t="shared" si="862"/>
        <v/>
      </c>
      <c r="AY1423" s="28"/>
      <c r="AZ1423" s="304" t="str">
        <f t="shared" si="863"/>
        <v/>
      </c>
      <c r="BA1423" s="304" t="str">
        <f t="shared" si="863"/>
        <v/>
      </c>
      <c r="BB1423" s="28"/>
      <c r="BC1423" s="304" t="str">
        <f t="shared" si="864"/>
        <v/>
      </c>
      <c r="BD1423" s="304" t="str">
        <f t="shared" si="864"/>
        <v/>
      </c>
      <c r="BE1423" s="28"/>
      <c r="BF1423" s="304" t="str">
        <f t="shared" si="865"/>
        <v/>
      </c>
      <c r="BG1423" s="304" t="str">
        <f t="shared" si="865"/>
        <v/>
      </c>
      <c r="BH1423" s="28"/>
      <c r="BI1423" s="304" t="str">
        <f t="shared" si="866"/>
        <v/>
      </c>
      <c r="BJ1423" s="304" t="str">
        <f t="shared" si="866"/>
        <v/>
      </c>
      <c r="BK1423" s="28"/>
      <c r="BL1423" s="304" t="str">
        <f t="shared" si="867"/>
        <v/>
      </c>
      <c r="BM1423" s="304" t="str">
        <f t="shared" si="867"/>
        <v/>
      </c>
      <c r="BN1423" s="28"/>
      <c r="BO1423" s="304" t="str">
        <f t="shared" si="868"/>
        <v/>
      </c>
      <c r="BP1423" s="304" t="str">
        <f t="shared" si="868"/>
        <v/>
      </c>
      <c r="BQ1423" s="28"/>
      <c r="BR1423" s="304" t="str">
        <f t="shared" si="869"/>
        <v/>
      </c>
      <c r="BS1423" s="304" t="str">
        <f t="shared" si="869"/>
        <v/>
      </c>
      <c r="BT1423" s="28"/>
      <c r="BU1423" s="304" t="str">
        <f t="shared" si="870"/>
        <v/>
      </c>
      <c r="BV1423" s="304" t="str">
        <f t="shared" si="870"/>
        <v/>
      </c>
      <c r="BW1423" s="28"/>
      <c r="BX1423" s="91"/>
    </row>
    <row r="1424" spans="1:76" s="55" customFormat="1" x14ac:dyDescent="0.25">
      <c r="A1424" s="195">
        <v>95</v>
      </c>
      <c r="B1424" s="216" t="str">
        <f t="shared" si="856"/>
        <v xml:space="preserve">: </v>
      </c>
      <c r="C1424" s="219"/>
      <c r="D1424" s="219"/>
      <c r="E1424" s="219"/>
      <c r="F1424" s="219"/>
      <c r="G1424" s="220"/>
      <c r="H1424" s="221"/>
      <c r="I1424" s="220"/>
      <c r="J1424" s="227"/>
      <c r="K1424" s="227"/>
      <c r="L1424" s="241"/>
      <c r="M1424" s="225" t="str">
        <f>'[1]Advanced Controls'!$I$158</f>
        <v>t CH4-CO2eq per kg of protein</v>
      </c>
      <c r="N1424" s="227"/>
      <c r="O1424" s="241"/>
      <c r="P1424" s="122"/>
      <c r="Q1424" s="228"/>
      <c r="R1424" s="231" t="str">
        <f t="shared" si="860"/>
        <v/>
      </c>
      <c r="S1424" s="230" t="str">
        <f t="shared" si="858"/>
        <v/>
      </c>
      <c r="T1424" s="231" t="str">
        <f t="shared" si="861"/>
        <v/>
      </c>
      <c r="U1424" s="232" t="str">
        <f t="shared" si="859"/>
        <v>t CH4-CO2eq per kg of protein</v>
      </c>
      <c r="V1424" s="28"/>
      <c r="W1424" s="28"/>
      <c r="Y1424" s="91"/>
      <c r="AO1424" s="91"/>
      <c r="AP1424" s="28"/>
      <c r="AQ1424" s="28"/>
      <c r="AR1424" s="237"/>
      <c r="AS1424" s="28"/>
      <c r="AT1424" s="304" t="str">
        <f t="shared" si="871"/>
        <v/>
      </c>
      <c r="AU1424" s="304" t="str">
        <f t="shared" si="871"/>
        <v/>
      </c>
      <c r="AV1424" s="28"/>
      <c r="AW1424" s="304" t="str">
        <f t="shared" si="862"/>
        <v/>
      </c>
      <c r="AX1424" s="304" t="str">
        <f t="shared" si="862"/>
        <v/>
      </c>
      <c r="AY1424" s="28"/>
      <c r="AZ1424" s="304" t="str">
        <f t="shared" si="863"/>
        <v/>
      </c>
      <c r="BA1424" s="304" t="str">
        <f t="shared" si="863"/>
        <v/>
      </c>
      <c r="BB1424" s="28"/>
      <c r="BC1424" s="304" t="str">
        <f t="shared" si="864"/>
        <v/>
      </c>
      <c r="BD1424" s="304" t="str">
        <f t="shared" si="864"/>
        <v/>
      </c>
      <c r="BE1424" s="28"/>
      <c r="BF1424" s="304" t="str">
        <f t="shared" si="865"/>
        <v/>
      </c>
      <c r="BG1424" s="304" t="str">
        <f t="shared" si="865"/>
        <v/>
      </c>
      <c r="BH1424" s="28"/>
      <c r="BI1424" s="304" t="str">
        <f t="shared" si="866"/>
        <v/>
      </c>
      <c r="BJ1424" s="304" t="str">
        <f t="shared" si="866"/>
        <v/>
      </c>
      <c r="BK1424" s="28"/>
      <c r="BL1424" s="304" t="str">
        <f t="shared" si="867"/>
        <v/>
      </c>
      <c r="BM1424" s="304" t="str">
        <f t="shared" si="867"/>
        <v/>
      </c>
      <c r="BN1424" s="28"/>
      <c r="BO1424" s="304" t="str">
        <f t="shared" si="868"/>
        <v/>
      </c>
      <c r="BP1424" s="304" t="str">
        <f t="shared" si="868"/>
        <v/>
      </c>
      <c r="BQ1424" s="28"/>
      <c r="BR1424" s="304" t="str">
        <f t="shared" si="869"/>
        <v/>
      </c>
      <c r="BS1424" s="304" t="str">
        <f t="shared" si="869"/>
        <v/>
      </c>
      <c r="BT1424" s="28"/>
      <c r="BU1424" s="304" t="str">
        <f t="shared" si="870"/>
        <v/>
      </c>
      <c r="BV1424" s="304" t="str">
        <f t="shared" si="870"/>
        <v/>
      </c>
      <c r="BW1424" s="28"/>
      <c r="BX1424" s="91"/>
    </row>
    <row r="1425" spans="1:76" s="55" customFormat="1" x14ac:dyDescent="0.25">
      <c r="A1425" s="195"/>
      <c r="B1425" s="244" t="s">
        <v>163</v>
      </c>
      <c r="C1425" s="199"/>
      <c r="D1425" s="199"/>
      <c r="E1425" s="199"/>
      <c r="F1425" s="199"/>
      <c r="H1425" s="28"/>
      <c r="I1425" s="245"/>
      <c r="J1425" s="122"/>
      <c r="K1425" s="122"/>
      <c r="L1425" s="122" t="s">
        <v>134</v>
      </c>
      <c r="M1425" s="122"/>
      <c r="N1425" s="122"/>
      <c r="O1425" s="122"/>
      <c r="P1425" s="122"/>
      <c r="Q1425" s="305" t="s">
        <v>136</v>
      </c>
      <c r="R1425" s="246">
        <f>AVERAGE(R1330:R1424)</f>
        <v>0.10765235309698098</v>
      </c>
      <c r="S1425" s="247">
        <f>IF(R1433="Y",SUM(S1330:S1424)/SUMPRODUCT(N1330:N1424,--ISNUMBER(S1330:S1424)),AVERAGE(S1330:S1424))</f>
        <v>9.3346210834409082E-2</v>
      </c>
      <c r="T1425" s="248" t="e">
        <f>SUM(T1330:T1424)/SUMPRODUCT(N1330:N1424,--ISNUMBER(T1330:T1424))</f>
        <v>#DIV/0!</v>
      </c>
      <c r="U1425" s="28"/>
      <c r="V1425" s="28"/>
      <c r="W1425" s="28"/>
      <c r="Y1425" s="249"/>
      <c r="AO1425" s="91"/>
      <c r="AP1425" s="28"/>
      <c r="AQ1425" s="28"/>
      <c r="AR1425" s="28"/>
      <c r="AS1425" s="245" t="s">
        <v>136</v>
      </c>
      <c r="AT1425" s="307" t="e">
        <f>AVERAGE(AT1330:AT1424)</f>
        <v>#DIV/0!</v>
      </c>
      <c r="AU1425" s="307" t="e">
        <f>SUM(AU1330:AU1424)/COUNTIF(AU1330:AU1424,"&gt;0")</f>
        <v>#DIV/0!</v>
      </c>
      <c r="AV1425" s="245"/>
      <c r="AW1425" s="307">
        <f>AVERAGE(AW1330:AW1424)</f>
        <v>1.9250000000000003E-2</v>
      </c>
      <c r="AX1425" s="307">
        <f>SUM(AX1330:AX1424)/COUNTIF(AX1330:AX1424,"&gt;0")</f>
        <v>1.9250000000000003E-2</v>
      </c>
      <c r="AY1425" s="28"/>
      <c r="AZ1425" s="307" t="e">
        <f>AVERAGE(AZ1330:AZ1424)</f>
        <v>#DIV/0!</v>
      </c>
      <c r="BA1425" s="307" t="e">
        <f>SUM(BA1330:BA1424)/COUNTIF(BA1330:BA1424,"&gt;0")</f>
        <v>#DIV/0!</v>
      </c>
      <c r="BB1425" s="28"/>
      <c r="BC1425" s="307">
        <f>AVERAGE(BC1330:BC1424)</f>
        <v>5.3924017857142847E-2</v>
      </c>
      <c r="BD1425" s="307">
        <f>SUM(BD1330:BD1424)/COUNTIF(BD1330:BD1424,"&gt;0")</f>
        <v>5.3924017857142847E-2</v>
      </c>
      <c r="BE1425" s="28"/>
      <c r="BF1425" s="307">
        <f>AVERAGE(BF1330:BF1424)</f>
        <v>0.15563348660714288</v>
      </c>
      <c r="BG1425" s="307">
        <f>SUM(BG1330:BG1424)/COUNTIF(BG1330:BG1424,"&gt;0")</f>
        <v>0.13210681250000003</v>
      </c>
      <c r="BH1425" s="28"/>
      <c r="BI1425" s="307">
        <f>AVERAGE(BI1330:BI1424)</f>
        <v>4.343190705679862E-2</v>
      </c>
      <c r="BJ1425" s="307">
        <f>SUM(BJ1330:BJ1424)/COUNTIF(BJ1330:BJ1424,"&gt;0")</f>
        <v>4.5040496207050425E-2</v>
      </c>
      <c r="BK1425" s="245"/>
      <c r="BL1425" s="307" t="e">
        <f>AVERAGE(BL1330:BL1424)</f>
        <v>#DIV/0!</v>
      </c>
      <c r="BM1425" s="307" t="e">
        <f>SUM(BM1330:BM1424)/COUNTIF(BM1330:BM1424,"&gt;0")</f>
        <v>#DIV/0!</v>
      </c>
      <c r="BN1425" s="28"/>
      <c r="BO1425" s="307" t="e">
        <f>AVERAGE(BO1330:BO1424)</f>
        <v>#DIV/0!</v>
      </c>
      <c r="BP1425" s="307" t="e">
        <f>SUM(BP1330:BP1424)/COUNTIF(BP1330:BP1424,"&gt;0")</f>
        <v>#DIV/0!</v>
      </c>
      <c r="BQ1425" s="28"/>
      <c r="BR1425" s="307" t="e">
        <f>AVERAGE(BR1330:BR1424)</f>
        <v>#DIV/0!</v>
      </c>
      <c r="BS1425" s="307" t="e">
        <f>SUM(BS1330:BS1424)/COUNTIF(BS1330:BS1424,"&gt;0")</f>
        <v>#DIV/0!</v>
      </c>
      <c r="BT1425" s="28"/>
      <c r="BU1425" s="307" t="e">
        <f>AVERAGE(BU1330:BU1424)</f>
        <v>#DIV/0!</v>
      </c>
      <c r="BV1425" s="307" t="e">
        <f>SUM(BV1330:BV1424)/COUNTIF(BV1330:BV1424,"&gt;0")</f>
        <v>#DIV/0!</v>
      </c>
      <c r="BW1425" s="28"/>
      <c r="BX1425" s="91"/>
    </row>
    <row r="1426" spans="1:76" s="55" customFormat="1" x14ac:dyDescent="0.25">
      <c r="A1426" s="195"/>
      <c r="B1426" s="244" t="s">
        <v>164</v>
      </c>
      <c r="C1426" s="199" t="s">
        <v>139</v>
      </c>
      <c r="D1426" s="252" t="s">
        <v>760</v>
      </c>
      <c r="E1426" s="253"/>
      <c r="F1426" s="253"/>
      <c r="G1426" s="253"/>
      <c r="H1426" s="253"/>
      <c r="I1426" s="253"/>
      <c r="J1426" s="254"/>
      <c r="K1426" s="122"/>
      <c r="L1426" s="122"/>
      <c r="M1426" s="122"/>
      <c r="N1426" s="122"/>
      <c r="O1426" s="122"/>
      <c r="P1426" s="122"/>
      <c r="Q1426" s="306" t="s">
        <v>144</v>
      </c>
      <c r="R1426" s="257">
        <f>R1425+U1426*R1429</f>
        <v>0.25299810817968255</v>
      </c>
      <c r="S1426" s="257">
        <f>S1425+U1426*S1429</f>
        <v>0.20610438393635389</v>
      </c>
      <c r="T1426" s="257" t="e">
        <f>T1425+U1426*T1429</f>
        <v>#DIV/0!</v>
      </c>
      <c r="U1426" s="258">
        <v>1</v>
      </c>
      <c r="V1426" s="122" t="s">
        <v>142</v>
      </c>
      <c r="W1426" s="28"/>
      <c r="X1426" s="259" t="s">
        <v>143</v>
      </c>
      <c r="Y1426" s="260"/>
      <c r="AO1426" s="91"/>
      <c r="AP1426" s="28"/>
      <c r="AQ1426" s="28"/>
      <c r="AR1426" s="28"/>
      <c r="AS1426" s="256" t="s">
        <v>144</v>
      </c>
      <c r="AT1426" s="261" t="e">
        <f>AT1425+(AT1431*AT1428)</f>
        <v>#DIV/0!</v>
      </c>
      <c r="AU1426" s="261" t="e">
        <f>AU1425+(AU1431*AT1428)</f>
        <v>#DIV/0!</v>
      </c>
      <c r="AV1426" s="256"/>
      <c r="AW1426" s="261">
        <f>AW1425+(AW1431*AW1428)</f>
        <v>2.7912058069535211E-2</v>
      </c>
      <c r="AX1426" s="261">
        <f>AX1425+(AX1431*AW1428)</f>
        <v>2.7912058069535211E-2</v>
      </c>
      <c r="AY1426" s="28"/>
      <c r="AZ1426" s="261" t="e">
        <f>AZ1425+(AZ1431*AZ1428)</f>
        <v>#DIV/0!</v>
      </c>
      <c r="BA1426" s="261" t="e">
        <f>BA1425+(BA1431*AZ1428)</f>
        <v>#DIV/0!</v>
      </c>
      <c r="BB1426" s="28"/>
      <c r="BC1426" s="261">
        <f>BC1425+(BC1431*BC1428)</f>
        <v>9.9621215596402329E-2</v>
      </c>
      <c r="BD1426" s="261">
        <f>BD1425+(BD1431*BC1428)</f>
        <v>9.9621215596402329E-2</v>
      </c>
      <c r="BE1426" s="28"/>
      <c r="BF1426" s="261">
        <f>BF1425+(BF1431*BF1428)</f>
        <v>0.3306442047297663</v>
      </c>
      <c r="BG1426" s="261">
        <f>BG1425+(BG1431*BF1428)</f>
        <v>0.26657112261583438</v>
      </c>
      <c r="BH1426" s="28"/>
      <c r="BI1426" s="261">
        <f>BI1425+(BI1431*BI1428)</f>
        <v>8.5923614672454601E-2</v>
      </c>
      <c r="BJ1426" s="261">
        <f>BJ1425+(BJ1431*BI1428)</f>
        <v>8.7532203822706406E-2</v>
      </c>
      <c r="BK1426" s="256"/>
      <c r="BL1426" s="261" t="e">
        <f>BL1425+(BL1431*BL1428)</f>
        <v>#DIV/0!</v>
      </c>
      <c r="BM1426" s="261" t="e">
        <f>BM1425+(BM1431*BL1428)</f>
        <v>#DIV/0!</v>
      </c>
      <c r="BN1426" s="28"/>
      <c r="BO1426" s="261" t="e">
        <f>BO1425+(BO1431*BO1428)</f>
        <v>#DIV/0!</v>
      </c>
      <c r="BP1426" s="261" t="e">
        <f>BP1425+(BP1431*BO1428)</f>
        <v>#DIV/0!</v>
      </c>
      <c r="BQ1426" s="28"/>
      <c r="BR1426" s="261" t="e">
        <f>BR1425+(BR1431*BR1428)</f>
        <v>#DIV/0!</v>
      </c>
      <c r="BS1426" s="261" t="e">
        <f>BS1425+(BS1431*BR1428)</f>
        <v>#DIV/0!</v>
      </c>
      <c r="BT1426" s="28"/>
      <c r="BU1426" s="261" t="e">
        <f>BU1425+(BU1431*BU1428)</f>
        <v>#DIV/0!</v>
      </c>
      <c r="BV1426" s="261" t="e">
        <f>BV1425+(BV1431*BU1428)</f>
        <v>#DIV/0!</v>
      </c>
      <c r="BW1426" s="28"/>
      <c r="BX1426" s="91"/>
    </row>
    <row r="1427" spans="1:76" s="55" customFormat="1" x14ac:dyDescent="0.25">
      <c r="A1427" s="195"/>
      <c r="B1427" s="244" t="s">
        <v>165</v>
      </c>
      <c r="C1427" s="195"/>
      <c r="D1427" s="263"/>
      <c r="E1427" s="264"/>
      <c r="F1427" s="264"/>
      <c r="G1427" s="264"/>
      <c r="H1427" s="264"/>
      <c r="I1427" s="264"/>
      <c r="J1427" s="265"/>
      <c r="K1427" s="28"/>
      <c r="L1427" s="28"/>
      <c r="M1427" s="122"/>
      <c r="N1427" s="122"/>
      <c r="O1427" s="122"/>
      <c r="P1427" s="122"/>
      <c r="Q1427" s="306" t="s">
        <v>150</v>
      </c>
      <c r="R1427" s="257">
        <f>IF($X1427="Y",MIN(R1330:R1424),R1425-$U1427*R1429)</f>
        <v>-2.3807999999999982E-2</v>
      </c>
      <c r="S1427" s="257">
        <f>IF($X1427="Y",MIN(S1330:S1424),S1425-$U1427*S1429)</f>
        <v>-2.3807999999999982E-2</v>
      </c>
      <c r="T1427" s="257">
        <f>IF($X1427="Y",MIN(T1330:T1424),T1425-$U1427*T1429)</f>
        <v>0</v>
      </c>
      <c r="U1427" s="258">
        <v>1</v>
      </c>
      <c r="V1427" s="122" t="s">
        <v>148</v>
      </c>
      <c r="W1427" s="28"/>
      <c r="X1427" s="266" t="s">
        <v>327</v>
      </c>
      <c r="Y1427" s="260"/>
      <c r="AO1427" s="91"/>
      <c r="AP1427" s="28"/>
      <c r="AQ1427" s="28"/>
      <c r="AR1427" s="28"/>
      <c r="AS1427" s="256" t="s">
        <v>150</v>
      </c>
      <c r="AT1427" s="261" t="e">
        <f>AT1425-(AT1431*AT1429)</f>
        <v>#DIV/0!</v>
      </c>
      <c r="AU1427" s="261" t="e">
        <f>AU1425-(AU1431*AT1429)</f>
        <v>#DIV/0!</v>
      </c>
      <c r="AV1427" s="256"/>
      <c r="AW1427" s="261">
        <f>AW1425-(AW1431*AW1429)</f>
        <v>1.0587941930464796E-2</v>
      </c>
      <c r="AX1427" s="261">
        <f>AX1425-(AX1431*AW1429)</f>
        <v>1.0587941930464796E-2</v>
      </c>
      <c r="AY1427" s="28"/>
      <c r="AZ1427" s="261" t="e">
        <f>AZ1425-(AZ1431*AZ1429)</f>
        <v>#DIV/0!</v>
      </c>
      <c r="BA1427" s="261" t="e">
        <f>BA1425-(BA1431*AZ1429)</f>
        <v>#DIV/0!</v>
      </c>
      <c r="BB1427" s="28"/>
      <c r="BC1427" s="261">
        <f>BC1425-(BC1431*BC1429)</f>
        <v>8.2268201178833655E-3</v>
      </c>
      <c r="BD1427" s="261">
        <f>BD1425-(BD1431*BC1429)</f>
        <v>8.2268201178833655E-3</v>
      </c>
      <c r="BE1427" s="28"/>
      <c r="BF1427" s="261">
        <f>BF1425-(BF1431*BF1429)</f>
        <v>-1.9377231515480514E-2</v>
      </c>
      <c r="BG1427" s="261">
        <f>BG1425-(BG1431*BF1429)</f>
        <v>-2.3574976158343142E-3</v>
      </c>
      <c r="BH1427" s="28"/>
      <c r="BI1427" s="261">
        <f>BI1425-(BI1431*BI1429)</f>
        <v>9.4019944114263898E-4</v>
      </c>
      <c r="BJ1427" s="261">
        <f>BJ1425-(BJ1431*BI1429)</f>
        <v>2.5487885913944436E-3</v>
      </c>
      <c r="BK1427" s="256"/>
      <c r="BL1427" s="261" t="e">
        <f>BL1425-(BL1431*BL1429)</f>
        <v>#DIV/0!</v>
      </c>
      <c r="BM1427" s="261" t="e">
        <f>BM1425-(BM1431*BL1429)</f>
        <v>#DIV/0!</v>
      </c>
      <c r="BN1427" s="28"/>
      <c r="BO1427" s="261" t="e">
        <f>BO1425-(BO1431*BO1429)</f>
        <v>#DIV/0!</v>
      </c>
      <c r="BP1427" s="261" t="e">
        <f>BP1425-(BP1431*BO1429)</f>
        <v>#DIV/0!</v>
      </c>
      <c r="BQ1427" s="28"/>
      <c r="BR1427" s="261" t="e">
        <f>BR1425-(BR1431*BR1429)</f>
        <v>#DIV/0!</v>
      </c>
      <c r="BS1427" s="261" t="e">
        <f>BS1425-(BS1431*BR1429)</f>
        <v>#DIV/0!</v>
      </c>
      <c r="BT1427" s="28"/>
      <c r="BU1427" s="261" t="e">
        <f>BU1425-(BU1431*BU1429)</f>
        <v>#DIV/0!</v>
      </c>
      <c r="BV1427" s="261" t="e">
        <f>BV1425-(BV1431*BU1429)</f>
        <v>#DIV/0!</v>
      </c>
      <c r="BW1427" s="28"/>
      <c r="BX1427" s="91"/>
    </row>
    <row r="1428" spans="1:76" s="55" customFormat="1" ht="14.25" x14ac:dyDescent="0.2">
      <c r="A1428" s="195"/>
      <c r="B1428" s="196"/>
      <c r="C1428" s="195"/>
      <c r="D1428" s="263"/>
      <c r="E1428" s="264"/>
      <c r="F1428" s="264"/>
      <c r="G1428" s="264"/>
      <c r="H1428" s="264"/>
      <c r="I1428" s="264"/>
      <c r="J1428" s="265"/>
      <c r="K1428" s="122"/>
      <c r="L1428" s="122"/>
      <c r="M1428" s="122"/>
      <c r="N1428" s="122"/>
      <c r="O1428" s="122"/>
      <c r="P1428" s="122"/>
      <c r="Q1428" s="306" t="s">
        <v>151</v>
      </c>
      <c r="R1428" s="257" t="str">
        <f>IF((0.67*R1429)&gt;R1425,"no","yes")</f>
        <v>yes</v>
      </c>
      <c r="S1428" s="257" t="str">
        <f>IF((0.67*S1429)&gt;S1425,"no","yes")</f>
        <v>yes</v>
      </c>
      <c r="T1428" s="257" t="e">
        <f>IF((0.67*T1429)&gt;T1425,"no","yes")</f>
        <v>#DIV/0!</v>
      </c>
      <c r="U1428" s="122"/>
      <c r="V1428" s="122"/>
      <c r="W1428" s="122"/>
      <c r="Y1428" s="260"/>
      <c r="AO1428" s="91"/>
      <c r="AP1428" s="122"/>
      <c r="AQ1428" s="122"/>
      <c r="AR1428" s="267" t="s">
        <v>152</v>
      </c>
      <c r="AS1428" s="268"/>
      <c r="AT1428" s="258">
        <v>1</v>
      </c>
      <c r="AU1428" s="122"/>
      <c r="AV1428" s="308"/>
      <c r="AW1428" s="258">
        <v>1</v>
      </c>
      <c r="AX1428" s="122"/>
      <c r="AY1428" s="122"/>
      <c r="AZ1428" s="258">
        <v>1</v>
      </c>
      <c r="BA1428" s="122"/>
      <c r="BB1428" s="122"/>
      <c r="BC1428" s="258">
        <v>1</v>
      </c>
      <c r="BD1428" s="122"/>
      <c r="BE1428" s="122"/>
      <c r="BF1428" s="258">
        <v>1</v>
      </c>
      <c r="BG1428" s="122"/>
      <c r="BH1428" s="122"/>
      <c r="BI1428" s="258">
        <v>1</v>
      </c>
      <c r="BJ1428" s="122"/>
      <c r="BK1428" s="256"/>
      <c r="BL1428" s="258">
        <v>1</v>
      </c>
      <c r="BM1428" s="122"/>
      <c r="BN1428" s="122"/>
      <c r="BO1428" s="258">
        <v>1</v>
      </c>
      <c r="BP1428" s="122"/>
      <c r="BQ1428" s="122"/>
      <c r="BR1428" s="258">
        <v>1</v>
      </c>
      <c r="BS1428" s="122"/>
      <c r="BT1428" s="122"/>
      <c r="BU1428" s="258">
        <v>1</v>
      </c>
      <c r="BV1428" s="122"/>
      <c r="BW1428" s="122"/>
      <c r="BX1428" s="91"/>
    </row>
    <row r="1429" spans="1:76" s="55" customFormat="1" ht="28.5" x14ac:dyDescent="0.2">
      <c r="A1429" s="195"/>
      <c r="B1429" s="196"/>
      <c r="C1429" s="195"/>
      <c r="D1429" s="263"/>
      <c r="E1429" s="264"/>
      <c r="F1429" s="264"/>
      <c r="G1429" s="264"/>
      <c r="H1429" s="264"/>
      <c r="I1429" s="264"/>
      <c r="J1429" s="265"/>
      <c r="K1429" s="122"/>
      <c r="L1429" s="122"/>
      <c r="M1429" s="122"/>
      <c r="N1429" s="122"/>
      <c r="O1429" s="122"/>
      <c r="P1429" s="122"/>
      <c r="Q1429" s="306" t="s">
        <v>157</v>
      </c>
      <c r="R1429" s="257">
        <f>IF(COUNT(R1330:R1424)&gt;1,_xlfn.STDEV.S(R1330:R1424),0)</f>
        <v>0.14534575508270156</v>
      </c>
      <c r="S1429" s="257">
        <f t="array" ref="S1429">IF(R1433="Y",SQRT(SUM(IFERROR(N1330:N1424*(R1330:R1424-(S1425))^2,0))/((COUNT(S1330:S1424)-1)/COUNT(S1330:S1424)*SUMPRODUCT(N1330:N1424,--ISNUMBER(S1330:S1424)))),_xlfn.STDEV.S(S1330:S1424))</f>
        <v>0.1127581731019448</v>
      </c>
      <c r="T1429" s="257" t="e">
        <f t="array" ref="T1429">SQRT(SUM(IFERROR(N1330:N1424*(R1330:R1424-(T1425))^2,0))/((COUNT(T1330:T1424)-1)/COUNT(T1330:T1424)*SUMPRODUCT(N1330:N1424,--ISNUMBER(T1330:T1424))))</f>
        <v>#DIV/0!</v>
      </c>
      <c r="U1429" s="122"/>
      <c r="V1429" s="122"/>
      <c r="W1429" s="122"/>
      <c r="Y1429" s="260"/>
      <c r="AO1429" s="91"/>
      <c r="AP1429" s="122"/>
      <c r="AQ1429" s="122"/>
      <c r="AR1429" s="267"/>
      <c r="AS1429" s="268"/>
      <c r="AT1429" s="258">
        <v>1</v>
      </c>
      <c r="AU1429" s="122"/>
      <c r="AV1429" s="308"/>
      <c r="AW1429" s="258">
        <v>1</v>
      </c>
      <c r="AX1429" s="122"/>
      <c r="AY1429" s="122"/>
      <c r="AZ1429" s="258">
        <v>1</v>
      </c>
      <c r="BA1429" s="122"/>
      <c r="BB1429" s="122"/>
      <c r="BC1429" s="258">
        <v>1</v>
      </c>
      <c r="BD1429" s="122"/>
      <c r="BE1429" s="122"/>
      <c r="BF1429" s="258">
        <v>1</v>
      </c>
      <c r="BG1429" s="122"/>
      <c r="BH1429" s="122"/>
      <c r="BI1429" s="258">
        <v>1</v>
      </c>
      <c r="BJ1429" s="122"/>
      <c r="BK1429" s="256"/>
      <c r="BL1429" s="258">
        <v>1</v>
      </c>
      <c r="BM1429" s="122"/>
      <c r="BN1429" s="122"/>
      <c r="BO1429" s="258">
        <v>1</v>
      </c>
      <c r="BP1429" s="122"/>
      <c r="BQ1429" s="122"/>
      <c r="BR1429" s="258">
        <v>1</v>
      </c>
      <c r="BS1429" s="122"/>
      <c r="BT1429" s="122"/>
      <c r="BU1429" s="258">
        <v>1</v>
      </c>
      <c r="BV1429" s="122"/>
      <c r="BW1429" s="122"/>
      <c r="BX1429" s="91"/>
    </row>
    <row r="1430" spans="1:76" s="55" customFormat="1" ht="15" customHeight="1" x14ac:dyDescent="0.25">
      <c r="A1430" s="122"/>
      <c r="B1430" s="118"/>
      <c r="C1430" s="195"/>
      <c r="D1430" s="263"/>
      <c r="E1430" s="264"/>
      <c r="F1430" s="264"/>
      <c r="G1430" s="264"/>
      <c r="H1430" s="264"/>
      <c r="I1430" s="264"/>
      <c r="J1430" s="265"/>
      <c r="K1430" s="122"/>
      <c r="L1430" s="122"/>
      <c r="M1430" s="122"/>
      <c r="N1430" s="122"/>
      <c r="O1430" s="122"/>
      <c r="P1430" s="122"/>
      <c r="Q1430" s="309" t="s">
        <v>159</v>
      </c>
      <c r="R1430" s="310">
        <f>COUNT(R1330:R1424)</f>
        <v>86</v>
      </c>
      <c r="S1430" s="310">
        <f>COUNT(S1330:S1424)</f>
        <v>84</v>
      </c>
      <c r="T1430" s="118"/>
      <c r="U1430" s="273" t="s">
        <v>155</v>
      </c>
      <c r="V1430" s="122"/>
      <c r="W1430" s="122"/>
      <c r="Y1430" s="91"/>
      <c r="AO1430" s="91"/>
      <c r="AP1430" s="122"/>
      <c r="AQ1430" s="122"/>
      <c r="AR1430" s="122"/>
      <c r="AS1430" s="256" t="s">
        <v>151</v>
      </c>
      <c r="AT1430" s="261" t="e">
        <f>IF((0.67*AT1431)&gt;AT1425,"no","yes")</f>
        <v>#DIV/0!</v>
      </c>
      <c r="AU1430" s="261" t="e">
        <f>IF((0.67*AU1431)&gt;AU1425,"no","yes")</f>
        <v>#DIV/0!</v>
      </c>
      <c r="AV1430" s="256"/>
      <c r="AW1430" s="261" t="str">
        <f>IF((0.67*AW1431)&gt;AW1425,"no","yes")</f>
        <v>yes</v>
      </c>
      <c r="AX1430" s="261" t="str">
        <f>IF((0.67*AX1431)&gt;AX1425,"no","yes")</f>
        <v>yes</v>
      </c>
      <c r="AY1430" s="122"/>
      <c r="AZ1430" s="261" t="e">
        <f>IF((0.67*AZ1431)&gt;AZ1425,"no","yes")</f>
        <v>#DIV/0!</v>
      </c>
      <c r="BA1430" s="261" t="e">
        <f>IF((0.67*BA1431)&gt;BA1425,"no","yes")</f>
        <v>#DIV/0!</v>
      </c>
      <c r="BB1430" s="122"/>
      <c r="BC1430" s="261" t="str">
        <f>IF((0.67*BC1431)&gt;BC1425,"no","yes")</f>
        <v>yes</v>
      </c>
      <c r="BD1430" s="261" t="str">
        <f>IF((0.67*BD1431)&gt;BD1425,"no","yes")</f>
        <v>yes</v>
      </c>
      <c r="BE1430" s="122"/>
      <c r="BF1430" s="261" t="str">
        <f>IF((0.67*BF1431)&gt;BF1425,"no","yes")</f>
        <v>yes</v>
      </c>
      <c r="BG1430" s="261" t="str">
        <f>IF((0.67*BG1431)&gt;BG1425,"no","yes")</f>
        <v>yes</v>
      </c>
      <c r="BH1430" s="122"/>
      <c r="BI1430" s="261" t="str">
        <f>IF((0.67*BI1431)&gt;BI1425,"no","yes")</f>
        <v>yes</v>
      </c>
      <c r="BJ1430" s="261" t="str">
        <f>IF((0.67*BJ1431)&gt;BJ1425,"no","yes")</f>
        <v>yes</v>
      </c>
      <c r="BK1430" s="133"/>
      <c r="BL1430" s="261" t="e">
        <f>IF((0.67*BL1431)&gt;BL1425,"no","yes")</f>
        <v>#DIV/0!</v>
      </c>
      <c r="BM1430" s="261" t="e">
        <f>IF((0.67*BM1431)&gt;BM1425,"no","yes")</f>
        <v>#DIV/0!</v>
      </c>
      <c r="BN1430" s="122"/>
      <c r="BO1430" s="261" t="e">
        <f>IF((0.67*BO1431)&gt;BO1425,"no","yes")</f>
        <v>#DIV/0!</v>
      </c>
      <c r="BP1430" s="261" t="e">
        <f>IF((0.67*BP1431)&gt;BP1425,"no","yes")</f>
        <v>#DIV/0!</v>
      </c>
      <c r="BQ1430" s="122"/>
      <c r="BR1430" s="261" t="e">
        <f>IF((0.67*BR1431)&gt;BR1425,"no","yes")</f>
        <v>#DIV/0!</v>
      </c>
      <c r="BS1430" s="261" t="e">
        <f>IF((0.67*BS1431)&gt;BS1425,"no","yes")</f>
        <v>#DIV/0!</v>
      </c>
      <c r="BT1430" s="122"/>
      <c r="BU1430" s="261" t="e">
        <f>IF((0.67*BU1431)&gt;BU1425,"no","yes")</f>
        <v>#DIV/0!</v>
      </c>
      <c r="BV1430" s="261" t="e">
        <f>IF((0.67*BV1431)&gt;BV1425,"no","yes")</f>
        <v>#DIV/0!</v>
      </c>
      <c r="BW1430" s="122"/>
      <c r="BX1430" s="91"/>
    </row>
    <row r="1431" spans="1:76" s="55" customFormat="1" ht="14.25" x14ac:dyDescent="0.2">
      <c r="B1431" s="23"/>
      <c r="C1431" s="195"/>
      <c r="D1431" s="263"/>
      <c r="E1431" s="264"/>
      <c r="F1431" s="264"/>
      <c r="G1431" s="264"/>
      <c r="H1431" s="264"/>
      <c r="I1431" s="264"/>
      <c r="J1431" s="265"/>
      <c r="K1431" s="122"/>
      <c r="L1431" s="122"/>
      <c r="M1431" s="122"/>
      <c r="N1431" s="122"/>
      <c r="O1431" s="122"/>
      <c r="P1431" s="122"/>
      <c r="Q1431" s="311"/>
      <c r="R1431" s="389"/>
      <c r="S1431" s="118"/>
      <c r="T1431" s="118"/>
      <c r="U1431" s="274"/>
      <c r="V1431" s="275"/>
      <c r="W1431" s="276"/>
      <c r="Y1431" s="91"/>
      <c r="AO1431" s="91"/>
      <c r="AP1431" s="122"/>
      <c r="AQ1431" s="122"/>
      <c r="AR1431" s="122"/>
      <c r="AS1431" s="256" t="s">
        <v>157</v>
      </c>
      <c r="AT1431" s="261">
        <f>IF(AT1432&gt;1,_xlfn.STDEV.S(AT1330:AT1424),0)</f>
        <v>0</v>
      </c>
      <c r="AU1431" s="261">
        <f>IF(AU1432&gt;1,_xlfn.STDEV.S(AU1330:AU1424),0)</f>
        <v>0</v>
      </c>
      <c r="AV1431" s="122"/>
      <c r="AW1431" s="261">
        <f t="shared" ref="AW1431:AX1431" si="872">IF(AW1432&gt;1,_xlfn.STDEV.S(AW1330:AW1424),0)</f>
        <v>8.6620580695352077E-3</v>
      </c>
      <c r="AX1431" s="261">
        <f t="shared" si="872"/>
        <v>8.6620580695352077E-3</v>
      </c>
      <c r="AY1431" s="122"/>
      <c r="AZ1431" s="261">
        <f t="shared" ref="AZ1431:BA1431" si="873">IF(AZ1432&gt;1,_xlfn.STDEV.S(AZ1330:AZ1424),0)</f>
        <v>0</v>
      </c>
      <c r="BA1431" s="261">
        <f t="shared" si="873"/>
        <v>0</v>
      </c>
      <c r="BB1431" s="122"/>
      <c r="BC1431" s="261">
        <f t="shared" ref="BC1431:BD1431" si="874">IF(BC1432&gt;1,_xlfn.STDEV.S(BC1330:BC1424),0)</f>
        <v>4.5697197739259482E-2</v>
      </c>
      <c r="BD1431" s="261">
        <f t="shared" si="874"/>
        <v>4.5697197739259482E-2</v>
      </c>
      <c r="BE1431" s="122"/>
      <c r="BF1431" s="261">
        <f t="shared" ref="BF1431:BG1431" si="875">IF(BF1432&gt;1,_xlfn.STDEV.S(BF1330:BF1424),0)</f>
        <v>0.17501071812262339</v>
      </c>
      <c r="BG1431" s="261">
        <f t="shared" si="875"/>
        <v>0.13446431011583435</v>
      </c>
      <c r="BH1431" s="122"/>
      <c r="BI1431" s="261">
        <f t="shared" ref="BI1431:BJ1431" si="876">IF(BI1432&gt;1,_xlfn.STDEV.S(BI1330:BI1424),0)</f>
        <v>4.2491707615655981E-2</v>
      </c>
      <c r="BJ1431" s="261">
        <f t="shared" si="876"/>
        <v>4.2491707615655981E-2</v>
      </c>
      <c r="BK1431" s="122"/>
      <c r="BL1431" s="261">
        <f t="shared" ref="BL1431:BM1431" si="877">IF(BL1432&gt;1,_xlfn.STDEV.S(BL1330:BL1424),0)</f>
        <v>0</v>
      </c>
      <c r="BM1431" s="261">
        <f t="shared" si="877"/>
        <v>0</v>
      </c>
      <c r="BN1431" s="122"/>
      <c r="BO1431" s="261">
        <f t="shared" ref="BO1431:BP1431" si="878">IF(BO1432&gt;1,_xlfn.STDEV.S(BO1330:BO1424),0)</f>
        <v>0</v>
      </c>
      <c r="BP1431" s="261">
        <f t="shared" si="878"/>
        <v>0</v>
      </c>
      <c r="BQ1431" s="122"/>
      <c r="BR1431" s="261">
        <f t="shared" ref="BR1431:BS1431" si="879">IF(BR1432&gt;1,_xlfn.STDEV.S(BR1330:BR1424),0)</f>
        <v>0</v>
      </c>
      <c r="BS1431" s="261">
        <f t="shared" si="879"/>
        <v>0</v>
      </c>
      <c r="BT1431" s="122"/>
      <c r="BU1431" s="261">
        <f t="shared" ref="BU1431:BV1431" si="880">IF(BU1432&gt;1,_xlfn.STDEV.S(BU1330:BU1424),0)</f>
        <v>0</v>
      </c>
      <c r="BV1431" s="261">
        <f t="shared" si="880"/>
        <v>0</v>
      </c>
      <c r="BW1431" s="122"/>
      <c r="BX1431" s="91"/>
    </row>
    <row r="1432" spans="1:76" s="55" customFormat="1" x14ac:dyDescent="0.2">
      <c r="A1432" s="270" t="e">
        <f ca="1">HYPERLINK("#"&amp;"'"&amp;A$1&amp;"'!a1","Back to top")</f>
        <v>#VALUE!</v>
      </c>
      <c r="B1432" s="271"/>
      <c r="C1432" s="122"/>
      <c r="D1432" s="277"/>
      <c r="E1432" s="278"/>
      <c r="F1432" s="278"/>
      <c r="G1432" s="278"/>
      <c r="H1432" s="278"/>
      <c r="I1432" s="278"/>
      <c r="J1432" s="279"/>
      <c r="Q1432" s="81"/>
      <c r="R1432" s="396" t="s">
        <v>158</v>
      </c>
      <c r="S1432" s="23"/>
      <c r="T1432" s="118"/>
      <c r="U1432" s="281"/>
      <c r="V1432" s="282"/>
      <c r="W1432" s="283"/>
      <c r="Y1432" s="91"/>
      <c r="AO1432" s="91"/>
      <c r="AP1432" s="122"/>
      <c r="AQ1432" s="122"/>
      <c r="AR1432" s="122"/>
      <c r="AS1432" s="133" t="s">
        <v>159</v>
      </c>
      <c r="AT1432" s="284">
        <f>COUNT(AT1330:AT1424)</f>
        <v>0</v>
      </c>
      <c r="AU1432" s="284">
        <f>COUNT(AU1330:AU1424)</f>
        <v>0</v>
      </c>
      <c r="AV1432" s="122"/>
      <c r="AW1432" s="284">
        <f t="shared" ref="AW1432:AX1432" si="881">COUNT(AW1330:AW1424)</f>
        <v>2</v>
      </c>
      <c r="AX1432" s="284">
        <f t="shared" si="881"/>
        <v>2</v>
      </c>
      <c r="AY1432" s="122"/>
      <c r="AZ1432" s="284">
        <f t="shared" ref="AZ1432:BA1432" si="882">COUNT(AZ1330:AZ1424)</f>
        <v>0</v>
      </c>
      <c r="BA1432" s="284">
        <f t="shared" si="882"/>
        <v>0</v>
      </c>
      <c r="BB1432" s="122"/>
      <c r="BC1432" s="284">
        <f t="shared" ref="BC1432:BD1432" si="883">COUNT(BC1330:BC1424)</f>
        <v>7</v>
      </c>
      <c r="BD1432" s="284">
        <f t="shared" si="883"/>
        <v>7</v>
      </c>
      <c r="BE1432" s="122"/>
      <c r="BF1432" s="284">
        <f t="shared" ref="BF1432:BG1432" si="884">COUNT(BF1330:BF1424)</f>
        <v>49</v>
      </c>
      <c r="BG1432" s="284">
        <f t="shared" si="884"/>
        <v>47</v>
      </c>
      <c r="BH1432" s="122"/>
      <c r="BI1432" s="284">
        <f t="shared" ref="BI1432:BJ1432" si="885">COUNT(BI1330:BI1424)</f>
        <v>28</v>
      </c>
      <c r="BJ1432" s="284">
        <f t="shared" si="885"/>
        <v>28</v>
      </c>
      <c r="BK1432" s="122"/>
      <c r="BL1432" s="284">
        <f t="shared" ref="BL1432:BM1432" si="886">COUNT(BL1330:BL1424)</f>
        <v>0</v>
      </c>
      <c r="BM1432" s="284">
        <f t="shared" si="886"/>
        <v>0</v>
      </c>
      <c r="BN1432" s="122"/>
      <c r="BO1432" s="284">
        <f t="shared" ref="BO1432:BP1432" si="887">COUNT(BO1330:BO1424)</f>
        <v>0</v>
      </c>
      <c r="BP1432" s="284">
        <f t="shared" si="887"/>
        <v>0</v>
      </c>
      <c r="BQ1432" s="122"/>
      <c r="BR1432" s="284">
        <f t="shared" ref="BR1432:BS1432" si="888">COUNT(BR1330:BR1424)</f>
        <v>0</v>
      </c>
      <c r="BS1432" s="284">
        <f t="shared" si="888"/>
        <v>0</v>
      </c>
      <c r="BT1432" s="122"/>
      <c r="BU1432" s="284">
        <f t="shared" ref="BU1432:BV1432" si="889">COUNT(BU1330:BU1424)</f>
        <v>0</v>
      </c>
      <c r="BV1432" s="284">
        <f t="shared" si="889"/>
        <v>0</v>
      </c>
      <c r="BW1432" s="122"/>
      <c r="BX1432" s="91"/>
    </row>
    <row r="1433" spans="1:76" s="55" customFormat="1" ht="14.25" x14ac:dyDescent="0.2">
      <c r="B1433" s="23"/>
      <c r="Q1433" s="81"/>
      <c r="R1433" s="287" t="s">
        <v>149</v>
      </c>
      <c r="T1433" s="122"/>
      <c r="U1433" s="281"/>
      <c r="V1433" s="282"/>
      <c r="W1433" s="283"/>
      <c r="Y1433" s="91"/>
      <c r="AO1433" s="91"/>
      <c r="BX1433" s="91"/>
    </row>
    <row r="1434" spans="1:76" x14ac:dyDescent="0.2">
      <c r="B1434" s="353"/>
      <c r="T1434" s="122"/>
      <c r="U1434" s="288"/>
      <c r="V1434" s="289"/>
      <c r="W1434" s="290"/>
      <c r="Y1434" s="9"/>
      <c r="AP1434" s="55"/>
      <c r="AQ1434" s="55"/>
      <c r="AR1434" s="55"/>
      <c r="AS1434" s="55"/>
      <c r="AT1434" s="55"/>
      <c r="AU1434" s="55"/>
      <c r="AV1434" s="55"/>
      <c r="AW1434" s="55"/>
      <c r="AX1434" s="55"/>
      <c r="AY1434" s="55"/>
      <c r="AZ1434" s="55"/>
      <c r="BA1434" s="55"/>
      <c r="BB1434" s="55"/>
      <c r="BC1434" s="55"/>
      <c r="BD1434" s="55"/>
      <c r="BE1434" s="55"/>
      <c r="BF1434" s="55"/>
      <c r="BG1434" s="55"/>
      <c r="BH1434" s="55"/>
      <c r="BI1434" s="55"/>
      <c r="BJ1434" s="55"/>
      <c r="BK1434" s="55"/>
      <c r="BL1434" s="55"/>
      <c r="BM1434" s="55"/>
      <c r="BN1434" s="55"/>
      <c r="BO1434" s="55"/>
      <c r="BP1434" s="55"/>
      <c r="BQ1434" s="55"/>
      <c r="BR1434" s="55"/>
      <c r="BS1434" s="55"/>
      <c r="BT1434" s="55"/>
      <c r="BU1434" s="55"/>
      <c r="BV1434" s="55"/>
      <c r="BW1434" s="55"/>
    </row>
    <row r="1435" spans="1:76" x14ac:dyDescent="0.2">
      <c r="B1435" s="353"/>
      <c r="T1435" s="122"/>
      <c r="U1435" s="122"/>
      <c r="V1435" s="122"/>
      <c r="W1435" s="122"/>
      <c r="Y1435" s="9"/>
    </row>
    <row r="1436" spans="1:76" x14ac:dyDescent="0.2">
      <c r="B1436" s="353"/>
      <c r="T1436" s="55"/>
      <c r="U1436" s="55"/>
      <c r="V1436" s="55"/>
      <c r="W1436" s="55"/>
      <c r="Y1436" s="9"/>
    </row>
    <row r="1437" spans="1:76" s="9" customFormat="1" ht="18" x14ac:dyDescent="0.25">
      <c r="A1437" s="188">
        <f>A1327+1</f>
        <v>22</v>
      </c>
      <c r="B1437" s="189"/>
      <c r="C1437" s="293" t="str">
        <f>'[1]Advanced Controls'!J157</f>
        <v>N2O-CO2eq Tons Reduced</v>
      </c>
      <c r="D1437" s="397"/>
      <c r="E1437" s="191"/>
      <c r="F1437" s="191"/>
      <c r="G1437" s="191"/>
      <c r="J1437" s="191"/>
      <c r="K1437" s="191"/>
      <c r="L1437" s="192"/>
      <c r="M1437" s="192"/>
      <c r="N1437" s="192"/>
      <c r="Q1437" s="193"/>
      <c r="R1437" s="194" t="s">
        <v>93</v>
      </c>
      <c r="S1437" s="194"/>
      <c r="T1437" s="194"/>
      <c r="U1437" s="194"/>
      <c r="AP1437" s="175">
        <f>A1437</f>
        <v>22</v>
      </c>
      <c r="AQ1437" s="175" t="str">
        <f>C1437</f>
        <v>N2O-CO2eq Tons Reduced</v>
      </c>
    </row>
    <row r="1438" spans="1:76" s="55" customFormat="1" x14ac:dyDescent="0.25">
      <c r="A1438" s="195"/>
      <c r="B1438" s="196"/>
      <c r="C1438" s="195"/>
      <c r="D1438" s="120"/>
      <c r="E1438" s="120"/>
      <c r="F1438" s="120"/>
      <c r="G1438" s="120"/>
      <c r="J1438" s="120"/>
      <c r="K1438" s="120"/>
      <c r="L1438" s="122"/>
      <c r="M1438" s="122"/>
      <c r="N1438" s="122"/>
      <c r="Q1438" s="81"/>
      <c r="Y1438" s="91"/>
      <c r="AO1438" s="91"/>
      <c r="AP1438" s="28"/>
      <c r="AQ1438" s="28"/>
      <c r="AR1438" s="28"/>
      <c r="AS1438" s="28"/>
      <c r="AT1438" s="198" t="s">
        <v>171</v>
      </c>
      <c r="AU1438" s="198"/>
      <c r="AV1438" s="28"/>
      <c r="AW1438" s="198" t="s">
        <v>96</v>
      </c>
      <c r="AX1438" s="198"/>
      <c r="AY1438" s="28"/>
      <c r="AZ1438" s="198" t="s">
        <v>97</v>
      </c>
      <c r="BA1438" s="198"/>
      <c r="BB1438" s="28"/>
      <c r="BC1438" s="198" t="s">
        <v>98</v>
      </c>
      <c r="BD1438" s="198"/>
      <c r="BE1438" s="28"/>
      <c r="BF1438" s="198" t="s">
        <v>99</v>
      </c>
      <c r="BG1438" s="198"/>
      <c r="BH1438" s="28"/>
      <c r="BI1438" s="198" t="s">
        <v>100</v>
      </c>
      <c r="BJ1438" s="198"/>
      <c r="BK1438" s="28"/>
      <c r="BL1438" s="198" t="s">
        <v>101</v>
      </c>
      <c r="BM1438" s="198"/>
      <c r="BN1438" s="28"/>
      <c r="BO1438" s="198" t="s">
        <v>102</v>
      </c>
      <c r="BP1438" s="198"/>
      <c r="BQ1438" s="28"/>
      <c r="BR1438" s="198" t="s">
        <v>103</v>
      </c>
      <c r="BS1438" s="198"/>
      <c r="BT1438" s="28"/>
      <c r="BU1438" s="198" t="s">
        <v>104</v>
      </c>
      <c r="BV1438" s="198"/>
      <c r="BW1438" s="28"/>
      <c r="BX1438" s="91"/>
    </row>
    <row r="1439" spans="1:76" s="55" customFormat="1" ht="30.75" thickBot="1" x14ac:dyDescent="0.3">
      <c r="A1439" s="199" t="s">
        <v>105</v>
      </c>
      <c r="B1439" s="200" t="s">
        <v>106</v>
      </c>
      <c r="C1439" s="201" t="s">
        <v>107</v>
      </c>
      <c r="D1439" s="202" t="s">
        <v>108</v>
      </c>
      <c r="E1439" s="202" t="s">
        <v>109</v>
      </c>
      <c r="F1439" s="201" t="s">
        <v>110</v>
      </c>
      <c r="G1439" s="201" t="s">
        <v>111</v>
      </c>
      <c r="H1439" s="202" t="s">
        <v>112</v>
      </c>
      <c r="I1439" s="203" t="s">
        <v>113</v>
      </c>
      <c r="J1439" s="204" t="s">
        <v>114</v>
      </c>
      <c r="K1439" s="205" t="s">
        <v>115</v>
      </c>
      <c r="L1439" s="206" t="s">
        <v>116</v>
      </c>
      <c r="M1439" s="207" t="s">
        <v>117</v>
      </c>
      <c r="N1439" s="208" t="s">
        <v>118</v>
      </c>
      <c r="O1439" s="207" t="s">
        <v>119</v>
      </c>
      <c r="P1439" s="210"/>
      <c r="Q1439" s="211" t="s">
        <v>120</v>
      </c>
      <c r="R1439" s="212" t="s">
        <v>121</v>
      </c>
      <c r="S1439" s="212" t="s">
        <v>122</v>
      </c>
      <c r="T1439" s="212" t="s">
        <v>123</v>
      </c>
      <c r="U1439" s="213" t="s">
        <v>124</v>
      </c>
      <c r="V1439" s="210"/>
      <c r="W1439" s="210"/>
      <c r="Y1439" s="91"/>
      <c r="AO1439" s="91"/>
      <c r="AP1439" s="210"/>
      <c r="AQ1439" s="210"/>
      <c r="AR1439" s="213" t="s">
        <v>125</v>
      </c>
      <c r="AS1439" s="210"/>
      <c r="AT1439" s="215" t="s">
        <v>121</v>
      </c>
      <c r="AU1439" s="215" t="s">
        <v>122</v>
      </c>
      <c r="AV1439" s="210"/>
      <c r="AW1439" s="215" t="s">
        <v>121</v>
      </c>
      <c r="AX1439" s="215" t="s">
        <v>122</v>
      </c>
      <c r="AY1439" s="210"/>
      <c r="AZ1439" s="215" t="s">
        <v>121</v>
      </c>
      <c r="BA1439" s="215" t="s">
        <v>122</v>
      </c>
      <c r="BB1439" s="210"/>
      <c r="BC1439" s="215" t="s">
        <v>121</v>
      </c>
      <c r="BD1439" s="215" t="s">
        <v>122</v>
      </c>
      <c r="BE1439" s="210"/>
      <c r="BF1439" s="215" t="s">
        <v>121</v>
      </c>
      <c r="BG1439" s="215" t="s">
        <v>122</v>
      </c>
      <c r="BH1439" s="210"/>
      <c r="BI1439" s="215" t="s">
        <v>121</v>
      </c>
      <c r="BJ1439" s="215" t="s">
        <v>122</v>
      </c>
      <c r="BK1439" s="210"/>
      <c r="BL1439" s="215" t="s">
        <v>121</v>
      </c>
      <c r="BM1439" s="215" t="s">
        <v>122</v>
      </c>
      <c r="BN1439" s="210"/>
      <c r="BO1439" s="215" t="s">
        <v>121</v>
      </c>
      <c r="BP1439" s="215" t="s">
        <v>122</v>
      </c>
      <c r="BQ1439" s="210"/>
      <c r="BR1439" s="215" t="s">
        <v>121</v>
      </c>
      <c r="BS1439" s="215" t="s">
        <v>122</v>
      </c>
      <c r="BT1439" s="210"/>
      <c r="BU1439" s="215" t="s">
        <v>121</v>
      </c>
      <c r="BV1439" s="215" t="s">
        <v>122</v>
      </c>
      <c r="BW1439" s="210"/>
      <c r="BX1439" s="91"/>
    </row>
    <row r="1440" spans="1:76" s="55" customFormat="1" x14ac:dyDescent="0.25">
      <c r="A1440" s="195">
        <v>1</v>
      </c>
      <c r="B1440" s="216" t="str">
        <f t="shared" ref="B1440:B1459" si="890">CONCATENATE(E1440,": ",C1440)</f>
        <v xml:space="preserve">: </v>
      </c>
      <c r="C1440" s="219"/>
      <c r="D1440" s="219"/>
      <c r="E1440" s="219"/>
      <c r="F1440" s="219"/>
      <c r="G1440" s="220"/>
      <c r="H1440" s="221"/>
      <c r="I1440" s="220"/>
      <c r="J1440" s="398"/>
      <c r="K1440" s="226"/>
      <c r="L1440" s="241"/>
      <c r="M1440" s="225" t="str">
        <f>'[1]Advanced Controls'!$J$158</f>
        <v>t N2O-CO2eq per kg of protein</v>
      </c>
      <c r="N1440" s="227"/>
      <c r="O1440" s="241"/>
      <c r="P1440" s="122"/>
      <c r="Q1440" s="228"/>
      <c r="R1440" s="231" t="str">
        <f>IF(Q1440="Y","",IF(AND(L1440="",J1440=""),"",IF(L1440="",J1440,L1440)))</f>
        <v/>
      </c>
      <c r="S1440" s="230" t="str">
        <f t="shared" ref="S1440:S1459" si="891">IF(R1440="","",IF($R$1468="Y",T1440,IF(R1440&gt;=$R$1460-$AA$35*$R$1464,IF(R1440&lt;=$R$1460+$AA$35*$R$1464,R1440,""),"")))</f>
        <v/>
      </c>
      <c r="T1440" s="231" t="str">
        <f>IF(OR(Q1440="Y",IFERROR(R1440&gt;R1460+R1464*$AA$35,0),IFERROR(R1440&lt;R1460-R1464*$AA$35,0)),"",IFERROR(R1440*N1440,""))</f>
        <v/>
      </c>
      <c r="U1440" s="232" t="str">
        <f t="shared" ref="U1440:U1459" si="892">IF(AND(M1440="",K1440=""),"",IF(M1440="",K1440,M1440))</f>
        <v>t N2O-CO2eq per kg of protein</v>
      </c>
      <c r="V1440" s="28"/>
      <c r="W1440" s="28"/>
      <c r="Y1440" s="91"/>
      <c r="AO1440" s="91"/>
      <c r="AP1440" s="28"/>
      <c r="AQ1440" s="28"/>
      <c r="AR1440" s="233" t="str">
        <f>$U1440</f>
        <v>t N2O-CO2eq per kg of protein</v>
      </c>
      <c r="AS1440" s="28"/>
      <c r="AT1440" s="304" t="str">
        <f>IF($E1440=$AT$47,R1440,"")</f>
        <v/>
      </c>
      <c r="AU1440" s="304" t="str">
        <f>IF($E1440=$AT$47,S1440,"")</f>
        <v/>
      </c>
      <c r="AV1440" s="28"/>
      <c r="AW1440" s="304" t="str">
        <f t="shared" ref="AW1440:AX1459" si="893">IF($E1440=$AW$83,R1440,"")</f>
        <v/>
      </c>
      <c r="AX1440" s="304" t="str">
        <f t="shared" si="893"/>
        <v/>
      </c>
      <c r="AY1440" s="28"/>
      <c r="AZ1440" s="304" t="str">
        <f t="shared" ref="AZ1440:BA1459" si="894">IF($E1440=$AZ$83,R1440,"")</f>
        <v/>
      </c>
      <c r="BA1440" s="304" t="str">
        <f t="shared" si="894"/>
        <v/>
      </c>
      <c r="BB1440" s="28"/>
      <c r="BC1440" s="304" t="str">
        <f t="shared" ref="BC1440:BD1459" si="895">IF($E1440=$BC$83,R1440,"")</f>
        <v/>
      </c>
      <c r="BD1440" s="304" t="str">
        <f t="shared" si="895"/>
        <v/>
      </c>
      <c r="BE1440" s="28"/>
      <c r="BF1440" s="304" t="str">
        <f t="shared" ref="BF1440:BG1459" si="896">IF($E1440=$BF$83,R1440,"")</f>
        <v/>
      </c>
      <c r="BG1440" s="304" t="str">
        <f t="shared" si="896"/>
        <v/>
      </c>
      <c r="BH1440" s="28"/>
      <c r="BI1440" s="304" t="str">
        <f t="shared" ref="BI1440:BJ1459" si="897">IF($E1440=$BI$83,R1440,"")</f>
        <v/>
      </c>
      <c r="BJ1440" s="304" t="str">
        <f t="shared" si="897"/>
        <v/>
      </c>
      <c r="BK1440" s="28"/>
      <c r="BL1440" s="304" t="str">
        <f t="shared" ref="BL1440:BM1459" si="898">IF($E1440=$BL$83,R1440,"")</f>
        <v/>
      </c>
      <c r="BM1440" s="304" t="str">
        <f t="shared" si="898"/>
        <v/>
      </c>
      <c r="BN1440" s="28"/>
      <c r="BO1440" s="304" t="str">
        <f t="shared" ref="BO1440:BP1459" si="899">IF($E1440=$BO$83,R1440,"")</f>
        <v/>
      </c>
      <c r="BP1440" s="304" t="str">
        <f t="shared" si="899"/>
        <v/>
      </c>
      <c r="BQ1440" s="28"/>
      <c r="BR1440" s="304" t="str">
        <f t="shared" ref="BR1440:BS1459" si="900">IF($E1440=$BR$83,R1440,"")</f>
        <v/>
      </c>
      <c r="BS1440" s="304" t="str">
        <f t="shared" si="900"/>
        <v/>
      </c>
      <c r="BT1440" s="28"/>
      <c r="BU1440" s="304" t="str">
        <f t="shared" ref="BU1440:BV1459" si="901">IF($E1440=$BU$83,R1440,"")</f>
        <v/>
      </c>
      <c r="BV1440" s="304" t="str">
        <f t="shared" si="901"/>
        <v/>
      </c>
      <c r="BW1440" s="28"/>
      <c r="BX1440" s="91"/>
    </row>
    <row r="1441" spans="1:76" s="55" customFormat="1" x14ac:dyDescent="0.25">
      <c r="A1441" s="195">
        <v>2</v>
      </c>
      <c r="B1441" s="216" t="str">
        <f t="shared" si="890"/>
        <v xml:space="preserve">: </v>
      </c>
      <c r="C1441" s="219"/>
      <c r="D1441" s="219"/>
      <c r="E1441" s="219"/>
      <c r="F1441" s="219"/>
      <c r="G1441" s="220"/>
      <c r="H1441" s="221"/>
      <c r="I1441" s="220"/>
      <c r="J1441" s="227"/>
      <c r="K1441" s="227"/>
      <c r="L1441" s="241"/>
      <c r="M1441" s="225" t="str">
        <f>'[1]Advanced Controls'!$J$158</f>
        <v>t N2O-CO2eq per kg of protein</v>
      </c>
      <c r="N1441" s="227"/>
      <c r="O1441" s="241"/>
      <c r="P1441" s="122"/>
      <c r="Q1441" s="228"/>
      <c r="R1441" s="231" t="str">
        <f t="shared" ref="R1441:R1459" si="902">IF(Q1441="Y","",IF(AND(L1441="",J1441=""),"",IF(L1441="",J1441,L1441)))</f>
        <v/>
      </c>
      <c r="S1441" s="230" t="str">
        <f t="shared" si="891"/>
        <v/>
      </c>
      <c r="T1441" s="231" t="str">
        <f>IF(OR(Q1441="Y",IFERROR(R1441&gt;R1460+R1464*$AA$35,0),IFERROR(R1441&lt;R1460-R1464*$AA$35,0)),"",IFERROR(R1441*N1441,""))</f>
        <v/>
      </c>
      <c r="U1441" s="232" t="str">
        <f t="shared" si="892"/>
        <v>t N2O-CO2eq per kg of protein</v>
      </c>
      <c r="V1441" s="28"/>
      <c r="W1441" s="28"/>
      <c r="Y1441" s="91"/>
      <c r="AO1441" s="91"/>
      <c r="AP1441" s="28"/>
      <c r="AQ1441" s="28"/>
      <c r="AR1441" s="237"/>
      <c r="AS1441" s="28"/>
      <c r="AT1441" s="304" t="str">
        <f t="shared" ref="AT1441:AU1459" si="903">IF($E1441=$AT$47,R1441,"")</f>
        <v/>
      </c>
      <c r="AU1441" s="304" t="str">
        <f t="shared" si="903"/>
        <v/>
      </c>
      <c r="AV1441" s="28"/>
      <c r="AW1441" s="304" t="str">
        <f t="shared" si="893"/>
        <v/>
      </c>
      <c r="AX1441" s="304" t="str">
        <f t="shared" si="893"/>
        <v/>
      </c>
      <c r="AY1441" s="28"/>
      <c r="AZ1441" s="304" t="str">
        <f t="shared" si="894"/>
        <v/>
      </c>
      <c r="BA1441" s="304" t="str">
        <f t="shared" si="894"/>
        <v/>
      </c>
      <c r="BB1441" s="28"/>
      <c r="BC1441" s="304" t="str">
        <f t="shared" si="895"/>
        <v/>
      </c>
      <c r="BD1441" s="304" t="str">
        <f t="shared" si="895"/>
        <v/>
      </c>
      <c r="BE1441" s="28"/>
      <c r="BF1441" s="304" t="str">
        <f t="shared" si="896"/>
        <v/>
      </c>
      <c r="BG1441" s="304" t="str">
        <f t="shared" si="896"/>
        <v/>
      </c>
      <c r="BH1441" s="28"/>
      <c r="BI1441" s="304" t="str">
        <f t="shared" si="897"/>
        <v/>
      </c>
      <c r="BJ1441" s="304" t="str">
        <f t="shared" si="897"/>
        <v/>
      </c>
      <c r="BK1441" s="28"/>
      <c r="BL1441" s="304" t="str">
        <f t="shared" si="898"/>
        <v/>
      </c>
      <c r="BM1441" s="304" t="str">
        <f t="shared" si="898"/>
        <v/>
      </c>
      <c r="BN1441" s="28"/>
      <c r="BO1441" s="304" t="str">
        <f t="shared" si="899"/>
        <v/>
      </c>
      <c r="BP1441" s="304" t="str">
        <f t="shared" si="899"/>
        <v/>
      </c>
      <c r="BQ1441" s="28"/>
      <c r="BR1441" s="304" t="str">
        <f t="shared" si="900"/>
        <v/>
      </c>
      <c r="BS1441" s="304" t="str">
        <f t="shared" si="900"/>
        <v/>
      </c>
      <c r="BT1441" s="28"/>
      <c r="BU1441" s="304" t="str">
        <f t="shared" si="901"/>
        <v/>
      </c>
      <c r="BV1441" s="304" t="str">
        <f t="shared" si="901"/>
        <v/>
      </c>
      <c r="BW1441" s="28"/>
      <c r="BX1441" s="91"/>
    </row>
    <row r="1442" spans="1:76" s="55" customFormat="1" x14ac:dyDescent="0.25">
      <c r="A1442" s="195">
        <v>3</v>
      </c>
      <c r="B1442" s="216" t="str">
        <f>CONCATENATE(E1442,": ",C1442)</f>
        <v xml:space="preserve">: </v>
      </c>
      <c r="C1442" s="221"/>
      <c r="D1442" s="221"/>
      <c r="E1442" s="221"/>
      <c r="F1442" s="221"/>
      <c r="G1442" s="240"/>
      <c r="H1442" s="221"/>
      <c r="I1442" s="240"/>
      <c r="J1442" s="241"/>
      <c r="K1442" s="241"/>
      <c r="L1442" s="241"/>
      <c r="M1442" s="225" t="str">
        <f>'[1]Advanced Controls'!$J$158</f>
        <v>t N2O-CO2eq per kg of protein</v>
      </c>
      <c r="N1442" s="227"/>
      <c r="O1442" s="241"/>
      <c r="P1442" s="122"/>
      <c r="Q1442" s="228"/>
      <c r="R1442" s="231" t="str">
        <f t="shared" si="902"/>
        <v/>
      </c>
      <c r="S1442" s="230" t="str">
        <f t="shared" si="891"/>
        <v/>
      </c>
      <c r="T1442" s="231" t="str">
        <f>IF(OR(Q1442="Y",IFERROR(R1442&gt;R1460+R1464*$AA$35,0),IFERROR(R1442&lt;R1460-R1464*$AA$35,0)),"",IFERROR(R1442*N1442,""))</f>
        <v/>
      </c>
      <c r="U1442" s="232" t="str">
        <f t="shared" si="892"/>
        <v>t N2O-CO2eq per kg of protein</v>
      </c>
      <c r="V1442" s="28"/>
      <c r="W1442" s="28"/>
      <c r="Y1442" s="91"/>
      <c r="AO1442" s="91"/>
      <c r="AP1442" s="28"/>
      <c r="AQ1442" s="28"/>
      <c r="AR1442" s="237"/>
      <c r="AS1442" s="28"/>
      <c r="AT1442" s="304" t="str">
        <f t="shared" si="903"/>
        <v/>
      </c>
      <c r="AU1442" s="304" t="str">
        <f t="shared" si="903"/>
        <v/>
      </c>
      <c r="AV1442" s="28"/>
      <c r="AW1442" s="304" t="str">
        <f t="shared" si="893"/>
        <v/>
      </c>
      <c r="AX1442" s="304" t="str">
        <f t="shared" si="893"/>
        <v/>
      </c>
      <c r="AY1442" s="28"/>
      <c r="AZ1442" s="304" t="str">
        <f t="shared" si="894"/>
        <v/>
      </c>
      <c r="BA1442" s="304" t="str">
        <f t="shared" si="894"/>
        <v/>
      </c>
      <c r="BB1442" s="28"/>
      <c r="BC1442" s="304" t="str">
        <f t="shared" si="895"/>
        <v/>
      </c>
      <c r="BD1442" s="304" t="str">
        <f t="shared" si="895"/>
        <v/>
      </c>
      <c r="BE1442" s="28"/>
      <c r="BF1442" s="304" t="str">
        <f t="shared" si="896"/>
        <v/>
      </c>
      <c r="BG1442" s="304" t="str">
        <f t="shared" si="896"/>
        <v/>
      </c>
      <c r="BH1442" s="28"/>
      <c r="BI1442" s="304" t="str">
        <f t="shared" si="897"/>
        <v/>
      </c>
      <c r="BJ1442" s="304" t="str">
        <f t="shared" si="897"/>
        <v/>
      </c>
      <c r="BK1442" s="28"/>
      <c r="BL1442" s="304" t="str">
        <f t="shared" si="898"/>
        <v/>
      </c>
      <c r="BM1442" s="304" t="str">
        <f t="shared" si="898"/>
        <v/>
      </c>
      <c r="BN1442" s="28"/>
      <c r="BO1442" s="304" t="str">
        <f t="shared" si="899"/>
        <v/>
      </c>
      <c r="BP1442" s="304" t="str">
        <f t="shared" si="899"/>
        <v/>
      </c>
      <c r="BQ1442" s="28"/>
      <c r="BR1442" s="304" t="str">
        <f t="shared" si="900"/>
        <v/>
      </c>
      <c r="BS1442" s="304" t="str">
        <f t="shared" si="900"/>
        <v/>
      </c>
      <c r="BT1442" s="28"/>
      <c r="BU1442" s="304" t="str">
        <f t="shared" si="901"/>
        <v/>
      </c>
      <c r="BV1442" s="304" t="str">
        <f t="shared" si="901"/>
        <v/>
      </c>
      <c r="BW1442" s="28"/>
      <c r="BX1442" s="91"/>
    </row>
    <row r="1443" spans="1:76" s="55" customFormat="1" x14ac:dyDescent="0.25">
      <c r="A1443" s="195">
        <v>4</v>
      </c>
      <c r="B1443" s="216" t="str">
        <f t="shared" si="890"/>
        <v xml:space="preserve">: </v>
      </c>
      <c r="C1443" s="221"/>
      <c r="D1443" s="221"/>
      <c r="E1443" s="221"/>
      <c r="F1443" s="221"/>
      <c r="G1443" s="240"/>
      <c r="H1443" s="221"/>
      <c r="I1443" s="240"/>
      <c r="J1443" s="241"/>
      <c r="K1443" s="241"/>
      <c r="L1443" s="241"/>
      <c r="M1443" s="225" t="str">
        <f>'[1]Advanced Controls'!$J$158</f>
        <v>t N2O-CO2eq per kg of protein</v>
      </c>
      <c r="N1443" s="227"/>
      <c r="O1443" s="241"/>
      <c r="P1443" s="122"/>
      <c r="Q1443" s="228"/>
      <c r="R1443" s="231" t="str">
        <f t="shared" si="902"/>
        <v/>
      </c>
      <c r="S1443" s="230" t="str">
        <f t="shared" si="891"/>
        <v/>
      </c>
      <c r="T1443" s="231" t="str">
        <f>IF(OR(Q1443="Y",IFERROR(R1443&gt;R1460+R1464*$AA$35,0),IFERROR(R1443&lt;R1460-R1464*$AA$35,0)),"",IFERROR(R1443*N1443,""))</f>
        <v/>
      </c>
      <c r="U1443" s="232" t="str">
        <f t="shared" si="892"/>
        <v>t N2O-CO2eq per kg of protein</v>
      </c>
      <c r="V1443" s="28"/>
      <c r="W1443" s="28"/>
      <c r="Y1443" s="91"/>
      <c r="AO1443" s="91"/>
      <c r="AP1443" s="28"/>
      <c r="AQ1443" s="28"/>
      <c r="AR1443" s="237"/>
      <c r="AS1443" s="28"/>
      <c r="AT1443" s="304" t="str">
        <f t="shared" si="903"/>
        <v/>
      </c>
      <c r="AU1443" s="304" t="str">
        <f t="shared" si="903"/>
        <v/>
      </c>
      <c r="AV1443" s="28"/>
      <c r="AW1443" s="304" t="str">
        <f t="shared" si="893"/>
        <v/>
      </c>
      <c r="AX1443" s="304" t="str">
        <f t="shared" si="893"/>
        <v/>
      </c>
      <c r="AY1443" s="28"/>
      <c r="AZ1443" s="304" t="str">
        <f t="shared" si="894"/>
        <v/>
      </c>
      <c r="BA1443" s="304" t="str">
        <f t="shared" si="894"/>
        <v/>
      </c>
      <c r="BB1443" s="28"/>
      <c r="BC1443" s="304" t="str">
        <f t="shared" si="895"/>
        <v/>
      </c>
      <c r="BD1443" s="304" t="str">
        <f t="shared" si="895"/>
        <v/>
      </c>
      <c r="BE1443" s="28"/>
      <c r="BF1443" s="304" t="str">
        <f t="shared" si="896"/>
        <v/>
      </c>
      <c r="BG1443" s="304" t="str">
        <f t="shared" si="896"/>
        <v/>
      </c>
      <c r="BH1443" s="28"/>
      <c r="BI1443" s="304" t="str">
        <f t="shared" si="897"/>
        <v/>
      </c>
      <c r="BJ1443" s="304" t="str">
        <f t="shared" si="897"/>
        <v/>
      </c>
      <c r="BK1443" s="28"/>
      <c r="BL1443" s="304" t="str">
        <f t="shared" si="898"/>
        <v/>
      </c>
      <c r="BM1443" s="304" t="str">
        <f t="shared" si="898"/>
        <v/>
      </c>
      <c r="BN1443" s="28"/>
      <c r="BO1443" s="304" t="str">
        <f t="shared" si="899"/>
        <v/>
      </c>
      <c r="BP1443" s="304" t="str">
        <f t="shared" si="899"/>
        <v/>
      </c>
      <c r="BQ1443" s="28"/>
      <c r="BR1443" s="304" t="str">
        <f t="shared" si="900"/>
        <v/>
      </c>
      <c r="BS1443" s="304" t="str">
        <f t="shared" si="900"/>
        <v/>
      </c>
      <c r="BT1443" s="28"/>
      <c r="BU1443" s="304" t="str">
        <f t="shared" si="901"/>
        <v/>
      </c>
      <c r="BV1443" s="304" t="str">
        <f t="shared" si="901"/>
        <v/>
      </c>
      <c r="BW1443" s="28"/>
      <c r="BX1443" s="91"/>
    </row>
    <row r="1444" spans="1:76" s="55" customFormat="1" x14ac:dyDescent="0.25">
      <c r="A1444" s="195">
        <v>5</v>
      </c>
      <c r="B1444" s="216" t="str">
        <f t="shared" si="890"/>
        <v xml:space="preserve">: </v>
      </c>
      <c r="C1444" s="221"/>
      <c r="D1444" s="221"/>
      <c r="E1444" s="221"/>
      <c r="F1444" s="221"/>
      <c r="G1444" s="240"/>
      <c r="H1444" s="221"/>
      <c r="I1444" s="240"/>
      <c r="J1444" s="241"/>
      <c r="K1444" s="241"/>
      <c r="L1444" s="241"/>
      <c r="M1444" s="225" t="str">
        <f>'[1]Advanced Controls'!$J$158</f>
        <v>t N2O-CO2eq per kg of protein</v>
      </c>
      <c r="N1444" s="227"/>
      <c r="O1444" s="241"/>
      <c r="P1444" s="122"/>
      <c r="Q1444" s="228"/>
      <c r="R1444" s="231" t="str">
        <f t="shared" si="902"/>
        <v/>
      </c>
      <c r="S1444" s="230" t="str">
        <f t="shared" si="891"/>
        <v/>
      </c>
      <c r="T1444" s="231" t="str">
        <f>IF(OR(Q1444="Y",IFERROR(R1444&gt;R1460+R1464*$AA$35,0),IFERROR(R1444&lt;R1460-R1464*$AA$35,0)),"",IFERROR(R1444*N1444,""))</f>
        <v/>
      </c>
      <c r="U1444" s="232" t="str">
        <f t="shared" si="892"/>
        <v>t N2O-CO2eq per kg of protein</v>
      </c>
      <c r="V1444" s="28"/>
      <c r="W1444" s="28"/>
      <c r="Y1444" s="91"/>
      <c r="AO1444" s="91"/>
      <c r="AP1444" s="28"/>
      <c r="AQ1444" s="28"/>
      <c r="AR1444" s="237"/>
      <c r="AS1444" s="28"/>
      <c r="AT1444" s="304" t="str">
        <f t="shared" si="903"/>
        <v/>
      </c>
      <c r="AU1444" s="304" t="str">
        <f t="shared" si="903"/>
        <v/>
      </c>
      <c r="AV1444" s="28"/>
      <c r="AW1444" s="304" t="str">
        <f t="shared" si="893"/>
        <v/>
      </c>
      <c r="AX1444" s="304" t="str">
        <f t="shared" si="893"/>
        <v/>
      </c>
      <c r="AY1444" s="28"/>
      <c r="AZ1444" s="304" t="str">
        <f t="shared" si="894"/>
        <v/>
      </c>
      <c r="BA1444" s="304" t="str">
        <f t="shared" si="894"/>
        <v/>
      </c>
      <c r="BB1444" s="28"/>
      <c r="BC1444" s="304" t="str">
        <f t="shared" si="895"/>
        <v/>
      </c>
      <c r="BD1444" s="304" t="str">
        <f t="shared" si="895"/>
        <v/>
      </c>
      <c r="BE1444" s="28"/>
      <c r="BF1444" s="304" t="str">
        <f t="shared" si="896"/>
        <v/>
      </c>
      <c r="BG1444" s="304" t="str">
        <f t="shared" si="896"/>
        <v/>
      </c>
      <c r="BH1444" s="28"/>
      <c r="BI1444" s="304" t="str">
        <f t="shared" si="897"/>
        <v/>
      </c>
      <c r="BJ1444" s="304" t="str">
        <f t="shared" si="897"/>
        <v/>
      </c>
      <c r="BK1444" s="28"/>
      <c r="BL1444" s="304" t="str">
        <f t="shared" si="898"/>
        <v/>
      </c>
      <c r="BM1444" s="304" t="str">
        <f t="shared" si="898"/>
        <v/>
      </c>
      <c r="BN1444" s="28"/>
      <c r="BO1444" s="304" t="str">
        <f t="shared" si="899"/>
        <v/>
      </c>
      <c r="BP1444" s="304" t="str">
        <f t="shared" si="899"/>
        <v/>
      </c>
      <c r="BQ1444" s="28"/>
      <c r="BR1444" s="304" t="str">
        <f t="shared" si="900"/>
        <v/>
      </c>
      <c r="BS1444" s="304" t="str">
        <f t="shared" si="900"/>
        <v/>
      </c>
      <c r="BT1444" s="28"/>
      <c r="BU1444" s="304" t="str">
        <f t="shared" si="901"/>
        <v/>
      </c>
      <c r="BV1444" s="304" t="str">
        <f t="shared" si="901"/>
        <v/>
      </c>
      <c r="BW1444" s="28"/>
      <c r="BX1444" s="91"/>
    </row>
    <row r="1445" spans="1:76" s="55" customFormat="1" x14ac:dyDescent="0.25">
      <c r="A1445" s="195">
        <v>6</v>
      </c>
      <c r="B1445" s="216" t="str">
        <f t="shared" si="890"/>
        <v xml:space="preserve">: </v>
      </c>
      <c r="C1445" s="221"/>
      <c r="D1445" s="221"/>
      <c r="E1445" s="221"/>
      <c r="F1445" s="221"/>
      <c r="G1445" s="240"/>
      <c r="H1445" s="221"/>
      <c r="I1445" s="240"/>
      <c r="J1445" s="241"/>
      <c r="K1445" s="241"/>
      <c r="L1445" s="241"/>
      <c r="M1445" s="225" t="str">
        <f>'[1]Advanced Controls'!$J$158</f>
        <v>t N2O-CO2eq per kg of protein</v>
      </c>
      <c r="N1445" s="227"/>
      <c r="O1445" s="241"/>
      <c r="P1445" s="122"/>
      <c r="Q1445" s="228"/>
      <c r="R1445" s="231" t="str">
        <f t="shared" si="902"/>
        <v/>
      </c>
      <c r="S1445" s="230" t="str">
        <f t="shared" si="891"/>
        <v/>
      </c>
      <c r="T1445" s="231" t="str">
        <f>IF(OR(Q1445="Y",IFERROR(R1445&gt;R1460+R1464*$AA$35,0),IFERROR(R1445&lt;R1460-R1464*$AA$35,0)),"",IFERROR(R1445*N1445,""))</f>
        <v/>
      </c>
      <c r="U1445" s="232" t="str">
        <f t="shared" si="892"/>
        <v>t N2O-CO2eq per kg of protein</v>
      </c>
      <c r="V1445" s="28"/>
      <c r="W1445" s="28"/>
      <c r="Y1445" s="91"/>
      <c r="AO1445" s="91"/>
      <c r="AP1445" s="28"/>
      <c r="AQ1445" s="28"/>
      <c r="AR1445" s="237"/>
      <c r="AS1445" s="28"/>
      <c r="AT1445" s="304" t="str">
        <f t="shared" si="903"/>
        <v/>
      </c>
      <c r="AU1445" s="304" t="str">
        <f t="shared" si="903"/>
        <v/>
      </c>
      <c r="AV1445" s="28"/>
      <c r="AW1445" s="304" t="str">
        <f t="shared" si="893"/>
        <v/>
      </c>
      <c r="AX1445" s="304" t="str">
        <f t="shared" si="893"/>
        <v/>
      </c>
      <c r="AY1445" s="28"/>
      <c r="AZ1445" s="304" t="str">
        <f t="shared" si="894"/>
        <v/>
      </c>
      <c r="BA1445" s="304" t="str">
        <f t="shared" si="894"/>
        <v/>
      </c>
      <c r="BB1445" s="28"/>
      <c r="BC1445" s="304" t="str">
        <f t="shared" si="895"/>
        <v/>
      </c>
      <c r="BD1445" s="304" t="str">
        <f t="shared" si="895"/>
        <v/>
      </c>
      <c r="BE1445" s="28"/>
      <c r="BF1445" s="304" t="str">
        <f t="shared" si="896"/>
        <v/>
      </c>
      <c r="BG1445" s="304" t="str">
        <f t="shared" si="896"/>
        <v/>
      </c>
      <c r="BH1445" s="28"/>
      <c r="BI1445" s="304" t="str">
        <f t="shared" si="897"/>
        <v/>
      </c>
      <c r="BJ1445" s="304" t="str">
        <f t="shared" si="897"/>
        <v/>
      </c>
      <c r="BK1445" s="28"/>
      <c r="BL1445" s="304" t="str">
        <f t="shared" si="898"/>
        <v/>
      </c>
      <c r="BM1445" s="304" t="str">
        <f t="shared" si="898"/>
        <v/>
      </c>
      <c r="BN1445" s="28"/>
      <c r="BO1445" s="304" t="str">
        <f t="shared" si="899"/>
        <v/>
      </c>
      <c r="BP1445" s="304" t="str">
        <f t="shared" si="899"/>
        <v/>
      </c>
      <c r="BQ1445" s="28"/>
      <c r="BR1445" s="304" t="str">
        <f t="shared" si="900"/>
        <v/>
      </c>
      <c r="BS1445" s="304" t="str">
        <f t="shared" si="900"/>
        <v/>
      </c>
      <c r="BT1445" s="28"/>
      <c r="BU1445" s="304" t="str">
        <f t="shared" si="901"/>
        <v/>
      </c>
      <c r="BV1445" s="304" t="str">
        <f t="shared" si="901"/>
        <v/>
      </c>
      <c r="BW1445" s="28"/>
      <c r="BX1445" s="91"/>
    </row>
    <row r="1446" spans="1:76" s="55" customFormat="1" x14ac:dyDescent="0.25">
      <c r="A1446" s="195">
        <v>7</v>
      </c>
      <c r="B1446" s="216" t="str">
        <f t="shared" si="890"/>
        <v xml:space="preserve">: </v>
      </c>
      <c r="C1446" s="221"/>
      <c r="D1446" s="221"/>
      <c r="E1446" s="221"/>
      <c r="F1446" s="221"/>
      <c r="G1446" s="240"/>
      <c r="H1446" s="221"/>
      <c r="I1446" s="240"/>
      <c r="J1446" s="241"/>
      <c r="K1446" s="241"/>
      <c r="L1446" s="241"/>
      <c r="M1446" s="225" t="str">
        <f>'[1]Advanced Controls'!$J$158</f>
        <v>t N2O-CO2eq per kg of protein</v>
      </c>
      <c r="N1446" s="227"/>
      <c r="O1446" s="241"/>
      <c r="P1446" s="122"/>
      <c r="Q1446" s="228"/>
      <c r="R1446" s="231" t="str">
        <f t="shared" si="902"/>
        <v/>
      </c>
      <c r="S1446" s="230" t="str">
        <f t="shared" si="891"/>
        <v/>
      </c>
      <c r="T1446" s="231" t="str">
        <f>IF(OR(Q1446="Y",IFERROR(R1446&gt;R1460+R1464*$AA$35,0),IFERROR(R1446&lt;R1460-R1464*$AA$35,0)),"",IFERROR(R1446*N1446,""))</f>
        <v/>
      </c>
      <c r="U1446" s="232" t="str">
        <f t="shared" si="892"/>
        <v>t N2O-CO2eq per kg of protein</v>
      </c>
      <c r="V1446" s="28"/>
      <c r="W1446" s="28"/>
      <c r="Y1446" s="91"/>
      <c r="AO1446" s="91"/>
      <c r="AP1446" s="28"/>
      <c r="AQ1446" s="28"/>
      <c r="AR1446" s="237"/>
      <c r="AS1446" s="28"/>
      <c r="AT1446" s="304" t="str">
        <f t="shared" si="903"/>
        <v/>
      </c>
      <c r="AU1446" s="304" t="str">
        <f t="shared" si="903"/>
        <v/>
      </c>
      <c r="AV1446" s="28"/>
      <c r="AW1446" s="304" t="str">
        <f t="shared" si="893"/>
        <v/>
      </c>
      <c r="AX1446" s="304" t="str">
        <f t="shared" si="893"/>
        <v/>
      </c>
      <c r="AY1446" s="28"/>
      <c r="AZ1446" s="304" t="str">
        <f t="shared" si="894"/>
        <v/>
      </c>
      <c r="BA1446" s="304" t="str">
        <f t="shared" si="894"/>
        <v/>
      </c>
      <c r="BB1446" s="28"/>
      <c r="BC1446" s="304" t="str">
        <f t="shared" si="895"/>
        <v/>
      </c>
      <c r="BD1446" s="304" t="str">
        <f t="shared" si="895"/>
        <v/>
      </c>
      <c r="BE1446" s="28"/>
      <c r="BF1446" s="304" t="str">
        <f t="shared" si="896"/>
        <v/>
      </c>
      <c r="BG1446" s="304" t="str">
        <f t="shared" si="896"/>
        <v/>
      </c>
      <c r="BH1446" s="28"/>
      <c r="BI1446" s="304" t="str">
        <f t="shared" si="897"/>
        <v/>
      </c>
      <c r="BJ1446" s="304" t="str">
        <f t="shared" si="897"/>
        <v/>
      </c>
      <c r="BK1446" s="28"/>
      <c r="BL1446" s="304" t="str">
        <f t="shared" si="898"/>
        <v/>
      </c>
      <c r="BM1446" s="304" t="str">
        <f t="shared" si="898"/>
        <v/>
      </c>
      <c r="BN1446" s="28"/>
      <c r="BO1446" s="304" t="str">
        <f t="shared" si="899"/>
        <v/>
      </c>
      <c r="BP1446" s="304" t="str">
        <f t="shared" si="899"/>
        <v/>
      </c>
      <c r="BQ1446" s="28"/>
      <c r="BR1446" s="304" t="str">
        <f t="shared" si="900"/>
        <v/>
      </c>
      <c r="BS1446" s="304" t="str">
        <f t="shared" si="900"/>
        <v/>
      </c>
      <c r="BT1446" s="28"/>
      <c r="BU1446" s="304" t="str">
        <f t="shared" si="901"/>
        <v/>
      </c>
      <c r="BV1446" s="304" t="str">
        <f t="shared" si="901"/>
        <v/>
      </c>
      <c r="BW1446" s="28"/>
      <c r="BX1446" s="91"/>
    </row>
    <row r="1447" spans="1:76" s="55" customFormat="1" x14ac:dyDescent="0.25">
      <c r="A1447" s="195">
        <v>8</v>
      </c>
      <c r="B1447" s="216" t="str">
        <f t="shared" si="890"/>
        <v xml:space="preserve">: </v>
      </c>
      <c r="C1447" s="221"/>
      <c r="D1447" s="221"/>
      <c r="E1447" s="221"/>
      <c r="F1447" s="221"/>
      <c r="G1447" s="240"/>
      <c r="H1447" s="221"/>
      <c r="I1447" s="240"/>
      <c r="J1447" s="241"/>
      <c r="K1447" s="241"/>
      <c r="L1447" s="241"/>
      <c r="M1447" s="225" t="str">
        <f>'[1]Advanced Controls'!$J$158</f>
        <v>t N2O-CO2eq per kg of protein</v>
      </c>
      <c r="N1447" s="227"/>
      <c r="O1447" s="241"/>
      <c r="P1447" s="122"/>
      <c r="Q1447" s="228"/>
      <c r="R1447" s="231" t="str">
        <f t="shared" si="902"/>
        <v/>
      </c>
      <c r="S1447" s="230" t="str">
        <f t="shared" si="891"/>
        <v/>
      </c>
      <c r="T1447" s="231" t="str">
        <f>IF(OR(Q1447="Y",IFERROR(R1447&gt;R1460+R1464*$AA$35,0),IFERROR(R1447&lt;R1460-R1464*$AA$35,0)),"",IFERROR(R1447*N1447,""))</f>
        <v/>
      </c>
      <c r="U1447" s="232" t="str">
        <f t="shared" si="892"/>
        <v>t N2O-CO2eq per kg of protein</v>
      </c>
      <c r="V1447" s="28"/>
      <c r="W1447" s="28"/>
      <c r="Y1447" s="91"/>
      <c r="AO1447" s="91"/>
      <c r="AP1447" s="28"/>
      <c r="AQ1447" s="28"/>
      <c r="AR1447" s="237"/>
      <c r="AS1447" s="28"/>
      <c r="AT1447" s="304" t="str">
        <f t="shared" si="903"/>
        <v/>
      </c>
      <c r="AU1447" s="304" t="str">
        <f t="shared" si="903"/>
        <v/>
      </c>
      <c r="AV1447" s="28"/>
      <c r="AW1447" s="304" t="str">
        <f t="shared" si="893"/>
        <v/>
      </c>
      <c r="AX1447" s="304" t="str">
        <f t="shared" si="893"/>
        <v/>
      </c>
      <c r="AY1447" s="28"/>
      <c r="AZ1447" s="304" t="str">
        <f t="shared" si="894"/>
        <v/>
      </c>
      <c r="BA1447" s="304" t="str">
        <f t="shared" si="894"/>
        <v/>
      </c>
      <c r="BB1447" s="28"/>
      <c r="BC1447" s="304" t="str">
        <f t="shared" si="895"/>
        <v/>
      </c>
      <c r="BD1447" s="304" t="str">
        <f t="shared" si="895"/>
        <v/>
      </c>
      <c r="BE1447" s="28"/>
      <c r="BF1447" s="304" t="str">
        <f t="shared" si="896"/>
        <v/>
      </c>
      <c r="BG1447" s="304" t="str">
        <f t="shared" si="896"/>
        <v/>
      </c>
      <c r="BH1447" s="28"/>
      <c r="BI1447" s="304" t="str">
        <f t="shared" si="897"/>
        <v/>
      </c>
      <c r="BJ1447" s="304" t="str">
        <f t="shared" si="897"/>
        <v/>
      </c>
      <c r="BK1447" s="28"/>
      <c r="BL1447" s="304" t="str">
        <f t="shared" si="898"/>
        <v/>
      </c>
      <c r="BM1447" s="304" t="str">
        <f t="shared" si="898"/>
        <v/>
      </c>
      <c r="BN1447" s="28"/>
      <c r="BO1447" s="304" t="str">
        <f t="shared" si="899"/>
        <v/>
      </c>
      <c r="BP1447" s="304" t="str">
        <f t="shared" si="899"/>
        <v/>
      </c>
      <c r="BQ1447" s="28"/>
      <c r="BR1447" s="304" t="str">
        <f t="shared" si="900"/>
        <v/>
      </c>
      <c r="BS1447" s="304" t="str">
        <f t="shared" si="900"/>
        <v/>
      </c>
      <c r="BT1447" s="28"/>
      <c r="BU1447" s="304" t="str">
        <f t="shared" si="901"/>
        <v/>
      </c>
      <c r="BV1447" s="304" t="str">
        <f t="shared" si="901"/>
        <v/>
      </c>
      <c r="BW1447" s="28"/>
      <c r="BX1447" s="91"/>
    </row>
    <row r="1448" spans="1:76" s="55" customFormat="1" x14ac:dyDescent="0.25">
      <c r="A1448" s="195">
        <v>9</v>
      </c>
      <c r="B1448" s="216" t="str">
        <f t="shared" si="890"/>
        <v xml:space="preserve">: </v>
      </c>
      <c r="C1448" s="221"/>
      <c r="D1448" s="221"/>
      <c r="E1448" s="221"/>
      <c r="F1448" s="221"/>
      <c r="G1448" s="240"/>
      <c r="H1448" s="221"/>
      <c r="I1448" s="240"/>
      <c r="J1448" s="241"/>
      <c r="K1448" s="241"/>
      <c r="L1448" s="241"/>
      <c r="M1448" s="225" t="str">
        <f>'[1]Advanced Controls'!$J$158</f>
        <v>t N2O-CO2eq per kg of protein</v>
      </c>
      <c r="N1448" s="227"/>
      <c r="O1448" s="241"/>
      <c r="P1448" s="122"/>
      <c r="Q1448" s="228"/>
      <c r="R1448" s="231" t="str">
        <f t="shared" si="902"/>
        <v/>
      </c>
      <c r="S1448" s="230" t="str">
        <f t="shared" si="891"/>
        <v/>
      </c>
      <c r="T1448" s="231" t="str">
        <f>IF(OR(Q1448="Y",IFERROR(R1448&gt;R1460+R1464*$AA$35,0),IFERROR(R1448&lt;R1460-R1464*$AA$35,0)),"",IFERROR(R1448*N1448,""))</f>
        <v/>
      </c>
      <c r="U1448" s="232" t="str">
        <f t="shared" si="892"/>
        <v>t N2O-CO2eq per kg of protein</v>
      </c>
      <c r="V1448" s="28"/>
      <c r="W1448" s="28"/>
      <c r="Y1448" s="91"/>
      <c r="AO1448" s="91"/>
      <c r="AP1448" s="28"/>
      <c r="AQ1448" s="28"/>
      <c r="AR1448" s="237"/>
      <c r="AS1448" s="28"/>
      <c r="AT1448" s="304" t="str">
        <f t="shared" si="903"/>
        <v/>
      </c>
      <c r="AU1448" s="304" t="str">
        <f t="shared" si="903"/>
        <v/>
      </c>
      <c r="AV1448" s="28"/>
      <c r="AW1448" s="304" t="str">
        <f t="shared" si="893"/>
        <v/>
      </c>
      <c r="AX1448" s="304" t="str">
        <f t="shared" si="893"/>
        <v/>
      </c>
      <c r="AY1448" s="28"/>
      <c r="AZ1448" s="304" t="str">
        <f t="shared" si="894"/>
        <v/>
      </c>
      <c r="BA1448" s="304" t="str">
        <f t="shared" si="894"/>
        <v/>
      </c>
      <c r="BB1448" s="28"/>
      <c r="BC1448" s="304" t="str">
        <f t="shared" si="895"/>
        <v/>
      </c>
      <c r="BD1448" s="304" t="str">
        <f t="shared" si="895"/>
        <v/>
      </c>
      <c r="BE1448" s="28"/>
      <c r="BF1448" s="304" t="str">
        <f t="shared" si="896"/>
        <v/>
      </c>
      <c r="BG1448" s="304" t="str">
        <f t="shared" si="896"/>
        <v/>
      </c>
      <c r="BH1448" s="28"/>
      <c r="BI1448" s="304" t="str">
        <f t="shared" si="897"/>
        <v/>
      </c>
      <c r="BJ1448" s="304" t="str">
        <f t="shared" si="897"/>
        <v/>
      </c>
      <c r="BK1448" s="28"/>
      <c r="BL1448" s="304" t="str">
        <f t="shared" si="898"/>
        <v/>
      </c>
      <c r="BM1448" s="304" t="str">
        <f t="shared" si="898"/>
        <v/>
      </c>
      <c r="BN1448" s="28"/>
      <c r="BO1448" s="304" t="str">
        <f t="shared" si="899"/>
        <v/>
      </c>
      <c r="BP1448" s="304" t="str">
        <f t="shared" si="899"/>
        <v/>
      </c>
      <c r="BQ1448" s="28"/>
      <c r="BR1448" s="304" t="str">
        <f t="shared" si="900"/>
        <v/>
      </c>
      <c r="BS1448" s="304" t="str">
        <f t="shared" si="900"/>
        <v/>
      </c>
      <c r="BT1448" s="28"/>
      <c r="BU1448" s="304" t="str">
        <f t="shared" si="901"/>
        <v/>
      </c>
      <c r="BV1448" s="304" t="str">
        <f t="shared" si="901"/>
        <v/>
      </c>
      <c r="BW1448" s="28"/>
      <c r="BX1448" s="91"/>
    </row>
    <row r="1449" spans="1:76" s="55" customFormat="1" x14ac:dyDescent="0.25">
      <c r="A1449" s="195">
        <v>10</v>
      </c>
      <c r="B1449" s="216" t="str">
        <f t="shared" si="890"/>
        <v xml:space="preserve">: </v>
      </c>
      <c r="C1449" s="221"/>
      <c r="D1449" s="221"/>
      <c r="E1449" s="221"/>
      <c r="F1449" s="221"/>
      <c r="G1449" s="240"/>
      <c r="H1449" s="221"/>
      <c r="I1449" s="240"/>
      <c r="J1449" s="241"/>
      <c r="K1449" s="241"/>
      <c r="L1449" s="241"/>
      <c r="M1449" s="225" t="str">
        <f>'[1]Advanced Controls'!$J$158</f>
        <v>t N2O-CO2eq per kg of protein</v>
      </c>
      <c r="N1449" s="227"/>
      <c r="O1449" s="241"/>
      <c r="P1449" s="122"/>
      <c r="Q1449" s="228"/>
      <c r="R1449" s="231" t="str">
        <f t="shared" si="902"/>
        <v/>
      </c>
      <c r="S1449" s="230" t="str">
        <f t="shared" si="891"/>
        <v/>
      </c>
      <c r="T1449" s="231" t="str">
        <f>IF(OR(Q1449="Y",IFERROR(R1449&gt;R1460+R1464*$AA$35,0),IFERROR(R1449&lt;R1460-R1464*$AA$35,0)),"",IFERROR(R1449*N1449,""))</f>
        <v/>
      </c>
      <c r="U1449" s="232" t="str">
        <f t="shared" si="892"/>
        <v>t N2O-CO2eq per kg of protein</v>
      </c>
      <c r="V1449" s="28"/>
      <c r="W1449" s="28"/>
      <c r="Y1449" s="91"/>
      <c r="AO1449" s="91"/>
      <c r="AP1449" s="28"/>
      <c r="AQ1449" s="28"/>
      <c r="AR1449" s="237"/>
      <c r="AS1449" s="28"/>
      <c r="AT1449" s="304" t="str">
        <f t="shared" si="903"/>
        <v/>
      </c>
      <c r="AU1449" s="304" t="str">
        <f t="shared" si="903"/>
        <v/>
      </c>
      <c r="AV1449" s="28"/>
      <c r="AW1449" s="304" t="str">
        <f t="shared" si="893"/>
        <v/>
      </c>
      <c r="AX1449" s="304" t="str">
        <f t="shared" si="893"/>
        <v/>
      </c>
      <c r="AY1449" s="28"/>
      <c r="AZ1449" s="304" t="str">
        <f t="shared" si="894"/>
        <v/>
      </c>
      <c r="BA1449" s="304" t="str">
        <f t="shared" si="894"/>
        <v/>
      </c>
      <c r="BB1449" s="28"/>
      <c r="BC1449" s="304" t="str">
        <f t="shared" si="895"/>
        <v/>
      </c>
      <c r="BD1449" s="304" t="str">
        <f t="shared" si="895"/>
        <v/>
      </c>
      <c r="BE1449" s="28"/>
      <c r="BF1449" s="304" t="str">
        <f t="shared" si="896"/>
        <v/>
      </c>
      <c r="BG1449" s="304" t="str">
        <f t="shared" si="896"/>
        <v/>
      </c>
      <c r="BH1449" s="28"/>
      <c r="BI1449" s="304" t="str">
        <f t="shared" si="897"/>
        <v/>
      </c>
      <c r="BJ1449" s="304" t="str">
        <f t="shared" si="897"/>
        <v/>
      </c>
      <c r="BK1449" s="28"/>
      <c r="BL1449" s="304" t="str">
        <f t="shared" si="898"/>
        <v/>
      </c>
      <c r="BM1449" s="304" t="str">
        <f t="shared" si="898"/>
        <v/>
      </c>
      <c r="BN1449" s="28"/>
      <c r="BO1449" s="304" t="str">
        <f t="shared" si="899"/>
        <v/>
      </c>
      <c r="BP1449" s="304" t="str">
        <f t="shared" si="899"/>
        <v/>
      </c>
      <c r="BQ1449" s="28"/>
      <c r="BR1449" s="304" t="str">
        <f t="shared" si="900"/>
        <v/>
      </c>
      <c r="BS1449" s="304" t="str">
        <f t="shared" si="900"/>
        <v/>
      </c>
      <c r="BT1449" s="28"/>
      <c r="BU1449" s="304" t="str">
        <f t="shared" si="901"/>
        <v/>
      </c>
      <c r="BV1449" s="304" t="str">
        <f t="shared" si="901"/>
        <v/>
      </c>
      <c r="BW1449" s="28"/>
      <c r="BX1449" s="91"/>
    </row>
    <row r="1450" spans="1:76" s="55" customFormat="1" x14ac:dyDescent="0.25">
      <c r="A1450" s="195">
        <v>11</v>
      </c>
      <c r="B1450" s="216" t="str">
        <f t="shared" si="890"/>
        <v xml:space="preserve">: </v>
      </c>
      <c r="C1450" s="221"/>
      <c r="D1450" s="221"/>
      <c r="E1450" s="221"/>
      <c r="F1450" s="221"/>
      <c r="G1450" s="240"/>
      <c r="H1450" s="221"/>
      <c r="I1450" s="240"/>
      <c r="J1450" s="241"/>
      <c r="K1450" s="241"/>
      <c r="L1450" s="241"/>
      <c r="M1450" s="225" t="str">
        <f>'[1]Advanced Controls'!$J$158</f>
        <v>t N2O-CO2eq per kg of protein</v>
      </c>
      <c r="N1450" s="227"/>
      <c r="O1450" s="241"/>
      <c r="P1450" s="122"/>
      <c r="Q1450" s="228"/>
      <c r="R1450" s="231" t="str">
        <f t="shared" si="902"/>
        <v/>
      </c>
      <c r="S1450" s="230" t="str">
        <f t="shared" si="891"/>
        <v/>
      </c>
      <c r="T1450" s="231" t="str">
        <f>IF(OR(Q1450="Y",IFERROR(R1450&gt;R1460+R1464*$AA$35,0),IFERROR(R1450&lt;R1460-R1464*$AA$35,0)),"",IFERROR(R1450*N1450,""))</f>
        <v/>
      </c>
      <c r="U1450" s="232" t="str">
        <f t="shared" si="892"/>
        <v>t N2O-CO2eq per kg of protein</v>
      </c>
      <c r="V1450" s="28"/>
      <c r="W1450" s="28"/>
      <c r="Y1450" s="91"/>
      <c r="AO1450" s="91"/>
      <c r="AP1450" s="28"/>
      <c r="AQ1450" s="28"/>
      <c r="AR1450" s="237"/>
      <c r="AS1450" s="28"/>
      <c r="AT1450" s="304" t="str">
        <f t="shared" si="903"/>
        <v/>
      </c>
      <c r="AU1450" s="304" t="str">
        <f t="shared" si="903"/>
        <v/>
      </c>
      <c r="AV1450" s="28"/>
      <c r="AW1450" s="304" t="str">
        <f t="shared" si="893"/>
        <v/>
      </c>
      <c r="AX1450" s="304" t="str">
        <f t="shared" si="893"/>
        <v/>
      </c>
      <c r="AY1450" s="28"/>
      <c r="AZ1450" s="304" t="str">
        <f t="shared" si="894"/>
        <v/>
      </c>
      <c r="BA1450" s="304" t="str">
        <f t="shared" si="894"/>
        <v/>
      </c>
      <c r="BB1450" s="28"/>
      <c r="BC1450" s="304" t="str">
        <f t="shared" si="895"/>
        <v/>
      </c>
      <c r="BD1450" s="304" t="str">
        <f t="shared" si="895"/>
        <v/>
      </c>
      <c r="BE1450" s="28"/>
      <c r="BF1450" s="304" t="str">
        <f t="shared" si="896"/>
        <v/>
      </c>
      <c r="BG1450" s="304" t="str">
        <f t="shared" si="896"/>
        <v/>
      </c>
      <c r="BH1450" s="28"/>
      <c r="BI1450" s="304" t="str">
        <f t="shared" si="897"/>
        <v/>
      </c>
      <c r="BJ1450" s="304" t="str">
        <f t="shared" si="897"/>
        <v/>
      </c>
      <c r="BK1450" s="28"/>
      <c r="BL1450" s="304" t="str">
        <f t="shared" si="898"/>
        <v/>
      </c>
      <c r="BM1450" s="304" t="str">
        <f t="shared" si="898"/>
        <v/>
      </c>
      <c r="BN1450" s="28"/>
      <c r="BO1450" s="304" t="str">
        <f t="shared" si="899"/>
        <v/>
      </c>
      <c r="BP1450" s="304" t="str">
        <f t="shared" si="899"/>
        <v/>
      </c>
      <c r="BQ1450" s="28"/>
      <c r="BR1450" s="304" t="str">
        <f t="shared" si="900"/>
        <v/>
      </c>
      <c r="BS1450" s="304" t="str">
        <f t="shared" si="900"/>
        <v/>
      </c>
      <c r="BT1450" s="28"/>
      <c r="BU1450" s="304" t="str">
        <f t="shared" si="901"/>
        <v/>
      </c>
      <c r="BV1450" s="304" t="str">
        <f t="shared" si="901"/>
        <v/>
      </c>
      <c r="BW1450" s="28"/>
      <c r="BX1450" s="91"/>
    </row>
    <row r="1451" spans="1:76" s="55" customFormat="1" x14ac:dyDescent="0.25">
      <c r="A1451" s="195">
        <v>12</v>
      </c>
      <c r="B1451" s="216" t="str">
        <f t="shared" si="890"/>
        <v xml:space="preserve">: </v>
      </c>
      <c r="C1451" s="221"/>
      <c r="D1451" s="221"/>
      <c r="E1451" s="221"/>
      <c r="F1451" s="221"/>
      <c r="G1451" s="240"/>
      <c r="H1451" s="221"/>
      <c r="I1451" s="240"/>
      <c r="J1451" s="241"/>
      <c r="K1451" s="241"/>
      <c r="L1451" s="241"/>
      <c r="M1451" s="225" t="str">
        <f>'[1]Advanced Controls'!$J$158</f>
        <v>t N2O-CO2eq per kg of protein</v>
      </c>
      <c r="N1451" s="227"/>
      <c r="O1451" s="241"/>
      <c r="P1451" s="122"/>
      <c r="Q1451" s="228"/>
      <c r="R1451" s="231" t="str">
        <f t="shared" si="902"/>
        <v/>
      </c>
      <c r="S1451" s="230" t="str">
        <f t="shared" si="891"/>
        <v/>
      </c>
      <c r="T1451" s="231" t="str">
        <f>IF(OR(Q1451="Y",IFERROR(R1451&gt;R1460+R1464*$AA$35,0),IFERROR(R1451&lt;R1460-R1464*$AA$35,0)),"",IFERROR(R1451*N1451,""))</f>
        <v/>
      </c>
      <c r="U1451" s="232" t="str">
        <f t="shared" si="892"/>
        <v>t N2O-CO2eq per kg of protein</v>
      </c>
      <c r="V1451" s="28"/>
      <c r="W1451" s="28"/>
      <c r="Y1451" s="91"/>
      <c r="AO1451" s="91"/>
      <c r="AP1451" s="28"/>
      <c r="AQ1451" s="28"/>
      <c r="AR1451" s="237"/>
      <c r="AS1451" s="28"/>
      <c r="AT1451" s="304" t="str">
        <f t="shared" si="903"/>
        <v/>
      </c>
      <c r="AU1451" s="304" t="str">
        <f t="shared" si="903"/>
        <v/>
      </c>
      <c r="AV1451" s="28"/>
      <c r="AW1451" s="304" t="str">
        <f t="shared" si="893"/>
        <v/>
      </c>
      <c r="AX1451" s="304" t="str">
        <f t="shared" si="893"/>
        <v/>
      </c>
      <c r="AY1451" s="28"/>
      <c r="AZ1451" s="304" t="str">
        <f t="shared" si="894"/>
        <v/>
      </c>
      <c r="BA1451" s="304" t="str">
        <f t="shared" si="894"/>
        <v/>
      </c>
      <c r="BB1451" s="28"/>
      <c r="BC1451" s="304" t="str">
        <f t="shared" si="895"/>
        <v/>
      </c>
      <c r="BD1451" s="304" t="str">
        <f t="shared" si="895"/>
        <v/>
      </c>
      <c r="BE1451" s="28"/>
      <c r="BF1451" s="304" t="str">
        <f t="shared" si="896"/>
        <v/>
      </c>
      <c r="BG1451" s="304" t="str">
        <f t="shared" si="896"/>
        <v/>
      </c>
      <c r="BH1451" s="28"/>
      <c r="BI1451" s="304" t="str">
        <f t="shared" si="897"/>
        <v/>
      </c>
      <c r="BJ1451" s="304" t="str">
        <f t="shared" si="897"/>
        <v/>
      </c>
      <c r="BK1451" s="28"/>
      <c r="BL1451" s="304" t="str">
        <f t="shared" si="898"/>
        <v/>
      </c>
      <c r="BM1451" s="304" t="str">
        <f t="shared" si="898"/>
        <v/>
      </c>
      <c r="BN1451" s="28"/>
      <c r="BO1451" s="304" t="str">
        <f t="shared" si="899"/>
        <v/>
      </c>
      <c r="BP1451" s="304" t="str">
        <f t="shared" si="899"/>
        <v/>
      </c>
      <c r="BQ1451" s="28"/>
      <c r="BR1451" s="304" t="str">
        <f t="shared" si="900"/>
        <v/>
      </c>
      <c r="BS1451" s="304" t="str">
        <f t="shared" si="900"/>
        <v/>
      </c>
      <c r="BT1451" s="28"/>
      <c r="BU1451" s="304" t="str">
        <f t="shared" si="901"/>
        <v/>
      </c>
      <c r="BV1451" s="304" t="str">
        <f t="shared" si="901"/>
        <v/>
      </c>
      <c r="BW1451" s="28"/>
      <c r="BX1451" s="91"/>
    </row>
    <row r="1452" spans="1:76" s="55" customFormat="1" x14ac:dyDescent="0.25">
      <c r="A1452" s="195">
        <v>13</v>
      </c>
      <c r="B1452" s="216" t="str">
        <f t="shared" si="890"/>
        <v xml:space="preserve">: </v>
      </c>
      <c r="C1452" s="221"/>
      <c r="D1452" s="221"/>
      <c r="E1452" s="221"/>
      <c r="F1452" s="221"/>
      <c r="G1452" s="240"/>
      <c r="H1452" s="221"/>
      <c r="I1452" s="240"/>
      <c r="J1452" s="241"/>
      <c r="K1452" s="241"/>
      <c r="L1452" s="241"/>
      <c r="M1452" s="225" t="str">
        <f>'[1]Advanced Controls'!$J$158</f>
        <v>t N2O-CO2eq per kg of protein</v>
      </c>
      <c r="N1452" s="227"/>
      <c r="O1452" s="241"/>
      <c r="P1452" s="122"/>
      <c r="Q1452" s="228"/>
      <c r="R1452" s="231" t="str">
        <f t="shared" si="902"/>
        <v/>
      </c>
      <c r="S1452" s="230" t="str">
        <f t="shared" si="891"/>
        <v/>
      </c>
      <c r="T1452" s="231" t="str">
        <f>IF(OR(Q1452="Y",IFERROR(R1452&gt;R1460+R1464*$AA$35,0),IFERROR(R1452&lt;R1460-R1464*$AA$35,0)),"",IFERROR(R1452*N1452,""))</f>
        <v/>
      </c>
      <c r="U1452" s="232" t="str">
        <f t="shared" si="892"/>
        <v>t N2O-CO2eq per kg of protein</v>
      </c>
      <c r="V1452" s="28"/>
      <c r="W1452" s="28"/>
      <c r="Y1452" s="91"/>
      <c r="AO1452" s="91"/>
      <c r="AP1452" s="28"/>
      <c r="AQ1452" s="28"/>
      <c r="AR1452" s="237"/>
      <c r="AS1452" s="28"/>
      <c r="AT1452" s="304" t="str">
        <f t="shared" si="903"/>
        <v/>
      </c>
      <c r="AU1452" s="304" t="str">
        <f t="shared" si="903"/>
        <v/>
      </c>
      <c r="AV1452" s="28"/>
      <c r="AW1452" s="304" t="str">
        <f t="shared" si="893"/>
        <v/>
      </c>
      <c r="AX1452" s="304" t="str">
        <f t="shared" si="893"/>
        <v/>
      </c>
      <c r="AY1452" s="28"/>
      <c r="AZ1452" s="304" t="str">
        <f t="shared" si="894"/>
        <v/>
      </c>
      <c r="BA1452" s="304" t="str">
        <f t="shared" si="894"/>
        <v/>
      </c>
      <c r="BB1452" s="28"/>
      <c r="BC1452" s="304" t="str">
        <f t="shared" si="895"/>
        <v/>
      </c>
      <c r="BD1452" s="304" t="str">
        <f t="shared" si="895"/>
        <v/>
      </c>
      <c r="BE1452" s="28"/>
      <c r="BF1452" s="304" t="str">
        <f t="shared" si="896"/>
        <v/>
      </c>
      <c r="BG1452" s="304" t="str">
        <f t="shared" si="896"/>
        <v/>
      </c>
      <c r="BH1452" s="28"/>
      <c r="BI1452" s="304" t="str">
        <f t="shared" si="897"/>
        <v/>
      </c>
      <c r="BJ1452" s="304" t="str">
        <f t="shared" si="897"/>
        <v/>
      </c>
      <c r="BK1452" s="28"/>
      <c r="BL1452" s="304" t="str">
        <f t="shared" si="898"/>
        <v/>
      </c>
      <c r="BM1452" s="304" t="str">
        <f t="shared" si="898"/>
        <v/>
      </c>
      <c r="BN1452" s="28"/>
      <c r="BO1452" s="304" t="str">
        <f t="shared" si="899"/>
        <v/>
      </c>
      <c r="BP1452" s="304" t="str">
        <f t="shared" si="899"/>
        <v/>
      </c>
      <c r="BQ1452" s="28"/>
      <c r="BR1452" s="304" t="str">
        <f t="shared" si="900"/>
        <v/>
      </c>
      <c r="BS1452" s="304" t="str">
        <f t="shared" si="900"/>
        <v/>
      </c>
      <c r="BT1452" s="28"/>
      <c r="BU1452" s="304" t="str">
        <f t="shared" si="901"/>
        <v/>
      </c>
      <c r="BV1452" s="304" t="str">
        <f t="shared" si="901"/>
        <v/>
      </c>
      <c r="BW1452" s="28"/>
      <c r="BX1452" s="91"/>
    </row>
    <row r="1453" spans="1:76" s="55" customFormat="1" x14ac:dyDescent="0.25">
      <c r="A1453" s="195">
        <v>14</v>
      </c>
      <c r="B1453" s="216" t="str">
        <f t="shared" si="890"/>
        <v xml:space="preserve">: </v>
      </c>
      <c r="C1453" s="221"/>
      <c r="D1453" s="221"/>
      <c r="E1453" s="221"/>
      <c r="F1453" s="221"/>
      <c r="G1453" s="240"/>
      <c r="H1453" s="221"/>
      <c r="I1453" s="240"/>
      <c r="J1453" s="241"/>
      <c r="K1453" s="241"/>
      <c r="L1453" s="241"/>
      <c r="M1453" s="225" t="str">
        <f>'[1]Advanced Controls'!$J$158</f>
        <v>t N2O-CO2eq per kg of protein</v>
      </c>
      <c r="N1453" s="227"/>
      <c r="O1453" s="241"/>
      <c r="P1453" s="122"/>
      <c r="Q1453" s="228"/>
      <c r="R1453" s="231" t="str">
        <f t="shared" si="902"/>
        <v/>
      </c>
      <c r="S1453" s="230" t="str">
        <f t="shared" si="891"/>
        <v/>
      </c>
      <c r="T1453" s="231" t="str">
        <f>IF(OR(Q1453="Y",IFERROR(R1453&gt;R1460+R1464*$AA$35,0),IFERROR(R1453&lt;R1460-R1464*$AA$35,0)),"",IFERROR(R1453*N1453,""))</f>
        <v/>
      </c>
      <c r="U1453" s="232" t="str">
        <f t="shared" si="892"/>
        <v>t N2O-CO2eq per kg of protein</v>
      </c>
      <c r="V1453" s="28"/>
      <c r="W1453" s="28"/>
      <c r="Y1453" s="91"/>
      <c r="AO1453" s="91"/>
      <c r="AP1453" s="28"/>
      <c r="AQ1453" s="28"/>
      <c r="AR1453" s="237"/>
      <c r="AS1453" s="28"/>
      <c r="AT1453" s="304" t="str">
        <f t="shared" si="903"/>
        <v/>
      </c>
      <c r="AU1453" s="304" t="str">
        <f t="shared" si="903"/>
        <v/>
      </c>
      <c r="AV1453" s="28"/>
      <c r="AW1453" s="304" t="str">
        <f t="shared" si="893"/>
        <v/>
      </c>
      <c r="AX1453" s="304" t="str">
        <f t="shared" si="893"/>
        <v/>
      </c>
      <c r="AY1453" s="28"/>
      <c r="AZ1453" s="304" t="str">
        <f t="shared" si="894"/>
        <v/>
      </c>
      <c r="BA1453" s="304" t="str">
        <f t="shared" si="894"/>
        <v/>
      </c>
      <c r="BB1453" s="28"/>
      <c r="BC1453" s="304" t="str">
        <f t="shared" si="895"/>
        <v/>
      </c>
      <c r="BD1453" s="304" t="str">
        <f t="shared" si="895"/>
        <v/>
      </c>
      <c r="BE1453" s="28"/>
      <c r="BF1453" s="304" t="str">
        <f t="shared" si="896"/>
        <v/>
      </c>
      <c r="BG1453" s="304" t="str">
        <f t="shared" si="896"/>
        <v/>
      </c>
      <c r="BH1453" s="28"/>
      <c r="BI1453" s="304" t="str">
        <f t="shared" si="897"/>
        <v/>
      </c>
      <c r="BJ1453" s="304" t="str">
        <f t="shared" si="897"/>
        <v/>
      </c>
      <c r="BK1453" s="28"/>
      <c r="BL1453" s="304" t="str">
        <f t="shared" si="898"/>
        <v/>
      </c>
      <c r="BM1453" s="304" t="str">
        <f t="shared" si="898"/>
        <v/>
      </c>
      <c r="BN1453" s="28"/>
      <c r="BO1453" s="304" t="str">
        <f t="shared" si="899"/>
        <v/>
      </c>
      <c r="BP1453" s="304" t="str">
        <f t="shared" si="899"/>
        <v/>
      </c>
      <c r="BQ1453" s="28"/>
      <c r="BR1453" s="304" t="str">
        <f t="shared" si="900"/>
        <v/>
      </c>
      <c r="BS1453" s="304" t="str">
        <f t="shared" si="900"/>
        <v/>
      </c>
      <c r="BT1453" s="28"/>
      <c r="BU1453" s="304" t="str">
        <f t="shared" si="901"/>
        <v/>
      </c>
      <c r="BV1453" s="304" t="str">
        <f t="shared" si="901"/>
        <v/>
      </c>
      <c r="BW1453" s="28"/>
      <c r="BX1453" s="91"/>
    </row>
    <row r="1454" spans="1:76" s="55" customFormat="1" x14ac:dyDescent="0.25">
      <c r="A1454" s="195">
        <v>15</v>
      </c>
      <c r="B1454" s="216" t="str">
        <f t="shared" si="890"/>
        <v xml:space="preserve">: </v>
      </c>
      <c r="C1454" s="221"/>
      <c r="D1454" s="221"/>
      <c r="E1454" s="221"/>
      <c r="F1454" s="221"/>
      <c r="G1454" s="240"/>
      <c r="H1454" s="221"/>
      <c r="I1454" s="240"/>
      <c r="J1454" s="241"/>
      <c r="K1454" s="241"/>
      <c r="L1454" s="241"/>
      <c r="M1454" s="225" t="str">
        <f>'[1]Advanced Controls'!$J$158</f>
        <v>t N2O-CO2eq per kg of protein</v>
      </c>
      <c r="N1454" s="227"/>
      <c r="O1454" s="241"/>
      <c r="P1454" s="122"/>
      <c r="Q1454" s="228"/>
      <c r="R1454" s="231" t="str">
        <f t="shared" si="902"/>
        <v/>
      </c>
      <c r="S1454" s="230" t="str">
        <f t="shared" si="891"/>
        <v/>
      </c>
      <c r="T1454" s="231" t="str">
        <f>IF(OR(Q1454="Y",IFERROR(R1454&gt;R1460+R1464*$AA$35,0),IFERROR(R1454&lt;R1460-R1464*$AA$35,0)),"",IFERROR(R1454*N1454,""))</f>
        <v/>
      </c>
      <c r="U1454" s="232" t="str">
        <f t="shared" si="892"/>
        <v>t N2O-CO2eq per kg of protein</v>
      </c>
      <c r="V1454" s="28"/>
      <c r="W1454" s="28"/>
      <c r="Y1454" s="91"/>
      <c r="AO1454" s="91"/>
      <c r="AP1454" s="28"/>
      <c r="AQ1454" s="28"/>
      <c r="AR1454" s="237"/>
      <c r="AS1454" s="28"/>
      <c r="AT1454" s="304" t="str">
        <f t="shared" si="903"/>
        <v/>
      </c>
      <c r="AU1454" s="304" t="str">
        <f t="shared" si="903"/>
        <v/>
      </c>
      <c r="AV1454" s="28"/>
      <c r="AW1454" s="304" t="str">
        <f t="shared" si="893"/>
        <v/>
      </c>
      <c r="AX1454" s="304" t="str">
        <f t="shared" si="893"/>
        <v/>
      </c>
      <c r="AY1454" s="28"/>
      <c r="AZ1454" s="304" t="str">
        <f t="shared" si="894"/>
        <v/>
      </c>
      <c r="BA1454" s="304" t="str">
        <f t="shared" si="894"/>
        <v/>
      </c>
      <c r="BB1454" s="28"/>
      <c r="BC1454" s="304" t="str">
        <f t="shared" si="895"/>
        <v/>
      </c>
      <c r="BD1454" s="304" t="str">
        <f t="shared" si="895"/>
        <v/>
      </c>
      <c r="BE1454" s="28"/>
      <c r="BF1454" s="304" t="str">
        <f t="shared" si="896"/>
        <v/>
      </c>
      <c r="BG1454" s="304" t="str">
        <f t="shared" si="896"/>
        <v/>
      </c>
      <c r="BH1454" s="28"/>
      <c r="BI1454" s="304" t="str">
        <f t="shared" si="897"/>
        <v/>
      </c>
      <c r="BJ1454" s="304" t="str">
        <f t="shared" si="897"/>
        <v/>
      </c>
      <c r="BK1454" s="28"/>
      <c r="BL1454" s="304" t="str">
        <f t="shared" si="898"/>
        <v/>
      </c>
      <c r="BM1454" s="304" t="str">
        <f t="shared" si="898"/>
        <v/>
      </c>
      <c r="BN1454" s="28"/>
      <c r="BO1454" s="304" t="str">
        <f t="shared" si="899"/>
        <v/>
      </c>
      <c r="BP1454" s="304" t="str">
        <f t="shared" si="899"/>
        <v/>
      </c>
      <c r="BQ1454" s="28"/>
      <c r="BR1454" s="304" t="str">
        <f t="shared" si="900"/>
        <v/>
      </c>
      <c r="BS1454" s="304" t="str">
        <f t="shared" si="900"/>
        <v/>
      </c>
      <c r="BT1454" s="28"/>
      <c r="BU1454" s="304" t="str">
        <f t="shared" si="901"/>
        <v/>
      </c>
      <c r="BV1454" s="304" t="str">
        <f t="shared" si="901"/>
        <v/>
      </c>
      <c r="BW1454" s="28"/>
      <c r="BX1454" s="91"/>
    </row>
    <row r="1455" spans="1:76" s="55" customFormat="1" x14ac:dyDescent="0.25">
      <c r="A1455" s="195">
        <v>16</v>
      </c>
      <c r="B1455" s="216" t="str">
        <f t="shared" si="890"/>
        <v xml:space="preserve">: </v>
      </c>
      <c r="C1455" s="221"/>
      <c r="D1455" s="221"/>
      <c r="E1455" s="221"/>
      <c r="F1455" s="221"/>
      <c r="G1455" s="240"/>
      <c r="H1455" s="221"/>
      <c r="I1455" s="240"/>
      <c r="J1455" s="241"/>
      <c r="K1455" s="241"/>
      <c r="L1455" s="241"/>
      <c r="M1455" s="225" t="str">
        <f>'[1]Advanced Controls'!$J$158</f>
        <v>t N2O-CO2eq per kg of protein</v>
      </c>
      <c r="N1455" s="227"/>
      <c r="O1455" s="241"/>
      <c r="P1455" s="122"/>
      <c r="Q1455" s="228"/>
      <c r="R1455" s="231" t="str">
        <f t="shared" si="902"/>
        <v/>
      </c>
      <c r="S1455" s="230" t="str">
        <f t="shared" si="891"/>
        <v/>
      </c>
      <c r="T1455" s="231" t="str">
        <f>IF(OR(Q1455="Y",IFERROR(R1455&gt;R1460+R1464*$AA$35,0),IFERROR(R1455&lt;R1460-R1464*$AA$35,0)),"",IFERROR(R1455*N1455,""))</f>
        <v/>
      </c>
      <c r="U1455" s="232" t="str">
        <f t="shared" si="892"/>
        <v>t N2O-CO2eq per kg of protein</v>
      </c>
      <c r="V1455" s="28"/>
      <c r="W1455" s="28"/>
      <c r="Y1455" s="91"/>
      <c r="AO1455" s="91"/>
      <c r="AP1455" s="28"/>
      <c r="AQ1455" s="28"/>
      <c r="AR1455" s="237"/>
      <c r="AS1455" s="28"/>
      <c r="AT1455" s="304" t="str">
        <f t="shared" si="903"/>
        <v/>
      </c>
      <c r="AU1455" s="304" t="str">
        <f t="shared" si="903"/>
        <v/>
      </c>
      <c r="AV1455" s="28"/>
      <c r="AW1455" s="304" t="str">
        <f t="shared" si="893"/>
        <v/>
      </c>
      <c r="AX1455" s="304" t="str">
        <f t="shared" si="893"/>
        <v/>
      </c>
      <c r="AY1455" s="28"/>
      <c r="AZ1455" s="304" t="str">
        <f t="shared" si="894"/>
        <v/>
      </c>
      <c r="BA1455" s="304" t="str">
        <f t="shared" si="894"/>
        <v/>
      </c>
      <c r="BB1455" s="28"/>
      <c r="BC1455" s="304" t="str">
        <f t="shared" si="895"/>
        <v/>
      </c>
      <c r="BD1455" s="304" t="str">
        <f t="shared" si="895"/>
        <v/>
      </c>
      <c r="BE1455" s="28"/>
      <c r="BF1455" s="304" t="str">
        <f t="shared" si="896"/>
        <v/>
      </c>
      <c r="BG1455" s="304" t="str">
        <f t="shared" si="896"/>
        <v/>
      </c>
      <c r="BH1455" s="28"/>
      <c r="BI1455" s="304" t="str">
        <f t="shared" si="897"/>
        <v/>
      </c>
      <c r="BJ1455" s="304" t="str">
        <f t="shared" si="897"/>
        <v/>
      </c>
      <c r="BK1455" s="28"/>
      <c r="BL1455" s="304" t="str">
        <f t="shared" si="898"/>
        <v/>
      </c>
      <c r="BM1455" s="304" t="str">
        <f t="shared" si="898"/>
        <v/>
      </c>
      <c r="BN1455" s="28"/>
      <c r="BO1455" s="304" t="str">
        <f t="shared" si="899"/>
        <v/>
      </c>
      <c r="BP1455" s="304" t="str">
        <f t="shared" si="899"/>
        <v/>
      </c>
      <c r="BQ1455" s="28"/>
      <c r="BR1455" s="304" t="str">
        <f t="shared" si="900"/>
        <v/>
      </c>
      <c r="BS1455" s="304" t="str">
        <f t="shared" si="900"/>
        <v/>
      </c>
      <c r="BT1455" s="28"/>
      <c r="BU1455" s="304" t="str">
        <f t="shared" si="901"/>
        <v/>
      </c>
      <c r="BV1455" s="304" t="str">
        <f t="shared" si="901"/>
        <v/>
      </c>
      <c r="BW1455" s="28"/>
      <c r="BX1455" s="91"/>
    </row>
    <row r="1456" spans="1:76" s="55" customFormat="1" x14ac:dyDescent="0.25">
      <c r="A1456" s="195">
        <v>17</v>
      </c>
      <c r="B1456" s="216" t="str">
        <f t="shared" si="890"/>
        <v xml:space="preserve">: </v>
      </c>
      <c r="C1456" s="221"/>
      <c r="D1456" s="221"/>
      <c r="E1456" s="221"/>
      <c r="F1456" s="221"/>
      <c r="G1456" s="240"/>
      <c r="H1456" s="221"/>
      <c r="I1456" s="240"/>
      <c r="J1456" s="241"/>
      <c r="K1456" s="241"/>
      <c r="L1456" s="241"/>
      <c r="M1456" s="225" t="str">
        <f>'[1]Advanced Controls'!$J$158</f>
        <v>t N2O-CO2eq per kg of protein</v>
      </c>
      <c r="N1456" s="227"/>
      <c r="O1456" s="241"/>
      <c r="P1456" s="122"/>
      <c r="Q1456" s="228"/>
      <c r="R1456" s="231" t="str">
        <f t="shared" si="902"/>
        <v/>
      </c>
      <c r="S1456" s="230" t="str">
        <f t="shared" si="891"/>
        <v/>
      </c>
      <c r="T1456" s="231" t="str">
        <f>IF(OR(Q1456="Y",IFERROR(R1456&gt;R1460+R1464*$AA$35,0),IFERROR(R1456&lt;R1460-R1464*$AA$35,0)),"",IFERROR(R1456*N1456,""))</f>
        <v/>
      </c>
      <c r="U1456" s="232" t="str">
        <f t="shared" si="892"/>
        <v>t N2O-CO2eq per kg of protein</v>
      </c>
      <c r="V1456" s="28"/>
      <c r="W1456" s="28"/>
      <c r="Y1456" s="91"/>
      <c r="AO1456" s="91"/>
      <c r="AP1456" s="28"/>
      <c r="AQ1456" s="28"/>
      <c r="AR1456" s="237"/>
      <c r="AS1456" s="28"/>
      <c r="AT1456" s="304" t="str">
        <f t="shared" si="903"/>
        <v/>
      </c>
      <c r="AU1456" s="304" t="str">
        <f t="shared" si="903"/>
        <v/>
      </c>
      <c r="AV1456" s="28"/>
      <c r="AW1456" s="304" t="str">
        <f t="shared" si="893"/>
        <v/>
      </c>
      <c r="AX1456" s="304" t="str">
        <f t="shared" si="893"/>
        <v/>
      </c>
      <c r="AY1456" s="28"/>
      <c r="AZ1456" s="304" t="str">
        <f t="shared" si="894"/>
        <v/>
      </c>
      <c r="BA1456" s="304" t="str">
        <f t="shared" si="894"/>
        <v/>
      </c>
      <c r="BB1456" s="28"/>
      <c r="BC1456" s="304" t="str">
        <f t="shared" si="895"/>
        <v/>
      </c>
      <c r="BD1456" s="304" t="str">
        <f t="shared" si="895"/>
        <v/>
      </c>
      <c r="BE1456" s="28"/>
      <c r="BF1456" s="304" t="str">
        <f t="shared" si="896"/>
        <v/>
      </c>
      <c r="BG1456" s="304" t="str">
        <f t="shared" si="896"/>
        <v/>
      </c>
      <c r="BH1456" s="28"/>
      <c r="BI1456" s="304" t="str">
        <f t="shared" si="897"/>
        <v/>
      </c>
      <c r="BJ1456" s="304" t="str">
        <f t="shared" si="897"/>
        <v/>
      </c>
      <c r="BK1456" s="28"/>
      <c r="BL1456" s="304" t="str">
        <f t="shared" si="898"/>
        <v/>
      </c>
      <c r="BM1456" s="304" t="str">
        <f t="shared" si="898"/>
        <v/>
      </c>
      <c r="BN1456" s="28"/>
      <c r="BO1456" s="304" t="str">
        <f t="shared" si="899"/>
        <v/>
      </c>
      <c r="BP1456" s="304" t="str">
        <f t="shared" si="899"/>
        <v/>
      </c>
      <c r="BQ1456" s="28"/>
      <c r="BR1456" s="304" t="str">
        <f t="shared" si="900"/>
        <v/>
      </c>
      <c r="BS1456" s="304" t="str">
        <f t="shared" si="900"/>
        <v/>
      </c>
      <c r="BT1456" s="28"/>
      <c r="BU1456" s="304" t="str">
        <f t="shared" si="901"/>
        <v/>
      </c>
      <c r="BV1456" s="304" t="str">
        <f t="shared" si="901"/>
        <v/>
      </c>
      <c r="BW1456" s="28"/>
      <c r="BX1456" s="91"/>
    </row>
    <row r="1457" spans="1:76" s="55" customFormat="1" x14ac:dyDescent="0.25">
      <c r="A1457" s="195">
        <v>18</v>
      </c>
      <c r="B1457" s="216" t="str">
        <f t="shared" si="890"/>
        <v xml:space="preserve">: </v>
      </c>
      <c r="C1457" s="221"/>
      <c r="D1457" s="221"/>
      <c r="E1457" s="221"/>
      <c r="F1457" s="221"/>
      <c r="G1457" s="240"/>
      <c r="H1457" s="221"/>
      <c r="I1457" s="240"/>
      <c r="J1457" s="241"/>
      <c r="K1457" s="241"/>
      <c r="L1457" s="241"/>
      <c r="M1457" s="225" t="str">
        <f>'[1]Advanced Controls'!$J$158</f>
        <v>t N2O-CO2eq per kg of protein</v>
      </c>
      <c r="N1457" s="227"/>
      <c r="O1457" s="241"/>
      <c r="P1457" s="122"/>
      <c r="Q1457" s="228"/>
      <c r="R1457" s="231" t="str">
        <f t="shared" si="902"/>
        <v/>
      </c>
      <c r="S1457" s="230" t="str">
        <f t="shared" si="891"/>
        <v/>
      </c>
      <c r="T1457" s="231" t="str">
        <f>IF(OR(Q1457="Y",IFERROR(R1457&gt;R1460+R1464*$AA$35,0),IFERROR(R1457&lt;R1460-R1464*$AA$35,0)),"",IFERROR(R1457*N1457,""))</f>
        <v/>
      </c>
      <c r="U1457" s="232" t="str">
        <f t="shared" si="892"/>
        <v>t N2O-CO2eq per kg of protein</v>
      </c>
      <c r="V1457" s="28"/>
      <c r="W1457" s="28"/>
      <c r="Y1457" s="91"/>
      <c r="AO1457" s="91"/>
      <c r="AP1457" s="28"/>
      <c r="AQ1457" s="28"/>
      <c r="AR1457" s="237"/>
      <c r="AS1457" s="28"/>
      <c r="AT1457" s="304" t="str">
        <f t="shared" si="903"/>
        <v/>
      </c>
      <c r="AU1457" s="304" t="str">
        <f t="shared" si="903"/>
        <v/>
      </c>
      <c r="AV1457" s="28"/>
      <c r="AW1457" s="304" t="str">
        <f t="shared" si="893"/>
        <v/>
      </c>
      <c r="AX1457" s="304" t="str">
        <f t="shared" si="893"/>
        <v/>
      </c>
      <c r="AY1457" s="28"/>
      <c r="AZ1457" s="304" t="str">
        <f t="shared" si="894"/>
        <v/>
      </c>
      <c r="BA1457" s="304" t="str">
        <f t="shared" si="894"/>
        <v/>
      </c>
      <c r="BB1457" s="28"/>
      <c r="BC1457" s="304" t="str">
        <f t="shared" si="895"/>
        <v/>
      </c>
      <c r="BD1457" s="304" t="str">
        <f t="shared" si="895"/>
        <v/>
      </c>
      <c r="BE1457" s="28"/>
      <c r="BF1457" s="304" t="str">
        <f t="shared" si="896"/>
        <v/>
      </c>
      <c r="BG1457" s="304" t="str">
        <f t="shared" si="896"/>
        <v/>
      </c>
      <c r="BH1457" s="28"/>
      <c r="BI1457" s="304" t="str">
        <f t="shared" si="897"/>
        <v/>
      </c>
      <c r="BJ1457" s="304" t="str">
        <f t="shared" si="897"/>
        <v/>
      </c>
      <c r="BK1457" s="28"/>
      <c r="BL1457" s="304" t="str">
        <f t="shared" si="898"/>
        <v/>
      </c>
      <c r="BM1457" s="304" t="str">
        <f t="shared" si="898"/>
        <v/>
      </c>
      <c r="BN1457" s="28"/>
      <c r="BO1457" s="304" t="str">
        <f t="shared" si="899"/>
        <v/>
      </c>
      <c r="BP1457" s="304" t="str">
        <f t="shared" si="899"/>
        <v/>
      </c>
      <c r="BQ1457" s="28"/>
      <c r="BR1457" s="304" t="str">
        <f t="shared" si="900"/>
        <v/>
      </c>
      <c r="BS1457" s="304" t="str">
        <f t="shared" si="900"/>
        <v/>
      </c>
      <c r="BT1457" s="28"/>
      <c r="BU1457" s="304" t="str">
        <f t="shared" si="901"/>
        <v/>
      </c>
      <c r="BV1457" s="304" t="str">
        <f t="shared" si="901"/>
        <v/>
      </c>
      <c r="BW1457" s="28"/>
      <c r="BX1457" s="91"/>
    </row>
    <row r="1458" spans="1:76" s="55" customFormat="1" x14ac:dyDescent="0.25">
      <c r="A1458" s="195">
        <v>19</v>
      </c>
      <c r="B1458" s="216" t="str">
        <f t="shared" si="890"/>
        <v xml:space="preserve">: </v>
      </c>
      <c r="C1458" s="221"/>
      <c r="D1458" s="221"/>
      <c r="E1458" s="221"/>
      <c r="F1458" s="221"/>
      <c r="G1458" s="240"/>
      <c r="H1458" s="221"/>
      <c r="I1458" s="240"/>
      <c r="J1458" s="241"/>
      <c r="K1458" s="241"/>
      <c r="L1458" s="241"/>
      <c r="M1458" s="225" t="str">
        <f>'[1]Advanced Controls'!$J$158</f>
        <v>t N2O-CO2eq per kg of protein</v>
      </c>
      <c r="N1458" s="227"/>
      <c r="O1458" s="241"/>
      <c r="P1458" s="122"/>
      <c r="Q1458" s="228"/>
      <c r="R1458" s="231" t="str">
        <f t="shared" si="902"/>
        <v/>
      </c>
      <c r="S1458" s="230" t="str">
        <f t="shared" si="891"/>
        <v/>
      </c>
      <c r="T1458" s="231" t="str">
        <f>IF(OR(Q1458="Y",IFERROR(R1458&gt;R1460+R1464*$AA$35,0),IFERROR(R1458&lt;R1460-R1464*$AA$35,0)),"",IFERROR(R1458*N1458,""))</f>
        <v/>
      </c>
      <c r="U1458" s="232" t="str">
        <f t="shared" si="892"/>
        <v>t N2O-CO2eq per kg of protein</v>
      </c>
      <c r="V1458" s="28"/>
      <c r="W1458" s="28"/>
      <c r="Y1458" s="91"/>
      <c r="AO1458" s="91"/>
      <c r="AP1458" s="28"/>
      <c r="AQ1458" s="28"/>
      <c r="AR1458" s="237"/>
      <c r="AS1458" s="28"/>
      <c r="AT1458" s="304" t="str">
        <f t="shared" si="903"/>
        <v/>
      </c>
      <c r="AU1458" s="304" t="str">
        <f t="shared" si="903"/>
        <v/>
      </c>
      <c r="AV1458" s="28"/>
      <c r="AW1458" s="304" t="str">
        <f t="shared" si="893"/>
        <v/>
      </c>
      <c r="AX1458" s="304" t="str">
        <f t="shared" si="893"/>
        <v/>
      </c>
      <c r="AY1458" s="28"/>
      <c r="AZ1458" s="304" t="str">
        <f t="shared" si="894"/>
        <v/>
      </c>
      <c r="BA1458" s="304" t="str">
        <f t="shared" si="894"/>
        <v/>
      </c>
      <c r="BB1458" s="28"/>
      <c r="BC1458" s="304" t="str">
        <f t="shared" si="895"/>
        <v/>
      </c>
      <c r="BD1458" s="304" t="str">
        <f t="shared" si="895"/>
        <v/>
      </c>
      <c r="BE1458" s="28"/>
      <c r="BF1458" s="304" t="str">
        <f t="shared" si="896"/>
        <v/>
      </c>
      <c r="BG1458" s="304" t="str">
        <f t="shared" si="896"/>
        <v/>
      </c>
      <c r="BH1458" s="28"/>
      <c r="BI1458" s="304" t="str">
        <f t="shared" si="897"/>
        <v/>
      </c>
      <c r="BJ1458" s="304" t="str">
        <f t="shared" si="897"/>
        <v/>
      </c>
      <c r="BK1458" s="28"/>
      <c r="BL1458" s="304" t="str">
        <f t="shared" si="898"/>
        <v/>
      </c>
      <c r="BM1458" s="304" t="str">
        <f t="shared" si="898"/>
        <v/>
      </c>
      <c r="BN1458" s="28"/>
      <c r="BO1458" s="304" t="str">
        <f t="shared" si="899"/>
        <v/>
      </c>
      <c r="BP1458" s="304" t="str">
        <f t="shared" si="899"/>
        <v/>
      </c>
      <c r="BQ1458" s="28"/>
      <c r="BR1458" s="304" t="str">
        <f t="shared" si="900"/>
        <v/>
      </c>
      <c r="BS1458" s="304" t="str">
        <f t="shared" si="900"/>
        <v/>
      </c>
      <c r="BT1458" s="28"/>
      <c r="BU1458" s="304" t="str">
        <f t="shared" si="901"/>
        <v/>
      </c>
      <c r="BV1458" s="304" t="str">
        <f t="shared" si="901"/>
        <v/>
      </c>
      <c r="BW1458" s="28"/>
      <c r="BX1458" s="91"/>
    </row>
    <row r="1459" spans="1:76" s="55" customFormat="1" x14ac:dyDescent="0.25">
      <c r="A1459" s="195">
        <v>20</v>
      </c>
      <c r="B1459" s="216" t="str">
        <f t="shared" si="890"/>
        <v xml:space="preserve">: </v>
      </c>
      <c r="C1459" s="221"/>
      <c r="D1459" s="221"/>
      <c r="E1459" s="221"/>
      <c r="F1459" s="221"/>
      <c r="G1459" s="240"/>
      <c r="H1459" s="221"/>
      <c r="I1459" s="240"/>
      <c r="J1459" s="241"/>
      <c r="K1459" s="241"/>
      <c r="L1459" s="241"/>
      <c r="M1459" s="225" t="str">
        <f>'[1]Advanced Controls'!$J$158</f>
        <v>t N2O-CO2eq per kg of protein</v>
      </c>
      <c r="N1459" s="227"/>
      <c r="O1459" s="241"/>
      <c r="P1459" s="122"/>
      <c r="Q1459" s="228"/>
      <c r="R1459" s="231" t="str">
        <f t="shared" si="902"/>
        <v/>
      </c>
      <c r="S1459" s="230" t="str">
        <f t="shared" si="891"/>
        <v/>
      </c>
      <c r="T1459" s="231" t="str">
        <f>IF(OR(Q1459="Y",IFERROR(R1459&gt;R1460+R1464*$AA$35,0),IFERROR(R1459&lt;R1460-R1464*$AA$35,0)),"",IFERROR(R1459*N1459,""))</f>
        <v/>
      </c>
      <c r="U1459" s="232" t="str">
        <f t="shared" si="892"/>
        <v>t N2O-CO2eq per kg of protein</v>
      </c>
      <c r="V1459" s="28"/>
      <c r="W1459" s="28"/>
      <c r="Y1459" s="91"/>
      <c r="AO1459" s="91"/>
      <c r="AP1459" s="28"/>
      <c r="AQ1459" s="28"/>
      <c r="AR1459" s="237"/>
      <c r="AS1459" s="28"/>
      <c r="AT1459" s="304" t="str">
        <f t="shared" si="903"/>
        <v/>
      </c>
      <c r="AU1459" s="304" t="str">
        <f t="shared" si="903"/>
        <v/>
      </c>
      <c r="AV1459" s="28"/>
      <c r="AW1459" s="304" t="str">
        <f t="shared" si="893"/>
        <v/>
      </c>
      <c r="AX1459" s="304" t="str">
        <f t="shared" si="893"/>
        <v/>
      </c>
      <c r="AY1459" s="28"/>
      <c r="AZ1459" s="304" t="str">
        <f t="shared" si="894"/>
        <v/>
      </c>
      <c r="BA1459" s="304" t="str">
        <f t="shared" si="894"/>
        <v/>
      </c>
      <c r="BB1459" s="28"/>
      <c r="BC1459" s="304" t="str">
        <f t="shared" si="895"/>
        <v/>
      </c>
      <c r="BD1459" s="304" t="str">
        <f t="shared" si="895"/>
        <v/>
      </c>
      <c r="BE1459" s="28"/>
      <c r="BF1459" s="304" t="str">
        <f t="shared" si="896"/>
        <v/>
      </c>
      <c r="BG1459" s="304" t="str">
        <f t="shared" si="896"/>
        <v/>
      </c>
      <c r="BH1459" s="28"/>
      <c r="BI1459" s="304" t="str">
        <f t="shared" si="897"/>
        <v/>
      </c>
      <c r="BJ1459" s="304" t="str">
        <f t="shared" si="897"/>
        <v/>
      </c>
      <c r="BK1459" s="28"/>
      <c r="BL1459" s="304" t="str">
        <f t="shared" si="898"/>
        <v/>
      </c>
      <c r="BM1459" s="304" t="str">
        <f t="shared" si="898"/>
        <v/>
      </c>
      <c r="BN1459" s="28"/>
      <c r="BO1459" s="304" t="str">
        <f t="shared" si="899"/>
        <v/>
      </c>
      <c r="BP1459" s="304" t="str">
        <f t="shared" si="899"/>
        <v/>
      </c>
      <c r="BQ1459" s="28"/>
      <c r="BR1459" s="304" t="str">
        <f t="shared" si="900"/>
        <v/>
      </c>
      <c r="BS1459" s="304" t="str">
        <f t="shared" si="900"/>
        <v/>
      </c>
      <c r="BT1459" s="28"/>
      <c r="BU1459" s="304" t="str">
        <f t="shared" si="901"/>
        <v/>
      </c>
      <c r="BV1459" s="304" t="str">
        <f t="shared" si="901"/>
        <v/>
      </c>
      <c r="BW1459" s="28"/>
      <c r="BX1459" s="91"/>
    </row>
    <row r="1460" spans="1:76" s="55" customFormat="1" x14ac:dyDescent="0.25">
      <c r="A1460" s="195"/>
      <c r="B1460" s="244" t="s">
        <v>163</v>
      </c>
      <c r="C1460" s="199"/>
      <c r="D1460" s="199"/>
      <c r="E1460" s="199"/>
      <c r="F1460" s="199"/>
      <c r="G1460" s="122"/>
      <c r="H1460" s="28"/>
      <c r="I1460" s="245"/>
      <c r="J1460" s="122"/>
      <c r="K1460" s="122"/>
      <c r="L1460" s="122" t="s">
        <v>134</v>
      </c>
      <c r="M1460" s="122"/>
      <c r="N1460" s="122"/>
      <c r="O1460" s="122"/>
      <c r="P1460" s="122"/>
      <c r="Q1460" s="305" t="s">
        <v>136</v>
      </c>
      <c r="R1460" s="246" t="e">
        <f>AVERAGE(R1440:R1459)</f>
        <v>#DIV/0!</v>
      </c>
      <c r="S1460" s="247" t="e">
        <f>IF(R1468="Y",SUM(S1440:S1459)/SUMPRODUCT(N1440:N1459,--ISNUMBER(S1440:S1459)),AVERAGE(S1440:S1459))</f>
        <v>#DIV/0!</v>
      </c>
      <c r="T1460" s="248" t="e">
        <f>SUM(T1440:T1459)/SUMPRODUCT(N1440:N1459,--ISNUMBER(T1440:T1459))</f>
        <v>#DIV/0!</v>
      </c>
      <c r="U1460" s="28"/>
      <c r="V1460" s="28"/>
      <c r="W1460" s="28"/>
      <c r="Y1460" s="249"/>
      <c r="AO1460" s="91"/>
      <c r="AP1460" s="28"/>
      <c r="AQ1460" s="28"/>
      <c r="AR1460" s="28"/>
      <c r="AS1460" s="245" t="s">
        <v>136</v>
      </c>
      <c r="AT1460" s="307" t="e">
        <f>AVERAGE(AT1440:AT1459)</f>
        <v>#DIV/0!</v>
      </c>
      <c r="AU1460" s="307" t="e">
        <f>SUM(AU1440:AU1459)/COUNTIF(AU1440:AU1459,"&gt;0")</f>
        <v>#DIV/0!</v>
      </c>
      <c r="AV1460" s="245"/>
      <c r="AW1460" s="307" t="e">
        <f>AVERAGE(AW1440:AW1459)</f>
        <v>#DIV/0!</v>
      </c>
      <c r="AX1460" s="307" t="e">
        <f>SUM(AX1440:AX1459)/COUNTIF(AX1440:AX1459,"&gt;0")</f>
        <v>#DIV/0!</v>
      </c>
      <c r="AY1460" s="28"/>
      <c r="AZ1460" s="307" t="e">
        <f>AVERAGE(AZ1440:AZ1459)</f>
        <v>#DIV/0!</v>
      </c>
      <c r="BA1460" s="307" t="e">
        <f>SUM(BA1440:BA1459)/COUNTIF(BA1440:BA1459,"&gt;0")</f>
        <v>#DIV/0!</v>
      </c>
      <c r="BB1460" s="28"/>
      <c r="BC1460" s="307" t="e">
        <f>AVERAGE(BC1440:BC1459)</f>
        <v>#DIV/0!</v>
      </c>
      <c r="BD1460" s="307" t="e">
        <f>SUM(BD1440:BD1459)/COUNTIF(BD1440:BD1459,"&gt;0")</f>
        <v>#DIV/0!</v>
      </c>
      <c r="BE1460" s="28"/>
      <c r="BF1460" s="307" t="e">
        <f>AVERAGE(BF1440:BF1459)</f>
        <v>#DIV/0!</v>
      </c>
      <c r="BG1460" s="307" t="e">
        <f>SUM(BG1440:BG1459)/COUNTIF(BG1440:BG1459,"&gt;0")</f>
        <v>#DIV/0!</v>
      </c>
      <c r="BH1460" s="28"/>
      <c r="BI1460" s="307" t="e">
        <f>AVERAGE(BI1440:BI1459)</f>
        <v>#DIV/0!</v>
      </c>
      <c r="BJ1460" s="307" t="e">
        <f>SUM(BJ1440:BJ1459)/COUNTIF(BJ1440:BJ1459,"&gt;0")</f>
        <v>#DIV/0!</v>
      </c>
      <c r="BK1460" s="245"/>
      <c r="BL1460" s="307" t="e">
        <f>AVERAGE(BL1440:BL1459)</f>
        <v>#DIV/0!</v>
      </c>
      <c r="BM1460" s="307" t="e">
        <f>SUM(BM1440:BM1459)/COUNTIF(BM1440:BM1459,"&gt;0")</f>
        <v>#DIV/0!</v>
      </c>
      <c r="BN1460" s="28"/>
      <c r="BO1460" s="307" t="e">
        <f>AVERAGE(BO1440:BO1459)</f>
        <v>#DIV/0!</v>
      </c>
      <c r="BP1460" s="307" t="e">
        <f>SUM(BP1440:BP1459)/COUNTIF(BP1440:BP1459,"&gt;0")</f>
        <v>#DIV/0!</v>
      </c>
      <c r="BQ1460" s="28"/>
      <c r="BR1460" s="307" t="e">
        <f>AVERAGE(BR1440:BR1459)</f>
        <v>#DIV/0!</v>
      </c>
      <c r="BS1460" s="307" t="e">
        <f>SUM(BS1440:BS1459)/COUNTIF(BS1440:BS1459,"&gt;0")</f>
        <v>#DIV/0!</v>
      </c>
      <c r="BT1460" s="28"/>
      <c r="BU1460" s="307" t="e">
        <f>AVERAGE(BU1440:BU1459)</f>
        <v>#DIV/0!</v>
      </c>
      <c r="BV1460" s="307" t="e">
        <f>SUM(BV1440:BV1459)/COUNTIF(BV1440:BV1459,"&gt;0")</f>
        <v>#DIV/0!</v>
      </c>
      <c r="BW1460" s="28"/>
      <c r="BX1460" s="91"/>
    </row>
    <row r="1461" spans="1:76" s="55" customFormat="1" x14ac:dyDescent="0.25">
      <c r="A1461" s="195"/>
      <c r="B1461" s="244" t="s">
        <v>164</v>
      </c>
      <c r="C1461" s="199" t="s">
        <v>139</v>
      </c>
      <c r="D1461" s="252"/>
      <c r="E1461" s="253"/>
      <c r="F1461" s="253"/>
      <c r="G1461" s="253"/>
      <c r="H1461" s="253"/>
      <c r="I1461" s="253"/>
      <c r="J1461" s="254"/>
      <c r="K1461" s="122"/>
      <c r="L1461" s="122"/>
      <c r="M1461" s="122"/>
      <c r="N1461" s="122"/>
      <c r="O1461" s="122"/>
      <c r="P1461" s="122"/>
      <c r="Q1461" s="306" t="s">
        <v>144</v>
      </c>
      <c r="R1461" s="257" t="e">
        <f>R1460+U1461*R1464</f>
        <v>#DIV/0!</v>
      </c>
      <c r="S1461" s="257" t="e">
        <f>S1460+U1461*S1464</f>
        <v>#DIV/0!</v>
      </c>
      <c r="T1461" s="257" t="e">
        <f>T1460+U1461*T1464</f>
        <v>#DIV/0!</v>
      </c>
      <c r="U1461" s="258">
        <v>1</v>
      </c>
      <c r="V1461" s="122" t="s">
        <v>142</v>
      </c>
      <c r="W1461" s="28"/>
      <c r="X1461" s="259" t="s">
        <v>143</v>
      </c>
      <c r="Y1461" s="260"/>
      <c r="AO1461" s="91"/>
      <c r="AP1461" s="28"/>
      <c r="AQ1461" s="28"/>
      <c r="AR1461" s="28"/>
      <c r="AS1461" s="256" t="s">
        <v>144</v>
      </c>
      <c r="AT1461" s="261" t="e">
        <f>AT1460+(AT1466*AT1463)</f>
        <v>#DIV/0!</v>
      </c>
      <c r="AU1461" s="261" t="e">
        <f>AU1460+(AU1466*AT1463)</f>
        <v>#DIV/0!</v>
      </c>
      <c r="AV1461" s="256"/>
      <c r="AW1461" s="261" t="e">
        <f>AW1460+(AW1466*AW1463)</f>
        <v>#DIV/0!</v>
      </c>
      <c r="AX1461" s="261" t="e">
        <f>AX1460+(AX1466*AW1463)</f>
        <v>#DIV/0!</v>
      </c>
      <c r="AY1461" s="28"/>
      <c r="AZ1461" s="261" t="e">
        <f>AZ1460+(AZ1466*AZ1463)</f>
        <v>#DIV/0!</v>
      </c>
      <c r="BA1461" s="261" t="e">
        <f>BA1460+(BA1466*AZ1463)</f>
        <v>#DIV/0!</v>
      </c>
      <c r="BB1461" s="28"/>
      <c r="BC1461" s="261" t="e">
        <f>BC1460+(BC1466*BC1463)</f>
        <v>#DIV/0!</v>
      </c>
      <c r="BD1461" s="261" t="e">
        <f>BD1460+(BD1466*BC1463)</f>
        <v>#DIV/0!</v>
      </c>
      <c r="BE1461" s="28"/>
      <c r="BF1461" s="261" t="e">
        <f>BF1460+(BF1466*BF1463)</f>
        <v>#DIV/0!</v>
      </c>
      <c r="BG1461" s="261" t="e">
        <f>BG1460+(BG1466*BF1463)</f>
        <v>#DIV/0!</v>
      </c>
      <c r="BH1461" s="28"/>
      <c r="BI1461" s="261" t="e">
        <f>BI1460+(BI1466*BI1463)</f>
        <v>#DIV/0!</v>
      </c>
      <c r="BJ1461" s="261" t="e">
        <f>BJ1460+(BJ1466*BI1463)</f>
        <v>#DIV/0!</v>
      </c>
      <c r="BK1461" s="256"/>
      <c r="BL1461" s="261" t="e">
        <f>BL1460+(BL1466*BL1463)</f>
        <v>#DIV/0!</v>
      </c>
      <c r="BM1461" s="261" t="e">
        <f>BM1460+(BM1466*BL1463)</f>
        <v>#DIV/0!</v>
      </c>
      <c r="BN1461" s="28"/>
      <c r="BO1461" s="261" t="e">
        <f>BO1460+(BO1466*BO1463)</f>
        <v>#DIV/0!</v>
      </c>
      <c r="BP1461" s="261" t="e">
        <f>BP1460+(BP1466*BO1463)</f>
        <v>#DIV/0!</v>
      </c>
      <c r="BQ1461" s="28"/>
      <c r="BR1461" s="261" t="e">
        <f>BR1460+(BR1466*BR1463)</f>
        <v>#DIV/0!</v>
      </c>
      <c r="BS1461" s="261" t="e">
        <f>BS1460+(BS1466*BR1463)</f>
        <v>#DIV/0!</v>
      </c>
      <c r="BT1461" s="28"/>
      <c r="BU1461" s="261" t="e">
        <f>BU1460+(BU1466*BU1463)</f>
        <v>#DIV/0!</v>
      </c>
      <c r="BV1461" s="261" t="e">
        <f>BV1460+(BV1466*BU1463)</f>
        <v>#DIV/0!</v>
      </c>
      <c r="BW1461" s="28"/>
      <c r="BX1461" s="91"/>
    </row>
    <row r="1462" spans="1:76" s="55" customFormat="1" x14ac:dyDescent="0.25">
      <c r="A1462" s="195"/>
      <c r="B1462" s="244" t="s">
        <v>165</v>
      </c>
      <c r="C1462" s="195"/>
      <c r="D1462" s="263"/>
      <c r="E1462" s="264"/>
      <c r="F1462" s="264"/>
      <c r="G1462" s="264"/>
      <c r="H1462" s="264"/>
      <c r="I1462" s="264"/>
      <c r="J1462" s="265"/>
      <c r="K1462" s="28"/>
      <c r="L1462" s="28"/>
      <c r="M1462" s="122"/>
      <c r="N1462" s="122"/>
      <c r="O1462" s="122"/>
      <c r="P1462" s="122"/>
      <c r="Q1462" s="306" t="s">
        <v>150</v>
      </c>
      <c r="R1462" s="257" t="e">
        <f>IF($X1462="Y",MIN(R1440:R1459),R1460-$U1462*R1464)</f>
        <v>#DIV/0!</v>
      </c>
      <c r="S1462" s="257" t="e">
        <f>IF($X1462="Y",MIN(S1440:S1459),S1460-$U1462*S1464)</f>
        <v>#DIV/0!</v>
      </c>
      <c r="T1462" s="257" t="e">
        <f>IF($X1462="Y",MIN(T1440:T1459),T1460-$U1462*T1464)</f>
        <v>#DIV/0!</v>
      </c>
      <c r="U1462" s="258">
        <v>1</v>
      </c>
      <c r="V1462" s="122" t="s">
        <v>148</v>
      </c>
      <c r="W1462" s="28"/>
      <c r="X1462" s="266" t="s">
        <v>149</v>
      </c>
      <c r="Y1462" s="260"/>
      <c r="AO1462" s="91"/>
      <c r="AP1462" s="28"/>
      <c r="AQ1462" s="28"/>
      <c r="AR1462" s="28"/>
      <c r="AS1462" s="256" t="s">
        <v>150</v>
      </c>
      <c r="AT1462" s="261" t="e">
        <f>AT1460-(AT1466*AT1464)</f>
        <v>#DIV/0!</v>
      </c>
      <c r="AU1462" s="261" t="e">
        <f>AU1460-(AU1466*AT1464)</f>
        <v>#DIV/0!</v>
      </c>
      <c r="AV1462" s="256"/>
      <c r="AW1462" s="261" t="e">
        <f>AW1460-(AW1466*AW1464)</f>
        <v>#DIV/0!</v>
      </c>
      <c r="AX1462" s="261" t="e">
        <f>AX1460-(AX1466*AW1464)</f>
        <v>#DIV/0!</v>
      </c>
      <c r="AY1462" s="28"/>
      <c r="AZ1462" s="261" t="e">
        <f>AZ1460-(AZ1466*AZ1464)</f>
        <v>#DIV/0!</v>
      </c>
      <c r="BA1462" s="261" t="e">
        <f>BA1460-(BA1466*AZ1464)</f>
        <v>#DIV/0!</v>
      </c>
      <c r="BB1462" s="28"/>
      <c r="BC1462" s="261" t="e">
        <f>BC1460-(BC1466*BC1464)</f>
        <v>#DIV/0!</v>
      </c>
      <c r="BD1462" s="261" t="e">
        <f>BD1460-(BD1466*BC1464)</f>
        <v>#DIV/0!</v>
      </c>
      <c r="BE1462" s="28"/>
      <c r="BF1462" s="261" t="e">
        <f>BF1460-(BF1466*BF1464)</f>
        <v>#DIV/0!</v>
      </c>
      <c r="BG1462" s="261" t="e">
        <f>BG1460-(BG1466*BF1464)</f>
        <v>#DIV/0!</v>
      </c>
      <c r="BH1462" s="28"/>
      <c r="BI1462" s="261" t="e">
        <f>BI1460-(BI1466*BI1464)</f>
        <v>#DIV/0!</v>
      </c>
      <c r="BJ1462" s="261" t="e">
        <f>BJ1460-(BJ1466*BI1464)</f>
        <v>#DIV/0!</v>
      </c>
      <c r="BK1462" s="256"/>
      <c r="BL1462" s="261" t="e">
        <f>BL1460-(BL1466*BL1464)</f>
        <v>#DIV/0!</v>
      </c>
      <c r="BM1462" s="261" t="e">
        <f>BM1460-(BM1466*BL1464)</f>
        <v>#DIV/0!</v>
      </c>
      <c r="BN1462" s="28"/>
      <c r="BO1462" s="261" t="e">
        <f>BO1460-(BO1466*BO1464)</f>
        <v>#DIV/0!</v>
      </c>
      <c r="BP1462" s="261" t="e">
        <f>BP1460-(BP1466*BO1464)</f>
        <v>#DIV/0!</v>
      </c>
      <c r="BQ1462" s="28"/>
      <c r="BR1462" s="261" t="e">
        <f>BR1460-(BR1466*BR1464)</f>
        <v>#DIV/0!</v>
      </c>
      <c r="BS1462" s="261" t="e">
        <f>BS1460-(BS1466*BR1464)</f>
        <v>#DIV/0!</v>
      </c>
      <c r="BT1462" s="28"/>
      <c r="BU1462" s="261" t="e">
        <f>BU1460-(BU1466*BU1464)</f>
        <v>#DIV/0!</v>
      </c>
      <c r="BV1462" s="261" t="e">
        <f>BV1460-(BV1466*BU1464)</f>
        <v>#DIV/0!</v>
      </c>
      <c r="BW1462" s="28"/>
      <c r="BX1462" s="91"/>
    </row>
    <row r="1463" spans="1:76" s="55" customFormat="1" ht="14.25" x14ac:dyDescent="0.2">
      <c r="A1463" s="195"/>
      <c r="B1463" s="196"/>
      <c r="C1463" s="195"/>
      <c r="D1463" s="263"/>
      <c r="E1463" s="264"/>
      <c r="F1463" s="264"/>
      <c r="G1463" s="264"/>
      <c r="H1463" s="264"/>
      <c r="I1463" s="264"/>
      <c r="J1463" s="265"/>
      <c r="K1463" s="122"/>
      <c r="L1463" s="122"/>
      <c r="M1463" s="122"/>
      <c r="N1463" s="122"/>
      <c r="O1463" s="122"/>
      <c r="P1463" s="122"/>
      <c r="Q1463" s="306" t="s">
        <v>151</v>
      </c>
      <c r="R1463" s="257" t="e">
        <f>IF((0.67*R1464)&gt;R1460,"no","yes")</f>
        <v>#DIV/0!</v>
      </c>
      <c r="S1463" s="257" t="e">
        <f>IF((0.67*S1464)&gt;S1460,"no","yes")</f>
        <v>#DIV/0!</v>
      </c>
      <c r="T1463" s="257" t="e">
        <f>IF((0.67*T1464)&gt;T1460,"no","yes")</f>
        <v>#DIV/0!</v>
      </c>
      <c r="U1463" s="122"/>
      <c r="V1463" s="122"/>
      <c r="W1463" s="122"/>
      <c r="Y1463" s="260"/>
      <c r="AO1463" s="91"/>
      <c r="AP1463" s="122"/>
      <c r="AQ1463" s="122"/>
      <c r="AR1463" s="267" t="s">
        <v>152</v>
      </c>
      <c r="AS1463" s="268"/>
      <c r="AT1463" s="258">
        <v>1</v>
      </c>
      <c r="AU1463" s="122"/>
      <c r="AV1463" s="308"/>
      <c r="AW1463" s="258">
        <v>1</v>
      </c>
      <c r="AX1463" s="122"/>
      <c r="AY1463" s="122"/>
      <c r="AZ1463" s="258">
        <v>1</v>
      </c>
      <c r="BA1463" s="122"/>
      <c r="BB1463" s="122"/>
      <c r="BC1463" s="258">
        <v>1</v>
      </c>
      <c r="BD1463" s="122"/>
      <c r="BE1463" s="122"/>
      <c r="BF1463" s="258">
        <v>1</v>
      </c>
      <c r="BG1463" s="122"/>
      <c r="BH1463" s="122"/>
      <c r="BI1463" s="258">
        <v>1</v>
      </c>
      <c r="BJ1463" s="122"/>
      <c r="BK1463" s="256"/>
      <c r="BL1463" s="258">
        <v>1</v>
      </c>
      <c r="BM1463" s="122"/>
      <c r="BN1463" s="122"/>
      <c r="BO1463" s="258">
        <v>1</v>
      </c>
      <c r="BP1463" s="122"/>
      <c r="BQ1463" s="122"/>
      <c r="BR1463" s="258">
        <v>1</v>
      </c>
      <c r="BS1463" s="122"/>
      <c r="BT1463" s="122"/>
      <c r="BU1463" s="258">
        <v>1</v>
      </c>
      <c r="BV1463" s="122"/>
      <c r="BW1463" s="122"/>
      <c r="BX1463" s="91"/>
    </row>
    <row r="1464" spans="1:76" s="55" customFormat="1" ht="28.5" x14ac:dyDescent="0.2">
      <c r="A1464" s="195"/>
      <c r="B1464" s="196"/>
      <c r="C1464" s="195"/>
      <c r="D1464" s="263"/>
      <c r="E1464" s="264"/>
      <c r="F1464" s="264"/>
      <c r="G1464" s="264"/>
      <c r="H1464" s="264"/>
      <c r="I1464" s="264"/>
      <c r="J1464" s="265"/>
      <c r="K1464" s="122"/>
      <c r="L1464" s="122"/>
      <c r="M1464" s="122"/>
      <c r="N1464" s="122"/>
      <c r="O1464" s="122"/>
      <c r="P1464" s="122"/>
      <c r="Q1464" s="306" t="s">
        <v>157</v>
      </c>
      <c r="R1464" s="257">
        <f>IF(COUNT(R1440:R1459)&gt;1,_xlfn.STDEV.S(R1440:R1459),0)</f>
        <v>0</v>
      </c>
      <c r="S1464" s="257" t="e">
        <f t="array" ref="S1464">IF(R1468="Y",SQRT(SUM(IFERROR(N1440:N1459*(R1440:R1459-(S1460))^2,0))/((COUNT(S1440:S1459)-1)/COUNT(S1440:S1459)*SUMPRODUCT(N1440:N1459,--ISNUMBER(S1440:S1459)))),_xlfn.STDEV.S(S1440:S1459))</f>
        <v>#DIV/0!</v>
      </c>
      <c r="T1464" s="257" t="e">
        <f t="array" ref="T1464">SQRT(SUM(IFERROR(N1440:N1459*(R1440:R1459-(T1460))^2,0))/((COUNT(T1440:T1459)-1)/COUNT(T1440:T1459)*SUMPRODUCT(N1440:N1459,--ISNUMBER(T1440:T1459))))</f>
        <v>#DIV/0!</v>
      </c>
      <c r="U1464" s="122"/>
      <c r="V1464" s="122"/>
      <c r="W1464" s="122"/>
      <c r="Y1464" s="260"/>
      <c r="AO1464" s="91"/>
      <c r="AP1464" s="122"/>
      <c r="AQ1464" s="122"/>
      <c r="AR1464" s="267"/>
      <c r="AS1464" s="268"/>
      <c r="AT1464" s="258">
        <v>1</v>
      </c>
      <c r="AU1464" s="122"/>
      <c r="AV1464" s="308"/>
      <c r="AW1464" s="258">
        <v>1</v>
      </c>
      <c r="AX1464" s="122"/>
      <c r="AY1464" s="122"/>
      <c r="AZ1464" s="258">
        <v>1</v>
      </c>
      <c r="BA1464" s="122"/>
      <c r="BB1464" s="122"/>
      <c r="BC1464" s="258">
        <v>1</v>
      </c>
      <c r="BD1464" s="122"/>
      <c r="BE1464" s="122"/>
      <c r="BF1464" s="258">
        <v>1</v>
      </c>
      <c r="BG1464" s="122"/>
      <c r="BH1464" s="122"/>
      <c r="BI1464" s="258">
        <v>1</v>
      </c>
      <c r="BJ1464" s="122"/>
      <c r="BK1464" s="256"/>
      <c r="BL1464" s="258">
        <v>1</v>
      </c>
      <c r="BM1464" s="122"/>
      <c r="BN1464" s="122"/>
      <c r="BO1464" s="258">
        <v>1</v>
      </c>
      <c r="BP1464" s="122"/>
      <c r="BQ1464" s="122"/>
      <c r="BR1464" s="258">
        <v>1</v>
      </c>
      <c r="BS1464" s="122"/>
      <c r="BT1464" s="122"/>
      <c r="BU1464" s="258">
        <v>1</v>
      </c>
      <c r="BV1464" s="122"/>
      <c r="BW1464" s="122"/>
      <c r="BX1464" s="91"/>
    </row>
    <row r="1465" spans="1:76" s="55" customFormat="1" ht="15" customHeight="1" x14ac:dyDescent="0.25">
      <c r="A1465" s="122"/>
      <c r="B1465" s="118"/>
      <c r="C1465" s="195"/>
      <c r="D1465" s="263"/>
      <c r="E1465" s="264"/>
      <c r="F1465" s="264"/>
      <c r="G1465" s="264"/>
      <c r="H1465" s="264"/>
      <c r="I1465" s="264"/>
      <c r="J1465" s="265"/>
      <c r="K1465" s="122"/>
      <c r="L1465" s="122"/>
      <c r="M1465" s="122"/>
      <c r="N1465" s="122"/>
      <c r="O1465" s="122"/>
      <c r="P1465" s="122"/>
      <c r="Q1465" s="309" t="s">
        <v>159</v>
      </c>
      <c r="R1465" s="310">
        <f>COUNT(R1440:R1459)</f>
        <v>0</v>
      </c>
      <c r="S1465" s="310">
        <f>COUNT(S1440:S1459)</f>
        <v>0</v>
      </c>
      <c r="T1465" s="118"/>
      <c r="U1465" s="273" t="s">
        <v>155</v>
      </c>
      <c r="V1465" s="122"/>
      <c r="W1465" s="122"/>
      <c r="Y1465" s="91"/>
      <c r="AO1465" s="91"/>
      <c r="AP1465" s="122"/>
      <c r="AQ1465" s="122"/>
      <c r="AR1465" s="122"/>
      <c r="AS1465" s="256" t="s">
        <v>151</v>
      </c>
      <c r="AT1465" s="261" t="e">
        <f>IF((0.67*AT1466)&gt;AT1460,"no","yes")</f>
        <v>#DIV/0!</v>
      </c>
      <c r="AU1465" s="261" t="e">
        <f>IF((0.67*AU1466)&gt;AU1460,"no","yes")</f>
        <v>#DIV/0!</v>
      </c>
      <c r="AV1465" s="256"/>
      <c r="AW1465" s="261" t="e">
        <f>IF((0.67*AW1466)&gt;AW1460,"no","yes")</f>
        <v>#DIV/0!</v>
      </c>
      <c r="AX1465" s="261" t="e">
        <f>IF((0.67*AX1466)&gt;AX1460,"no","yes")</f>
        <v>#DIV/0!</v>
      </c>
      <c r="AY1465" s="122"/>
      <c r="AZ1465" s="261" t="e">
        <f>IF((0.67*AZ1466)&gt;AZ1460,"no","yes")</f>
        <v>#DIV/0!</v>
      </c>
      <c r="BA1465" s="261" t="e">
        <f>IF((0.67*BA1466)&gt;BA1460,"no","yes")</f>
        <v>#DIV/0!</v>
      </c>
      <c r="BB1465" s="122"/>
      <c r="BC1465" s="261" t="e">
        <f>IF((0.67*BC1466)&gt;BC1460,"no","yes")</f>
        <v>#DIV/0!</v>
      </c>
      <c r="BD1465" s="261" t="e">
        <f>IF((0.67*BD1466)&gt;BD1460,"no","yes")</f>
        <v>#DIV/0!</v>
      </c>
      <c r="BE1465" s="122"/>
      <c r="BF1465" s="261" t="e">
        <f>IF((0.67*BF1466)&gt;BF1460,"no","yes")</f>
        <v>#DIV/0!</v>
      </c>
      <c r="BG1465" s="261" t="e">
        <f>IF((0.67*BG1466)&gt;BG1460,"no","yes")</f>
        <v>#DIV/0!</v>
      </c>
      <c r="BH1465" s="122"/>
      <c r="BI1465" s="261" t="e">
        <f>IF((0.67*BI1466)&gt;BI1460,"no","yes")</f>
        <v>#DIV/0!</v>
      </c>
      <c r="BJ1465" s="261" t="e">
        <f>IF((0.67*BJ1466)&gt;BJ1460,"no","yes")</f>
        <v>#DIV/0!</v>
      </c>
      <c r="BK1465" s="133"/>
      <c r="BL1465" s="261" t="e">
        <f>IF((0.67*BL1466)&gt;BL1460,"no","yes")</f>
        <v>#DIV/0!</v>
      </c>
      <c r="BM1465" s="261" t="e">
        <f>IF((0.67*BM1466)&gt;BM1460,"no","yes")</f>
        <v>#DIV/0!</v>
      </c>
      <c r="BN1465" s="122"/>
      <c r="BO1465" s="261" t="e">
        <f>IF((0.67*BO1466)&gt;BO1460,"no","yes")</f>
        <v>#DIV/0!</v>
      </c>
      <c r="BP1465" s="261" t="e">
        <f>IF((0.67*BP1466)&gt;BP1460,"no","yes")</f>
        <v>#DIV/0!</v>
      </c>
      <c r="BQ1465" s="122"/>
      <c r="BR1465" s="261" t="e">
        <f>IF((0.67*BR1466)&gt;BR1460,"no","yes")</f>
        <v>#DIV/0!</v>
      </c>
      <c r="BS1465" s="261" t="e">
        <f>IF((0.67*BS1466)&gt;BS1460,"no","yes")</f>
        <v>#DIV/0!</v>
      </c>
      <c r="BT1465" s="122"/>
      <c r="BU1465" s="261" t="e">
        <f>IF((0.67*BU1466)&gt;BU1460,"no","yes")</f>
        <v>#DIV/0!</v>
      </c>
      <c r="BV1465" s="261" t="e">
        <f>IF((0.67*BV1466)&gt;BV1460,"no","yes")</f>
        <v>#DIV/0!</v>
      </c>
      <c r="BW1465" s="122"/>
      <c r="BX1465" s="91"/>
    </row>
    <row r="1466" spans="1:76" s="55" customFormat="1" ht="14.25" x14ac:dyDescent="0.2">
      <c r="B1466" s="23"/>
      <c r="C1466" s="195"/>
      <c r="D1466" s="263"/>
      <c r="E1466" s="264"/>
      <c r="F1466" s="264"/>
      <c r="G1466" s="264"/>
      <c r="H1466" s="264"/>
      <c r="I1466" s="264"/>
      <c r="J1466" s="265"/>
      <c r="K1466" s="122"/>
      <c r="L1466" s="122"/>
      <c r="M1466" s="122"/>
      <c r="N1466" s="122"/>
      <c r="O1466" s="122"/>
      <c r="P1466" s="122"/>
      <c r="Q1466" s="311"/>
      <c r="R1466" s="389"/>
      <c r="S1466" s="118"/>
      <c r="T1466" s="118"/>
      <c r="U1466" s="274"/>
      <c r="V1466" s="275"/>
      <c r="W1466" s="276"/>
      <c r="Y1466" s="91"/>
      <c r="AO1466" s="91"/>
      <c r="AP1466" s="122"/>
      <c r="AQ1466" s="122"/>
      <c r="AR1466" s="122"/>
      <c r="AS1466" s="256" t="s">
        <v>157</v>
      </c>
      <c r="AT1466" s="261">
        <f>IF(AT1467&gt;1,_xlfn.STDEV.S(AT1440:AT1459),0)</f>
        <v>0</v>
      </c>
      <c r="AU1466" s="261">
        <f>IF(AU1467&gt;1,_xlfn.STDEV.S(AU1440:AU1459),0)</f>
        <v>0</v>
      </c>
      <c r="AV1466" s="122"/>
      <c r="AW1466" s="261">
        <f t="shared" ref="AW1466:AX1466" si="904">IF(AW1467&gt;1,_xlfn.STDEV.S(AW1440:AW1459),0)</f>
        <v>0</v>
      </c>
      <c r="AX1466" s="261">
        <f t="shared" si="904"/>
        <v>0</v>
      </c>
      <c r="AY1466" s="122"/>
      <c r="AZ1466" s="261">
        <f t="shared" ref="AZ1466:BA1466" si="905">IF(AZ1467&gt;1,_xlfn.STDEV.S(AZ1440:AZ1459),0)</f>
        <v>0</v>
      </c>
      <c r="BA1466" s="261">
        <f t="shared" si="905"/>
        <v>0</v>
      </c>
      <c r="BB1466" s="122"/>
      <c r="BC1466" s="261">
        <f t="shared" ref="BC1466:BD1466" si="906">IF(BC1467&gt;1,_xlfn.STDEV.S(BC1440:BC1459),0)</f>
        <v>0</v>
      </c>
      <c r="BD1466" s="261">
        <f t="shared" si="906"/>
        <v>0</v>
      </c>
      <c r="BE1466" s="122"/>
      <c r="BF1466" s="261">
        <f t="shared" ref="BF1466:BG1466" si="907">IF(BF1467&gt;1,_xlfn.STDEV.S(BF1440:BF1459),0)</f>
        <v>0</v>
      </c>
      <c r="BG1466" s="261">
        <f t="shared" si="907"/>
        <v>0</v>
      </c>
      <c r="BH1466" s="122"/>
      <c r="BI1466" s="261">
        <f t="shared" ref="BI1466:BJ1466" si="908">IF(BI1467&gt;1,_xlfn.STDEV.S(BI1440:BI1459),0)</f>
        <v>0</v>
      </c>
      <c r="BJ1466" s="261">
        <f t="shared" si="908"/>
        <v>0</v>
      </c>
      <c r="BK1466" s="122"/>
      <c r="BL1466" s="261">
        <f t="shared" ref="BL1466:BM1466" si="909">IF(BL1467&gt;1,_xlfn.STDEV.S(BL1440:BL1459),0)</f>
        <v>0</v>
      </c>
      <c r="BM1466" s="261">
        <f t="shared" si="909"/>
        <v>0</v>
      </c>
      <c r="BN1466" s="122"/>
      <c r="BO1466" s="261">
        <f t="shared" ref="BO1466:BP1466" si="910">IF(BO1467&gt;1,_xlfn.STDEV.S(BO1440:BO1459),0)</f>
        <v>0</v>
      </c>
      <c r="BP1466" s="261">
        <f t="shared" si="910"/>
        <v>0</v>
      </c>
      <c r="BQ1466" s="122"/>
      <c r="BR1466" s="261">
        <f t="shared" ref="BR1466:BS1466" si="911">IF(BR1467&gt;1,_xlfn.STDEV.S(BR1440:BR1459),0)</f>
        <v>0</v>
      </c>
      <c r="BS1466" s="261">
        <f t="shared" si="911"/>
        <v>0</v>
      </c>
      <c r="BT1466" s="122"/>
      <c r="BU1466" s="261">
        <f t="shared" ref="BU1466:BV1466" si="912">IF(BU1467&gt;1,_xlfn.STDEV.S(BU1440:BU1459),0)</f>
        <v>0</v>
      </c>
      <c r="BV1466" s="261">
        <f t="shared" si="912"/>
        <v>0</v>
      </c>
      <c r="BW1466" s="122"/>
      <c r="BX1466" s="91"/>
    </row>
    <row r="1467" spans="1:76" s="55" customFormat="1" x14ac:dyDescent="0.2">
      <c r="B1467" s="23"/>
      <c r="C1467" s="195"/>
      <c r="D1467" s="277"/>
      <c r="E1467" s="278"/>
      <c r="F1467" s="278"/>
      <c r="G1467" s="278"/>
      <c r="H1467" s="278"/>
      <c r="I1467" s="278"/>
      <c r="J1467" s="279"/>
      <c r="K1467" s="122"/>
      <c r="L1467" s="122"/>
      <c r="M1467" s="122"/>
      <c r="N1467" s="122"/>
      <c r="O1467" s="122"/>
      <c r="P1467" s="122"/>
      <c r="Q1467" s="311"/>
      <c r="R1467" s="362" t="s">
        <v>158</v>
      </c>
      <c r="S1467" s="122"/>
      <c r="T1467" s="122"/>
      <c r="U1467" s="281"/>
      <c r="V1467" s="282"/>
      <c r="W1467" s="283"/>
      <c r="Y1467" s="91"/>
      <c r="AO1467" s="91"/>
      <c r="AP1467" s="122"/>
      <c r="AQ1467" s="122"/>
      <c r="AR1467" s="122"/>
      <c r="AS1467" s="133" t="s">
        <v>159</v>
      </c>
      <c r="AT1467" s="284">
        <f>COUNT(AT1440:AT1459)</f>
        <v>0</v>
      </c>
      <c r="AU1467" s="284">
        <f>COUNT(AU1440:AU1459)</f>
        <v>0</v>
      </c>
      <c r="AV1467" s="122"/>
      <c r="AW1467" s="284">
        <f t="shared" ref="AW1467:AX1467" si="913">COUNT(AW1440:AW1459)</f>
        <v>0</v>
      </c>
      <c r="AX1467" s="284">
        <f t="shared" si="913"/>
        <v>0</v>
      </c>
      <c r="AY1467" s="122"/>
      <c r="AZ1467" s="284">
        <f t="shared" ref="AZ1467:BA1467" si="914">COUNT(AZ1440:AZ1459)</f>
        <v>0</v>
      </c>
      <c r="BA1467" s="284">
        <f t="shared" si="914"/>
        <v>0</v>
      </c>
      <c r="BB1467" s="122"/>
      <c r="BC1467" s="284">
        <f t="shared" ref="BC1467:BD1467" si="915">COUNT(BC1440:BC1459)</f>
        <v>0</v>
      </c>
      <c r="BD1467" s="284">
        <f t="shared" si="915"/>
        <v>0</v>
      </c>
      <c r="BE1467" s="122"/>
      <c r="BF1467" s="284">
        <f t="shared" ref="BF1467:BG1467" si="916">COUNT(BF1440:BF1459)</f>
        <v>0</v>
      </c>
      <c r="BG1467" s="284">
        <f t="shared" si="916"/>
        <v>0</v>
      </c>
      <c r="BH1467" s="122"/>
      <c r="BI1467" s="284">
        <f t="shared" ref="BI1467:BJ1467" si="917">COUNT(BI1440:BI1459)</f>
        <v>0</v>
      </c>
      <c r="BJ1467" s="284">
        <f t="shared" si="917"/>
        <v>0</v>
      </c>
      <c r="BK1467" s="122"/>
      <c r="BL1467" s="284">
        <f t="shared" ref="BL1467:BM1467" si="918">COUNT(BL1440:BL1459)</f>
        <v>0</v>
      </c>
      <c r="BM1467" s="284">
        <f t="shared" si="918"/>
        <v>0</v>
      </c>
      <c r="BN1467" s="122"/>
      <c r="BO1467" s="284">
        <f t="shared" ref="BO1467:BP1467" si="919">COUNT(BO1440:BO1459)</f>
        <v>0</v>
      </c>
      <c r="BP1467" s="284">
        <f t="shared" si="919"/>
        <v>0</v>
      </c>
      <c r="BQ1467" s="122"/>
      <c r="BR1467" s="284">
        <f t="shared" ref="BR1467:BS1467" si="920">COUNT(BR1440:BR1459)</f>
        <v>0</v>
      </c>
      <c r="BS1467" s="284">
        <f t="shared" si="920"/>
        <v>0</v>
      </c>
      <c r="BT1467" s="122"/>
      <c r="BU1467" s="284">
        <f t="shared" ref="BU1467:BV1467" si="921">COUNT(BU1440:BU1459)</f>
        <v>0</v>
      </c>
      <c r="BV1467" s="284">
        <f t="shared" si="921"/>
        <v>0</v>
      </c>
      <c r="BW1467" s="122"/>
      <c r="BX1467" s="91"/>
    </row>
    <row r="1468" spans="1:76" s="55" customFormat="1" ht="14.25" x14ac:dyDescent="0.2">
      <c r="B1468" s="23"/>
      <c r="C1468" s="122"/>
      <c r="D1468" s="122"/>
      <c r="E1468" s="122"/>
      <c r="F1468" s="122"/>
      <c r="G1468" s="122"/>
      <c r="H1468" s="122"/>
      <c r="I1468" s="122"/>
      <c r="J1468" s="122"/>
      <c r="K1468" s="122"/>
      <c r="L1468" s="122"/>
      <c r="M1468" s="122"/>
      <c r="N1468" s="122"/>
      <c r="O1468" s="122"/>
      <c r="P1468" s="122"/>
      <c r="Q1468" s="311"/>
      <c r="R1468" s="287" t="s">
        <v>149</v>
      </c>
      <c r="S1468" s="122"/>
      <c r="T1468" s="122"/>
      <c r="U1468" s="281"/>
      <c r="V1468" s="282"/>
      <c r="W1468" s="283"/>
      <c r="Y1468" s="91"/>
      <c r="AO1468" s="91"/>
      <c r="BX1468" s="91"/>
    </row>
    <row r="1469" spans="1:76" s="55" customFormat="1" ht="14.25" x14ac:dyDescent="0.2">
      <c r="B1469" s="23"/>
      <c r="C1469" s="122"/>
      <c r="D1469" s="122"/>
      <c r="E1469" s="122"/>
      <c r="F1469" s="122"/>
      <c r="G1469" s="122"/>
      <c r="H1469" s="122"/>
      <c r="I1469" s="122"/>
      <c r="J1469" s="122"/>
      <c r="K1469" s="122"/>
      <c r="L1469" s="122"/>
      <c r="M1469" s="122"/>
      <c r="N1469" s="122"/>
      <c r="O1469" s="122"/>
      <c r="P1469" s="122"/>
      <c r="Q1469" s="311"/>
      <c r="R1469" s="122"/>
      <c r="S1469" s="122"/>
      <c r="T1469" s="122"/>
      <c r="U1469" s="288"/>
      <c r="V1469" s="289"/>
      <c r="W1469" s="290"/>
      <c r="Y1469" s="91"/>
      <c r="AO1469" s="91"/>
      <c r="BX1469" s="91"/>
    </row>
    <row r="1470" spans="1:76" s="55" customFormat="1" ht="18" x14ac:dyDescent="0.25">
      <c r="B1470" s="23"/>
      <c r="Q1470" s="81"/>
      <c r="T1470" s="122"/>
      <c r="U1470" s="122"/>
      <c r="V1470" s="122"/>
      <c r="W1470" s="122"/>
      <c r="Y1470" s="91"/>
      <c r="AO1470" s="296"/>
      <c r="AP1470" s="345"/>
      <c r="AQ1470" s="345"/>
      <c r="AR1470" s="346"/>
      <c r="AS1470" s="346"/>
      <c r="AT1470" s="346"/>
      <c r="AU1470" s="346"/>
      <c r="AV1470" s="346"/>
      <c r="AW1470" s="346"/>
      <c r="AX1470" s="346"/>
      <c r="AY1470" s="346"/>
      <c r="AZ1470" s="346"/>
      <c r="BA1470" s="346"/>
      <c r="BB1470" s="346"/>
      <c r="BC1470" s="346"/>
      <c r="BD1470" s="346"/>
      <c r="BE1470" s="346"/>
      <c r="BF1470" s="346"/>
      <c r="BG1470" s="346"/>
      <c r="BH1470" s="346"/>
      <c r="BI1470" s="346"/>
      <c r="BJ1470" s="346"/>
      <c r="BK1470" s="346"/>
      <c r="BL1470" s="346"/>
      <c r="BM1470" s="346"/>
      <c r="BN1470" s="346"/>
      <c r="BO1470" s="346"/>
      <c r="BP1470" s="346"/>
      <c r="BQ1470" s="346"/>
      <c r="BR1470" s="346"/>
      <c r="BS1470" s="346"/>
      <c r="BT1470" s="346"/>
      <c r="BU1470" s="346"/>
      <c r="BV1470" s="346"/>
      <c r="BW1470" s="346"/>
      <c r="BX1470" s="296"/>
    </row>
    <row r="1471" spans="1:76" s="55" customFormat="1" ht="14.25" x14ac:dyDescent="0.2">
      <c r="A1471" s="270" t="e">
        <f ca="1">HYPERLINK("#"&amp;"'"&amp;A$1&amp;"'!a1","Back to top")</f>
        <v>#VALUE!</v>
      </c>
      <c r="B1471" s="271"/>
      <c r="Q1471" s="81"/>
      <c r="Y1471" s="91"/>
      <c r="AO1471" s="91"/>
      <c r="BX1471" s="91"/>
    </row>
    <row r="1472" spans="1:76" s="55" customFormat="1" ht="14.25" x14ac:dyDescent="0.2">
      <c r="A1472" s="270"/>
      <c r="B1472" s="271"/>
      <c r="Q1472" s="81"/>
      <c r="Y1472" s="91"/>
      <c r="AO1472" s="91"/>
      <c r="BX1472" s="91"/>
    </row>
    <row r="1473" spans="1:76" s="55" customFormat="1" ht="14.25" x14ac:dyDescent="0.2">
      <c r="A1473" s="270"/>
      <c r="B1473" s="271"/>
      <c r="Q1473" s="81"/>
      <c r="Y1473" s="91"/>
      <c r="AO1473" s="91"/>
      <c r="BX1473" s="91"/>
    </row>
    <row r="1474" spans="1:76" s="357" customFormat="1" ht="27.75" x14ac:dyDescent="0.4">
      <c r="A1474" s="355" t="s">
        <v>761</v>
      </c>
      <c r="B1474" s="356"/>
      <c r="Q1474" s="358"/>
    </row>
    <row r="1475" spans="1:76" s="55" customFormat="1" ht="14.25" x14ac:dyDescent="0.2">
      <c r="A1475" s="270"/>
      <c r="B1475" s="271"/>
      <c r="Q1475" s="81"/>
      <c r="Y1475" s="91"/>
      <c r="AO1475" s="91"/>
      <c r="BX1475" s="91"/>
    </row>
    <row r="1476" spans="1:76" s="55" customFormat="1" x14ac:dyDescent="0.25">
      <c r="B1476" s="23"/>
      <c r="Q1476" s="81"/>
      <c r="Y1476" s="91"/>
      <c r="AO1476" s="91"/>
      <c r="AS1476" s="28"/>
      <c r="AT1476" s="28"/>
      <c r="AU1476" s="28"/>
      <c r="AV1476" s="28"/>
      <c r="AW1476" s="198"/>
      <c r="AX1476" s="198"/>
      <c r="AY1476" s="198"/>
      <c r="AZ1476" s="28"/>
      <c r="BA1476" s="28"/>
      <c r="BB1476" s="198"/>
      <c r="BC1476" s="198"/>
      <c r="BD1476" s="198"/>
      <c r="BE1476" s="28"/>
      <c r="BF1476" s="28"/>
      <c r="BG1476" s="198"/>
      <c r="BH1476" s="198"/>
      <c r="BI1476" s="198"/>
      <c r="BJ1476" s="28"/>
      <c r="BK1476" s="28"/>
      <c r="BL1476" s="198"/>
      <c r="BM1476" s="198"/>
      <c r="BN1476" s="198"/>
      <c r="BO1476" s="28"/>
      <c r="BP1476" s="28"/>
      <c r="BQ1476" s="198"/>
      <c r="BR1476" s="198"/>
      <c r="BS1476" s="198"/>
      <c r="BT1476" s="28"/>
      <c r="BU1476" s="28"/>
      <c r="BV1476" s="198"/>
      <c r="BW1476" s="28"/>
      <c r="BX1476" s="91"/>
    </row>
    <row r="1477" spans="1:76" s="9" customFormat="1" ht="18" x14ac:dyDescent="0.25">
      <c r="A1477" s="188">
        <f>A1437+1</f>
        <v>23</v>
      </c>
      <c r="B1477" s="189"/>
      <c r="C1477" s="293" t="s">
        <v>762</v>
      </c>
      <c r="D1477" s="191"/>
      <c r="E1477" s="191"/>
      <c r="F1477" s="191"/>
      <c r="G1477" s="191"/>
      <c r="J1477" s="191"/>
      <c r="K1477" s="191"/>
      <c r="L1477" s="192"/>
      <c r="M1477" s="192"/>
      <c r="N1477" s="192"/>
      <c r="Q1477" s="193"/>
      <c r="R1477" s="194" t="s">
        <v>93</v>
      </c>
      <c r="S1477" s="194"/>
      <c r="T1477" s="194"/>
      <c r="U1477" s="194"/>
      <c r="AP1477" s="175">
        <f>A1477</f>
        <v>23</v>
      </c>
      <c r="AQ1477" s="175" t="str">
        <f>C1477</f>
        <v>CONVENTIONAL Revenue per Functional Unit</v>
      </c>
    </row>
    <row r="1478" spans="1:76" s="55" customFormat="1" x14ac:dyDescent="0.25">
      <c r="A1478" s="195"/>
      <c r="B1478" s="196"/>
      <c r="C1478" s="195"/>
      <c r="D1478" s="120"/>
      <c r="E1478" s="120"/>
      <c r="F1478" s="120"/>
      <c r="G1478" s="120"/>
      <c r="J1478" s="120"/>
      <c r="K1478" s="120"/>
      <c r="L1478" s="122"/>
      <c r="M1478" s="122"/>
      <c r="N1478" s="122"/>
      <c r="Q1478" s="81"/>
      <c r="Y1478" s="91"/>
      <c r="AO1478" s="91"/>
      <c r="AP1478" s="28"/>
      <c r="AQ1478" s="28"/>
      <c r="AR1478" s="28"/>
      <c r="AS1478" s="28"/>
      <c r="AT1478" s="198" t="s">
        <v>171</v>
      </c>
      <c r="AU1478" s="198"/>
      <c r="AV1478" s="28"/>
      <c r="AW1478" s="198" t="s">
        <v>96</v>
      </c>
      <c r="AX1478" s="198"/>
      <c r="AY1478" s="28"/>
      <c r="AZ1478" s="198" t="s">
        <v>97</v>
      </c>
      <c r="BA1478" s="198"/>
      <c r="BB1478" s="28"/>
      <c r="BC1478" s="198" t="s">
        <v>98</v>
      </c>
      <c r="BD1478" s="198"/>
      <c r="BE1478" s="28"/>
      <c r="BF1478" s="198" t="s">
        <v>99</v>
      </c>
      <c r="BG1478" s="198"/>
      <c r="BH1478" s="28"/>
      <c r="BI1478" s="198" t="s">
        <v>100</v>
      </c>
      <c r="BJ1478" s="198"/>
      <c r="BK1478" s="28"/>
      <c r="BL1478" s="198" t="s">
        <v>101</v>
      </c>
      <c r="BM1478" s="198"/>
      <c r="BN1478" s="28"/>
      <c r="BO1478" s="198" t="s">
        <v>102</v>
      </c>
      <c r="BP1478" s="198"/>
      <c r="BQ1478" s="28"/>
      <c r="BR1478" s="198" t="s">
        <v>103</v>
      </c>
      <c r="BS1478" s="198"/>
      <c r="BT1478" s="28"/>
      <c r="BU1478" s="198" t="s">
        <v>104</v>
      </c>
      <c r="BV1478" s="198"/>
      <c r="BW1478" s="28"/>
      <c r="BX1478" s="91"/>
    </row>
    <row r="1479" spans="1:76" s="55" customFormat="1" ht="30.75" thickBot="1" x14ac:dyDescent="0.3">
      <c r="A1479" s="199" t="s">
        <v>105</v>
      </c>
      <c r="B1479" s="200" t="s">
        <v>106</v>
      </c>
      <c r="C1479" s="201" t="s">
        <v>107</v>
      </c>
      <c r="D1479" s="202" t="s">
        <v>108</v>
      </c>
      <c r="E1479" s="202" t="s">
        <v>109</v>
      </c>
      <c r="F1479" s="201" t="s">
        <v>110</v>
      </c>
      <c r="G1479" s="201" t="s">
        <v>111</v>
      </c>
      <c r="H1479" s="202" t="s">
        <v>112</v>
      </c>
      <c r="I1479" s="203" t="s">
        <v>113</v>
      </c>
      <c r="J1479" s="204" t="s">
        <v>114</v>
      </c>
      <c r="K1479" s="205" t="s">
        <v>115</v>
      </c>
      <c r="L1479" s="206" t="s">
        <v>116</v>
      </c>
      <c r="M1479" s="207" t="s">
        <v>117</v>
      </c>
      <c r="N1479" s="208" t="s">
        <v>118</v>
      </c>
      <c r="O1479" s="207" t="s">
        <v>119</v>
      </c>
      <c r="P1479" s="210"/>
      <c r="Q1479" s="211" t="s">
        <v>120</v>
      </c>
      <c r="R1479" s="212" t="s">
        <v>121</v>
      </c>
      <c r="S1479" s="212" t="s">
        <v>122</v>
      </c>
      <c r="T1479" s="212" t="s">
        <v>123</v>
      </c>
      <c r="U1479" s="213" t="s">
        <v>124</v>
      </c>
      <c r="V1479" s="210"/>
      <c r="W1479" s="210"/>
      <c r="Y1479" s="91"/>
      <c r="AO1479" s="91"/>
      <c r="AP1479" s="210"/>
      <c r="AQ1479" s="210"/>
      <c r="AR1479" s="213" t="s">
        <v>125</v>
      </c>
      <c r="AS1479" s="210"/>
      <c r="AT1479" s="215" t="s">
        <v>121</v>
      </c>
      <c r="AU1479" s="215" t="s">
        <v>122</v>
      </c>
      <c r="AV1479" s="210"/>
      <c r="AW1479" s="215" t="s">
        <v>121</v>
      </c>
      <c r="AX1479" s="215" t="s">
        <v>122</v>
      </c>
      <c r="AY1479" s="210"/>
      <c r="AZ1479" s="215" t="s">
        <v>121</v>
      </c>
      <c r="BA1479" s="215" t="s">
        <v>122</v>
      </c>
      <c r="BB1479" s="210"/>
      <c r="BC1479" s="215" t="s">
        <v>121</v>
      </c>
      <c r="BD1479" s="215" t="s">
        <v>122</v>
      </c>
      <c r="BE1479" s="210"/>
      <c r="BF1479" s="215" t="s">
        <v>121</v>
      </c>
      <c r="BG1479" s="215" t="s">
        <v>122</v>
      </c>
      <c r="BH1479" s="210"/>
      <c r="BI1479" s="215" t="s">
        <v>121</v>
      </c>
      <c r="BJ1479" s="215" t="s">
        <v>122</v>
      </c>
      <c r="BK1479" s="210"/>
      <c r="BL1479" s="215" t="s">
        <v>121</v>
      </c>
      <c r="BM1479" s="215" t="s">
        <v>122</v>
      </c>
      <c r="BN1479" s="210"/>
      <c r="BO1479" s="215" t="s">
        <v>121</v>
      </c>
      <c r="BP1479" s="215" t="s">
        <v>122</v>
      </c>
      <c r="BQ1479" s="210"/>
      <c r="BR1479" s="215" t="s">
        <v>121</v>
      </c>
      <c r="BS1479" s="215" t="s">
        <v>122</v>
      </c>
      <c r="BT1479" s="210"/>
      <c r="BU1479" s="215" t="s">
        <v>121</v>
      </c>
      <c r="BV1479" s="215" t="s">
        <v>122</v>
      </c>
      <c r="BW1479" s="210"/>
      <c r="BX1479" s="91"/>
    </row>
    <row r="1480" spans="1:76" s="55" customFormat="1" x14ac:dyDescent="0.25">
      <c r="A1480" s="195">
        <v>1</v>
      </c>
      <c r="B1480" s="216" t="str">
        <f t="shared" ref="B1480:B1499" si="922">CONCATENATE(E1480,": ",C1480)</f>
        <v xml:space="preserve">: </v>
      </c>
      <c r="C1480" s="219"/>
      <c r="D1480" s="219"/>
      <c r="E1480" s="219"/>
      <c r="F1480" s="219"/>
      <c r="G1480" s="220"/>
      <c r="H1480" s="221"/>
      <c r="I1480" s="220"/>
      <c r="J1480" s="227"/>
      <c r="K1480" s="226"/>
      <c r="L1480" s="227"/>
      <c r="M1480" s="335" t="str">
        <f>'[1]Advanced Controls'!$H$99</f>
        <v>US$2014 per kg of protein</v>
      </c>
      <c r="N1480" s="227"/>
      <c r="O1480" s="227"/>
      <c r="P1480" s="122"/>
      <c r="Q1480" s="228"/>
      <c r="R1480" s="231" t="str">
        <f>IF(Q1480="Y","",IF(AND(L1480="",J1480=""),"",IF(L1480="",J1480,L1480)))</f>
        <v/>
      </c>
      <c r="S1480" s="230" t="str">
        <f t="shared" ref="S1480:S1499" si="923">IF(R1480="","",IF($R$1508="Y",T1480,IF(R1480&gt;=$R$1500-$AA$35*$R$1504,IF(R1480&lt;=$R$1500+$AA$35*$R$1504,R1480,""),"")))</f>
        <v/>
      </c>
      <c r="T1480" s="231" t="str">
        <f>IF(OR(Q1480="Y",IFERROR(R1480&gt;R1500+R1504*$AA$35,0),IFERROR(R1480&lt;R1500-R1504*$AA$35,0)),"",IFERROR(R1480*N1480,""))</f>
        <v/>
      </c>
      <c r="U1480" s="232" t="str">
        <f t="shared" ref="U1480:U1499" si="924">IF(AND(M1480="",K1480=""),"",IF(M1480="",K1480,M1480))</f>
        <v>US$2014 per kg of protein</v>
      </c>
      <c r="V1480" s="28"/>
      <c r="W1480" s="28"/>
      <c r="Y1480" s="91"/>
      <c r="AO1480" s="91"/>
      <c r="AP1480" s="28"/>
      <c r="AQ1480" s="28"/>
      <c r="AR1480" s="233" t="str">
        <f>$U1480</f>
        <v>US$2014 per kg of protein</v>
      </c>
      <c r="AS1480" s="28"/>
      <c r="AT1480" s="304" t="str">
        <f t="shared" ref="AT1480:AU1495" si="925">IF($E1480=$AT$47,R1480,"")</f>
        <v/>
      </c>
      <c r="AU1480" s="304" t="str">
        <f t="shared" si="925"/>
        <v/>
      </c>
      <c r="AV1480" s="28"/>
      <c r="AW1480" s="304" t="str">
        <f t="shared" ref="AW1480:AX1499" si="926">IF($E1480=$AW$83,R1480,"")</f>
        <v/>
      </c>
      <c r="AX1480" s="304" t="str">
        <f t="shared" si="926"/>
        <v/>
      </c>
      <c r="AY1480" s="28"/>
      <c r="AZ1480" s="304" t="str">
        <f t="shared" ref="AZ1480:BA1499" si="927">IF($E1480=$AZ$83,R1480,"")</f>
        <v/>
      </c>
      <c r="BA1480" s="304" t="str">
        <f t="shared" si="927"/>
        <v/>
      </c>
      <c r="BB1480" s="28"/>
      <c r="BC1480" s="304" t="str">
        <f t="shared" ref="BC1480:BD1499" si="928">IF($E1480=$BC$83,R1480,"")</f>
        <v/>
      </c>
      <c r="BD1480" s="304" t="str">
        <f t="shared" si="928"/>
        <v/>
      </c>
      <c r="BE1480" s="28"/>
      <c r="BF1480" s="304" t="str">
        <f t="shared" ref="BF1480:BG1499" si="929">IF($E1480=$BF$83,R1480,"")</f>
        <v/>
      </c>
      <c r="BG1480" s="304" t="str">
        <f t="shared" si="929"/>
        <v/>
      </c>
      <c r="BH1480" s="28"/>
      <c r="BI1480" s="304" t="str">
        <f t="shared" ref="BI1480:BJ1499" si="930">IF($E1480=$BI$83,R1480,"")</f>
        <v/>
      </c>
      <c r="BJ1480" s="304" t="str">
        <f t="shared" si="930"/>
        <v/>
      </c>
      <c r="BK1480" s="28"/>
      <c r="BL1480" s="304" t="str">
        <f t="shared" ref="BL1480:BM1499" si="931">IF($E1480=$BL$83,R1480,"")</f>
        <v/>
      </c>
      <c r="BM1480" s="304" t="str">
        <f t="shared" si="931"/>
        <v/>
      </c>
      <c r="BN1480" s="28"/>
      <c r="BO1480" s="304" t="str">
        <f t="shared" ref="BO1480:BP1499" si="932">IF($E1480=$BO$83,R1480,"")</f>
        <v/>
      </c>
      <c r="BP1480" s="304" t="str">
        <f t="shared" si="932"/>
        <v/>
      </c>
      <c r="BQ1480" s="28"/>
      <c r="BR1480" s="304" t="str">
        <f t="shared" ref="BR1480:BS1499" si="933">IF($E1480=$BR$83,R1480,"")</f>
        <v/>
      </c>
      <c r="BS1480" s="304" t="str">
        <f t="shared" si="933"/>
        <v/>
      </c>
      <c r="BT1480" s="28"/>
      <c r="BU1480" s="304" t="str">
        <f t="shared" ref="BU1480:BV1499" si="934">IF($E1480=$BU$83,R1480,"")</f>
        <v/>
      </c>
      <c r="BV1480" s="304" t="str">
        <f t="shared" si="934"/>
        <v/>
      </c>
      <c r="BW1480" s="28"/>
      <c r="BX1480" s="91"/>
    </row>
    <row r="1481" spans="1:76" s="55" customFormat="1" x14ac:dyDescent="0.25">
      <c r="A1481" s="195">
        <v>2</v>
      </c>
      <c r="B1481" s="216" t="str">
        <f t="shared" si="922"/>
        <v xml:space="preserve">: </v>
      </c>
      <c r="C1481" s="219"/>
      <c r="D1481" s="219"/>
      <c r="E1481" s="219"/>
      <c r="F1481" s="219"/>
      <c r="G1481" s="220"/>
      <c r="H1481" s="221"/>
      <c r="I1481" s="220"/>
      <c r="J1481" s="227"/>
      <c r="K1481" s="227"/>
      <c r="L1481" s="227"/>
      <c r="M1481" s="335" t="str">
        <f>'[1]Advanced Controls'!$H$99</f>
        <v>US$2014 per kg of protein</v>
      </c>
      <c r="N1481" s="227"/>
      <c r="O1481" s="227"/>
      <c r="P1481" s="122"/>
      <c r="Q1481" s="228"/>
      <c r="R1481" s="231" t="str">
        <f t="shared" ref="R1481:R1499" si="935">IF(Q1481="Y","",IF(AND(L1481="",J1481=""),"",IF(L1481="",J1481,L1481)))</f>
        <v/>
      </c>
      <c r="S1481" s="230" t="str">
        <f t="shared" si="923"/>
        <v/>
      </c>
      <c r="T1481" s="231" t="str">
        <f>IF(OR(Q1481="Y",IFERROR(R1481&gt;R1500+R1504*$AA$35,0),IFERROR(R1481&lt;R1500-R1504*$AA$35,0)),"",IFERROR(R1481*N1481,""))</f>
        <v/>
      </c>
      <c r="U1481" s="232" t="str">
        <f t="shared" si="924"/>
        <v>US$2014 per kg of protein</v>
      </c>
      <c r="V1481" s="28"/>
      <c r="W1481" s="28"/>
      <c r="Y1481" s="91"/>
      <c r="AO1481" s="91"/>
      <c r="AP1481" s="28"/>
      <c r="AQ1481" s="28"/>
      <c r="AR1481" s="237"/>
      <c r="AS1481" s="28"/>
      <c r="AT1481" s="304" t="str">
        <f t="shared" si="925"/>
        <v/>
      </c>
      <c r="AU1481" s="304" t="str">
        <f t="shared" si="925"/>
        <v/>
      </c>
      <c r="AV1481" s="28"/>
      <c r="AW1481" s="304" t="str">
        <f t="shared" si="926"/>
        <v/>
      </c>
      <c r="AX1481" s="304" t="str">
        <f t="shared" si="926"/>
        <v/>
      </c>
      <c r="AY1481" s="28"/>
      <c r="AZ1481" s="304" t="str">
        <f t="shared" si="927"/>
        <v/>
      </c>
      <c r="BA1481" s="304" t="str">
        <f t="shared" si="927"/>
        <v/>
      </c>
      <c r="BB1481" s="28"/>
      <c r="BC1481" s="304" t="str">
        <f t="shared" si="928"/>
        <v/>
      </c>
      <c r="BD1481" s="304" t="str">
        <f t="shared" si="928"/>
        <v/>
      </c>
      <c r="BE1481" s="28"/>
      <c r="BF1481" s="304" t="str">
        <f t="shared" si="929"/>
        <v/>
      </c>
      <c r="BG1481" s="304" t="str">
        <f t="shared" si="929"/>
        <v/>
      </c>
      <c r="BH1481" s="28"/>
      <c r="BI1481" s="304" t="str">
        <f t="shared" si="930"/>
        <v/>
      </c>
      <c r="BJ1481" s="304" t="str">
        <f t="shared" si="930"/>
        <v/>
      </c>
      <c r="BK1481" s="28"/>
      <c r="BL1481" s="304" t="str">
        <f t="shared" si="931"/>
        <v/>
      </c>
      <c r="BM1481" s="304" t="str">
        <f t="shared" si="931"/>
        <v/>
      </c>
      <c r="BN1481" s="28"/>
      <c r="BO1481" s="304" t="str">
        <f t="shared" si="932"/>
        <v/>
      </c>
      <c r="BP1481" s="304" t="str">
        <f t="shared" si="932"/>
        <v/>
      </c>
      <c r="BQ1481" s="28"/>
      <c r="BR1481" s="304" t="str">
        <f t="shared" si="933"/>
        <v/>
      </c>
      <c r="BS1481" s="304" t="str">
        <f t="shared" si="933"/>
        <v/>
      </c>
      <c r="BT1481" s="28"/>
      <c r="BU1481" s="304" t="str">
        <f t="shared" si="934"/>
        <v/>
      </c>
      <c r="BV1481" s="304" t="str">
        <f t="shared" si="934"/>
        <v/>
      </c>
      <c r="BW1481" s="28"/>
      <c r="BX1481" s="91"/>
    </row>
    <row r="1482" spans="1:76" s="55" customFormat="1" x14ac:dyDescent="0.25">
      <c r="A1482" s="195">
        <v>3</v>
      </c>
      <c r="B1482" s="216" t="str">
        <f>CONCATENATE(E1482,": ",C1482)</f>
        <v xml:space="preserve">: </v>
      </c>
      <c r="C1482" s="221"/>
      <c r="D1482" s="221"/>
      <c r="E1482" s="221"/>
      <c r="F1482" s="221"/>
      <c r="G1482" s="240"/>
      <c r="H1482" s="221"/>
      <c r="I1482" s="240"/>
      <c r="J1482" s="241"/>
      <c r="K1482" s="241"/>
      <c r="L1482" s="227"/>
      <c r="M1482" s="335" t="str">
        <f>'[1]Advanced Controls'!$H$99</f>
        <v>US$2014 per kg of protein</v>
      </c>
      <c r="N1482" s="227"/>
      <c r="O1482" s="227"/>
      <c r="P1482" s="122"/>
      <c r="Q1482" s="228"/>
      <c r="R1482" s="231" t="str">
        <f t="shared" si="935"/>
        <v/>
      </c>
      <c r="S1482" s="230" t="str">
        <f t="shared" si="923"/>
        <v/>
      </c>
      <c r="T1482" s="231" t="str">
        <f>IF(OR(Q1482="Y",IFERROR(R1482&gt;R1500+R1504*$AA$35,0),IFERROR(R1482&lt;R1500-R1504*$AA$35,0)),"",IFERROR(R1482*N1482,""))</f>
        <v/>
      </c>
      <c r="U1482" s="232" t="str">
        <f t="shared" si="924"/>
        <v>US$2014 per kg of protein</v>
      </c>
      <c r="V1482" s="28"/>
      <c r="W1482" s="28"/>
      <c r="Y1482" s="91"/>
      <c r="AO1482" s="91"/>
      <c r="AP1482" s="28"/>
      <c r="AQ1482" s="28"/>
      <c r="AR1482" s="237"/>
      <c r="AS1482" s="28"/>
      <c r="AT1482" s="304" t="str">
        <f t="shared" si="925"/>
        <v/>
      </c>
      <c r="AU1482" s="304" t="str">
        <f t="shared" si="925"/>
        <v/>
      </c>
      <c r="AV1482" s="28"/>
      <c r="AW1482" s="304" t="str">
        <f t="shared" si="926"/>
        <v/>
      </c>
      <c r="AX1482" s="304" t="str">
        <f t="shared" si="926"/>
        <v/>
      </c>
      <c r="AY1482" s="28"/>
      <c r="AZ1482" s="304" t="str">
        <f t="shared" si="927"/>
        <v/>
      </c>
      <c r="BA1482" s="304" t="str">
        <f t="shared" si="927"/>
        <v/>
      </c>
      <c r="BB1482" s="28"/>
      <c r="BC1482" s="304" t="str">
        <f t="shared" si="928"/>
        <v/>
      </c>
      <c r="BD1482" s="304" t="str">
        <f t="shared" si="928"/>
        <v/>
      </c>
      <c r="BE1482" s="28"/>
      <c r="BF1482" s="304" t="str">
        <f t="shared" si="929"/>
        <v/>
      </c>
      <c r="BG1482" s="304" t="str">
        <f t="shared" si="929"/>
        <v/>
      </c>
      <c r="BH1482" s="28"/>
      <c r="BI1482" s="304" t="str">
        <f t="shared" si="930"/>
        <v/>
      </c>
      <c r="BJ1482" s="304" t="str">
        <f t="shared" si="930"/>
        <v/>
      </c>
      <c r="BK1482" s="28"/>
      <c r="BL1482" s="304" t="str">
        <f t="shared" si="931"/>
        <v/>
      </c>
      <c r="BM1482" s="304" t="str">
        <f t="shared" si="931"/>
        <v/>
      </c>
      <c r="BN1482" s="28"/>
      <c r="BO1482" s="304" t="str">
        <f t="shared" si="932"/>
        <v/>
      </c>
      <c r="BP1482" s="304" t="str">
        <f t="shared" si="932"/>
        <v/>
      </c>
      <c r="BQ1482" s="28"/>
      <c r="BR1482" s="304" t="str">
        <f t="shared" si="933"/>
        <v/>
      </c>
      <c r="BS1482" s="304" t="str">
        <f t="shared" si="933"/>
        <v/>
      </c>
      <c r="BT1482" s="28"/>
      <c r="BU1482" s="304" t="str">
        <f t="shared" si="934"/>
        <v/>
      </c>
      <c r="BV1482" s="304" t="str">
        <f t="shared" si="934"/>
        <v/>
      </c>
      <c r="BW1482" s="28"/>
      <c r="BX1482" s="91"/>
    </row>
    <row r="1483" spans="1:76" s="55" customFormat="1" x14ac:dyDescent="0.25">
      <c r="A1483" s="195">
        <v>4</v>
      </c>
      <c r="B1483" s="216" t="str">
        <f t="shared" si="922"/>
        <v xml:space="preserve">: </v>
      </c>
      <c r="C1483" s="221"/>
      <c r="D1483" s="221"/>
      <c r="E1483" s="221"/>
      <c r="F1483" s="221"/>
      <c r="G1483" s="240"/>
      <c r="H1483" s="221"/>
      <c r="I1483" s="240"/>
      <c r="J1483" s="241"/>
      <c r="K1483" s="241"/>
      <c r="L1483" s="227"/>
      <c r="M1483" s="335" t="str">
        <f>'[1]Advanced Controls'!$H$99</f>
        <v>US$2014 per kg of protein</v>
      </c>
      <c r="N1483" s="227"/>
      <c r="O1483" s="227"/>
      <c r="P1483" s="122"/>
      <c r="Q1483" s="228"/>
      <c r="R1483" s="231" t="str">
        <f t="shared" si="935"/>
        <v/>
      </c>
      <c r="S1483" s="230" t="str">
        <f t="shared" si="923"/>
        <v/>
      </c>
      <c r="T1483" s="231" t="str">
        <f>IF(OR(Q1483="Y",IFERROR(R1483&gt;R1500+R1504*$AA$35,0),IFERROR(R1483&lt;R1500-R1504*$AA$35,0)),"",IFERROR(R1483*N1483,""))</f>
        <v/>
      </c>
      <c r="U1483" s="232" t="str">
        <f t="shared" si="924"/>
        <v>US$2014 per kg of protein</v>
      </c>
      <c r="V1483" s="28"/>
      <c r="W1483" s="28"/>
      <c r="Y1483" s="91"/>
      <c r="AO1483" s="91"/>
      <c r="AP1483" s="28"/>
      <c r="AQ1483" s="28"/>
      <c r="AR1483" s="237"/>
      <c r="AS1483" s="28"/>
      <c r="AT1483" s="304" t="str">
        <f t="shared" si="925"/>
        <v/>
      </c>
      <c r="AU1483" s="304" t="str">
        <f t="shared" si="925"/>
        <v/>
      </c>
      <c r="AV1483" s="28"/>
      <c r="AW1483" s="304" t="str">
        <f t="shared" si="926"/>
        <v/>
      </c>
      <c r="AX1483" s="304" t="str">
        <f t="shared" si="926"/>
        <v/>
      </c>
      <c r="AY1483" s="28"/>
      <c r="AZ1483" s="304" t="str">
        <f t="shared" si="927"/>
        <v/>
      </c>
      <c r="BA1483" s="304" t="str">
        <f t="shared" si="927"/>
        <v/>
      </c>
      <c r="BB1483" s="28"/>
      <c r="BC1483" s="304" t="str">
        <f t="shared" si="928"/>
        <v/>
      </c>
      <c r="BD1483" s="304" t="str">
        <f t="shared" si="928"/>
        <v/>
      </c>
      <c r="BE1483" s="28"/>
      <c r="BF1483" s="304" t="str">
        <f t="shared" si="929"/>
        <v/>
      </c>
      <c r="BG1483" s="304" t="str">
        <f t="shared" si="929"/>
        <v/>
      </c>
      <c r="BH1483" s="28"/>
      <c r="BI1483" s="304" t="str">
        <f t="shared" si="930"/>
        <v/>
      </c>
      <c r="BJ1483" s="304" t="str">
        <f t="shared" si="930"/>
        <v/>
      </c>
      <c r="BK1483" s="28"/>
      <c r="BL1483" s="304" t="str">
        <f t="shared" si="931"/>
        <v/>
      </c>
      <c r="BM1483" s="304" t="str">
        <f t="shared" si="931"/>
        <v/>
      </c>
      <c r="BN1483" s="28"/>
      <c r="BO1483" s="304" t="str">
        <f t="shared" si="932"/>
        <v/>
      </c>
      <c r="BP1483" s="304" t="str">
        <f t="shared" si="932"/>
        <v/>
      </c>
      <c r="BQ1483" s="28"/>
      <c r="BR1483" s="304" t="str">
        <f t="shared" si="933"/>
        <v/>
      </c>
      <c r="BS1483" s="304" t="str">
        <f t="shared" si="933"/>
        <v/>
      </c>
      <c r="BT1483" s="28"/>
      <c r="BU1483" s="304" t="str">
        <f t="shared" si="934"/>
        <v/>
      </c>
      <c r="BV1483" s="304" t="str">
        <f t="shared" si="934"/>
        <v/>
      </c>
      <c r="BW1483" s="28"/>
      <c r="BX1483" s="91"/>
    </row>
    <row r="1484" spans="1:76" s="55" customFormat="1" x14ac:dyDescent="0.25">
      <c r="A1484" s="195">
        <v>5</v>
      </c>
      <c r="B1484" s="216" t="str">
        <f t="shared" si="922"/>
        <v xml:space="preserve">: </v>
      </c>
      <c r="C1484" s="221"/>
      <c r="D1484" s="221"/>
      <c r="E1484" s="221"/>
      <c r="F1484" s="221"/>
      <c r="G1484" s="240"/>
      <c r="H1484" s="221"/>
      <c r="I1484" s="240"/>
      <c r="J1484" s="241"/>
      <c r="K1484" s="241"/>
      <c r="L1484" s="227"/>
      <c r="M1484" s="335" t="str">
        <f>'[1]Advanced Controls'!$H$99</f>
        <v>US$2014 per kg of protein</v>
      </c>
      <c r="N1484" s="227"/>
      <c r="O1484" s="227"/>
      <c r="P1484" s="122"/>
      <c r="Q1484" s="228"/>
      <c r="R1484" s="231" t="str">
        <f t="shared" si="935"/>
        <v/>
      </c>
      <c r="S1484" s="230" t="str">
        <f t="shared" si="923"/>
        <v/>
      </c>
      <c r="T1484" s="231" t="str">
        <f>IF(OR(Q1484="Y",IFERROR(R1484&gt;R1500+R1504*$AA$35,0),IFERROR(R1484&lt;R1500-R1504*$AA$35,0)),"",IFERROR(R1484*N1484,""))</f>
        <v/>
      </c>
      <c r="U1484" s="232" t="str">
        <f t="shared" si="924"/>
        <v>US$2014 per kg of protein</v>
      </c>
      <c r="V1484" s="28"/>
      <c r="W1484" s="28"/>
      <c r="Y1484" s="91"/>
      <c r="AO1484" s="91"/>
      <c r="AP1484" s="28"/>
      <c r="AQ1484" s="28"/>
      <c r="AR1484" s="237"/>
      <c r="AS1484" s="28"/>
      <c r="AT1484" s="304" t="str">
        <f t="shared" si="925"/>
        <v/>
      </c>
      <c r="AU1484" s="304" t="str">
        <f t="shared" si="925"/>
        <v/>
      </c>
      <c r="AV1484" s="28"/>
      <c r="AW1484" s="304" t="str">
        <f t="shared" si="926"/>
        <v/>
      </c>
      <c r="AX1484" s="304" t="str">
        <f t="shared" si="926"/>
        <v/>
      </c>
      <c r="AY1484" s="28"/>
      <c r="AZ1484" s="304" t="str">
        <f t="shared" si="927"/>
        <v/>
      </c>
      <c r="BA1484" s="304" t="str">
        <f t="shared" si="927"/>
        <v/>
      </c>
      <c r="BB1484" s="28"/>
      <c r="BC1484" s="304" t="str">
        <f t="shared" si="928"/>
        <v/>
      </c>
      <c r="BD1484" s="304" t="str">
        <f t="shared" si="928"/>
        <v/>
      </c>
      <c r="BE1484" s="28"/>
      <c r="BF1484" s="304" t="str">
        <f t="shared" si="929"/>
        <v/>
      </c>
      <c r="BG1484" s="304" t="str">
        <f t="shared" si="929"/>
        <v/>
      </c>
      <c r="BH1484" s="28"/>
      <c r="BI1484" s="304" t="str">
        <f t="shared" si="930"/>
        <v/>
      </c>
      <c r="BJ1484" s="304" t="str">
        <f t="shared" si="930"/>
        <v/>
      </c>
      <c r="BK1484" s="28"/>
      <c r="BL1484" s="304" t="str">
        <f t="shared" si="931"/>
        <v/>
      </c>
      <c r="BM1484" s="304" t="str">
        <f t="shared" si="931"/>
        <v/>
      </c>
      <c r="BN1484" s="28"/>
      <c r="BO1484" s="304" t="str">
        <f t="shared" si="932"/>
        <v/>
      </c>
      <c r="BP1484" s="304" t="str">
        <f t="shared" si="932"/>
        <v/>
      </c>
      <c r="BQ1484" s="28"/>
      <c r="BR1484" s="304" t="str">
        <f t="shared" si="933"/>
        <v/>
      </c>
      <c r="BS1484" s="304" t="str">
        <f t="shared" si="933"/>
        <v/>
      </c>
      <c r="BT1484" s="28"/>
      <c r="BU1484" s="304" t="str">
        <f t="shared" si="934"/>
        <v/>
      </c>
      <c r="BV1484" s="304" t="str">
        <f t="shared" si="934"/>
        <v/>
      </c>
      <c r="BW1484" s="28"/>
      <c r="BX1484" s="91"/>
    </row>
    <row r="1485" spans="1:76" s="55" customFormat="1" x14ac:dyDescent="0.25">
      <c r="A1485" s="195">
        <v>6</v>
      </c>
      <c r="B1485" s="216" t="str">
        <f t="shared" si="922"/>
        <v xml:space="preserve">: </v>
      </c>
      <c r="C1485" s="221"/>
      <c r="D1485" s="221"/>
      <c r="E1485" s="221"/>
      <c r="F1485" s="221"/>
      <c r="G1485" s="240"/>
      <c r="H1485" s="221"/>
      <c r="I1485" s="240"/>
      <c r="J1485" s="241"/>
      <c r="K1485" s="241"/>
      <c r="L1485" s="227"/>
      <c r="M1485" s="335" t="str">
        <f>'[1]Advanced Controls'!$H$99</f>
        <v>US$2014 per kg of protein</v>
      </c>
      <c r="N1485" s="227"/>
      <c r="O1485" s="227"/>
      <c r="P1485" s="122"/>
      <c r="Q1485" s="228"/>
      <c r="R1485" s="231" t="str">
        <f t="shared" si="935"/>
        <v/>
      </c>
      <c r="S1485" s="230" t="str">
        <f t="shared" si="923"/>
        <v/>
      </c>
      <c r="T1485" s="231" t="str">
        <f>IF(OR(Q1485="Y",IFERROR(R1485&gt;R1500+R1504*$AA$35,0),IFERROR(R1485&lt;R1500-R1504*$AA$35,0)),"",IFERROR(R1485*N1485,""))</f>
        <v/>
      </c>
      <c r="U1485" s="232" t="str">
        <f t="shared" si="924"/>
        <v>US$2014 per kg of protein</v>
      </c>
      <c r="V1485" s="28"/>
      <c r="W1485" s="28"/>
      <c r="Y1485" s="91"/>
      <c r="AO1485" s="91"/>
      <c r="AP1485" s="28"/>
      <c r="AQ1485" s="28"/>
      <c r="AR1485" s="237"/>
      <c r="AS1485" s="28"/>
      <c r="AT1485" s="304" t="str">
        <f t="shared" si="925"/>
        <v/>
      </c>
      <c r="AU1485" s="304" t="str">
        <f t="shared" si="925"/>
        <v/>
      </c>
      <c r="AV1485" s="28"/>
      <c r="AW1485" s="304" t="str">
        <f t="shared" si="926"/>
        <v/>
      </c>
      <c r="AX1485" s="304" t="str">
        <f t="shared" si="926"/>
        <v/>
      </c>
      <c r="AY1485" s="28"/>
      <c r="AZ1485" s="304" t="str">
        <f t="shared" si="927"/>
        <v/>
      </c>
      <c r="BA1485" s="304" t="str">
        <f t="shared" si="927"/>
        <v/>
      </c>
      <c r="BB1485" s="28"/>
      <c r="BC1485" s="304" t="str">
        <f t="shared" si="928"/>
        <v/>
      </c>
      <c r="BD1485" s="304" t="str">
        <f t="shared" si="928"/>
        <v/>
      </c>
      <c r="BE1485" s="28"/>
      <c r="BF1485" s="304" t="str">
        <f t="shared" si="929"/>
        <v/>
      </c>
      <c r="BG1485" s="304" t="str">
        <f t="shared" si="929"/>
        <v/>
      </c>
      <c r="BH1485" s="28"/>
      <c r="BI1485" s="304" t="str">
        <f t="shared" si="930"/>
        <v/>
      </c>
      <c r="BJ1485" s="304" t="str">
        <f t="shared" si="930"/>
        <v/>
      </c>
      <c r="BK1485" s="28"/>
      <c r="BL1485" s="304" t="str">
        <f t="shared" si="931"/>
        <v/>
      </c>
      <c r="BM1485" s="304" t="str">
        <f t="shared" si="931"/>
        <v/>
      </c>
      <c r="BN1485" s="28"/>
      <c r="BO1485" s="304" t="str">
        <f t="shared" si="932"/>
        <v/>
      </c>
      <c r="BP1485" s="304" t="str">
        <f t="shared" si="932"/>
        <v/>
      </c>
      <c r="BQ1485" s="28"/>
      <c r="BR1485" s="304" t="str">
        <f t="shared" si="933"/>
        <v/>
      </c>
      <c r="BS1485" s="304" t="str">
        <f t="shared" si="933"/>
        <v/>
      </c>
      <c r="BT1485" s="28"/>
      <c r="BU1485" s="304" t="str">
        <f t="shared" si="934"/>
        <v/>
      </c>
      <c r="BV1485" s="304" t="str">
        <f t="shared" si="934"/>
        <v/>
      </c>
      <c r="BW1485" s="28"/>
      <c r="BX1485" s="91"/>
    </row>
    <row r="1486" spans="1:76" s="55" customFormat="1" x14ac:dyDescent="0.25">
      <c r="A1486" s="195">
        <v>7</v>
      </c>
      <c r="B1486" s="216" t="str">
        <f t="shared" si="922"/>
        <v xml:space="preserve">: </v>
      </c>
      <c r="C1486" s="221"/>
      <c r="D1486" s="221"/>
      <c r="E1486" s="221"/>
      <c r="F1486" s="221"/>
      <c r="G1486" s="240"/>
      <c r="H1486" s="221"/>
      <c r="I1486" s="240"/>
      <c r="J1486" s="241"/>
      <c r="K1486" s="241"/>
      <c r="L1486" s="227"/>
      <c r="M1486" s="335" t="str">
        <f>'[1]Advanced Controls'!$H$99</f>
        <v>US$2014 per kg of protein</v>
      </c>
      <c r="N1486" s="227"/>
      <c r="O1486" s="227"/>
      <c r="P1486" s="122"/>
      <c r="Q1486" s="228"/>
      <c r="R1486" s="231" t="str">
        <f t="shared" si="935"/>
        <v/>
      </c>
      <c r="S1486" s="230" t="str">
        <f t="shared" si="923"/>
        <v/>
      </c>
      <c r="T1486" s="231" t="str">
        <f>IF(OR(Q1486="Y",IFERROR(R1486&gt;R1500+R1504*$AA$35,0),IFERROR(R1486&lt;R1500-R1504*$AA$35,0)),"",IFERROR(R1486*N1486,""))</f>
        <v/>
      </c>
      <c r="U1486" s="232" t="str">
        <f t="shared" si="924"/>
        <v>US$2014 per kg of protein</v>
      </c>
      <c r="V1486" s="28"/>
      <c r="W1486" s="28"/>
      <c r="Y1486" s="91"/>
      <c r="AO1486" s="91"/>
      <c r="AP1486" s="28"/>
      <c r="AQ1486" s="28"/>
      <c r="AR1486" s="237"/>
      <c r="AS1486" s="28"/>
      <c r="AT1486" s="304" t="str">
        <f t="shared" si="925"/>
        <v/>
      </c>
      <c r="AU1486" s="304" t="str">
        <f t="shared" si="925"/>
        <v/>
      </c>
      <c r="AV1486" s="28"/>
      <c r="AW1486" s="304" t="str">
        <f t="shared" si="926"/>
        <v/>
      </c>
      <c r="AX1486" s="304" t="str">
        <f t="shared" si="926"/>
        <v/>
      </c>
      <c r="AY1486" s="28"/>
      <c r="AZ1486" s="304" t="str">
        <f t="shared" si="927"/>
        <v/>
      </c>
      <c r="BA1486" s="304" t="str">
        <f t="shared" si="927"/>
        <v/>
      </c>
      <c r="BB1486" s="28"/>
      <c r="BC1486" s="304" t="str">
        <f t="shared" si="928"/>
        <v/>
      </c>
      <c r="BD1486" s="304" t="str">
        <f t="shared" si="928"/>
        <v/>
      </c>
      <c r="BE1486" s="28"/>
      <c r="BF1486" s="304" t="str">
        <f t="shared" si="929"/>
        <v/>
      </c>
      <c r="BG1486" s="304" t="str">
        <f t="shared" si="929"/>
        <v/>
      </c>
      <c r="BH1486" s="28"/>
      <c r="BI1486" s="304" t="str">
        <f t="shared" si="930"/>
        <v/>
      </c>
      <c r="BJ1486" s="304" t="str">
        <f t="shared" si="930"/>
        <v/>
      </c>
      <c r="BK1486" s="28"/>
      <c r="BL1486" s="304" t="str">
        <f t="shared" si="931"/>
        <v/>
      </c>
      <c r="BM1486" s="304" t="str">
        <f t="shared" si="931"/>
        <v/>
      </c>
      <c r="BN1486" s="28"/>
      <c r="BO1486" s="304" t="str">
        <f t="shared" si="932"/>
        <v/>
      </c>
      <c r="BP1486" s="304" t="str">
        <f t="shared" si="932"/>
        <v/>
      </c>
      <c r="BQ1486" s="28"/>
      <c r="BR1486" s="304" t="str">
        <f t="shared" si="933"/>
        <v/>
      </c>
      <c r="BS1486" s="304" t="str">
        <f t="shared" si="933"/>
        <v/>
      </c>
      <c r="BT1486" s="28"/>
      <c r="BU1486" s="304" t="str">
        <f t="shared" si="934"/>
        <v/>
      </c>
      <c r="BV1486" s="304" t="str">
        <f t="shared" si="934"/>
        <v/>
      </c>
      <c r="BW1486" s="28"/>
      <c r="BX1486" s="91"/>
    </row>
    <row r="1487" spans="1:76" s="55" customFormat="1" x14ac:dyDescent="0.25">
      <c r="A1487" s="195">
        <v>8</v>
      </c>
      <c r="B1487" s="216" t="str">
        <f t="shared" si="922"/>
        <v xml:space="preserve">: </v>
      </c>
      <c r="C1487" s="221"/>
      <c r="D1487" s="221"/>
      <c r="E1487" s="221"/>
      <c r="F1487" s="221"/>
      <c r="G1487" s="240"/>
      <c r="H1487" s="221"/>
      <c r="I1487" s="240"/>
      <c r="J1487" s="241"/>
      <c r="K1487" s="241"/>
      <c r="L1487" s="227"/>
      <c r="M1487" s="335" t="str">
        <f>'[1]Advanced Controls'!$H$99</f>
        <v>US$2014 per kg of protein</v>
      </c>
      <c r="N1487" s="227"/>
      <c r="O1487" s="227"/>
      <c r="P1487" s="122"/>
      <c r="Q1487" s="228"/>
      <c r="R1487" s="231" t="str">
        <f t="shared" si="935"/>
        <v/>
      </c>
      <c r="S1487" s="230" t="str">
        <f t="shared" si="923"/>
        <v/>
      </c>
      <c r="T1487" s="231" t="str">
        <f>IF(OR(Q1487="Y",IFERROR(R1487&gt;R1500+R1504*$AA$35,0),IFERROR(R1487&lt;R1500-R1504*$AA$35,0)),"",IFERROR(R1487*N1487,""))</f>
        <v/>
      </c>
      <c r="U1487" s="232" t="str">
        <f t="shared" si="924"/>
        <v>US$2014 per kg of protein</v>
      </c>
      <c r="V1487" s="28"/>
      <c r="W1487" s="28"/>
      <c r="Y1487" s="91"/>
      <c r="AO1487" s="91"/>
      <c r="AP1487" s="28"/>
      <c r="AQ1487" s="28"/>
      <c r="AR1487" s="237"/>
      <c r="AS1487" s="28"/>
      <c r="AT1487" s="304" t="str">
        <f t="shared" si="925"/>
        <v/>
      </c>
      <c r="AU1487" s="304" t="str">
        <f t="shared" si="925"/>
        <v/>
      </c>
      <c r="AV1487" s="28"/>
      <c r="AW1487" s="304" t="str">
        <f t="shared" si="926"/>
        <v/>
      </c>
      <c r="AX1487" s="304" t="str">
        <f t="shared" si="926"/>
        <v/>
      </c>
      <c r="AY1487" s="28"/>
      <c r="AZ1487" s="304" t="str">
        <f t="shared" si="927"/>
        <v/>
      </c>
      <c r="BA1487" s="304" t="str">
        <f t="shared" si="927"/>
        <v/>
      </c>
      <c r="BB1487" s="28"/>
      <c r="BC1487" s="304" t="str">
        <f t="shared" si="928"/>
        <v/>
      </c>
      <c r="BD1487" s="304" t="str">
        <f t="shared" si="928"/>
        <v/>
      </c>
      <c r="BE1487" s="28"/>
      <c r="BF1487" s="304" t="str">
        <f t="shared" si="929"/>
        <v/>
      </c>
      <c r="BG1487" s="304" t="str">
        <f t="shared" si="929"/>
        <v/>
      </c>
      <c r="BH1487" s="28"/>
      <c r="BI1487" s="304" t="str">
        <f t="shared" si="930"/>
        <v/>
      </c>
      <c r="BJ1487" s="304" t="str">
        <f t="shared" si="930"/>
        <v/>
      </c>
      <c r="BK1487" s="28"/>
      <c r="BL1487" s="304" t="str">
        <f t="shared" si="931"/>
        <v/>
      </c>
      <c r="BM1487" s="304" t="str">
        <f t="shared" si="931"/>
        <v/>
      </c>
      <c r="BN1487" s="28"/>
      <c r="BO1487" s="304" t="str">
        <f t="shared" si="932"/>
        <v/>
      </c>
      <c r="BP1487" s="304" t="str">
        <f t="shared" si="932"/>
        <v/>
      </c>
      <c r="BQ1487" s="28"/>
      <c r="BR1487" s="304" t="str">
        <f t="shared" si="933"/>
        <v/>
      </c>
      <c r="BS1487" s="304" t="str">
        <f t="shared" si="933"/>
        <v/>
      </c>
      <c r="BT1487" s="28"/>
      <c r="BU1487" s="304" t="str">
        <f t="shared" si="934"/>
        <v/>
      </c>
      <c r="BV1487" s="304" t="str">
        <f t="shared" si="934"/>
        <v/>
      </c>
      <c r="BW1487" s="28"/>
      <c r="BX1487" s="91"/>
    </row>
    <row r="1488" spans="1:76" s="55" customFormat="1" x14ac:dyDescent="0.25">
      <c r="A1488" s="195">
        <v>9</v>
      </c>
      <c r="B1488" s="216" t="str">
        <f t="shared" si="922"/>
        <v xml:space="preserve">: </v>
      </c>
      <c r="C1488" s="221"/>
      <c r="D1488" s="221"/>
      <c r="E1488" s="221"/>
      <c r="F1488" s="221"/>
      <c r="G1488" s="240"/>
      <c r="H1488" s="221"/>
      <c r="I1488" s="240"/>
      <c r="J1488" s="241"/>
      <c r="K1488" s="241"/>
      <c r="L1488" s="227"/>
      <c r="M1488" s="335" t="str">
        <f>'[1]Advanced Controls'!$H$99</f>
        <v>US$2014 per kg of protein</v>
      </c>
      <c r="N1488" s="227"/>
      <c r="O1488" s="227"/>
      <c r="P1488" s="122"/>
      <c r="Q1488" s="228"/>
      <c r="R1488" s="231" t="str">
        <f t="shared" si="935"/>
        <v/>
      </c>
      <c r="S1488" s="230" t="str">
        <f t="shared" si="923"/>
        <v/>
      </c>
      <c r="T1488" s="231" t="str">
        <f>IF(OR(Q1488="Y",IFERROR(R1488&gt;R1500+R1504*$AA$35,0),IFERROR(R1488&lt;R1500-R1504*$AA$35,0)),"",IFERROR(R1488*N1488,""))</f>
        <v/>
      </c>
      <c r="U1488" s="232" t="str">
        <f t="shared" si="924"/>
        <v>US$2014 per kg of protein</v>
      </c>
      <c r="V1488" s="28"/>
      <c r="W1488" s="28"/>
      <c r="Y1488" s="91"/>
      <c r="AO1488" s="91"/>
      <c r="AP1488" s="28"/>
      <c r="AQ1488" s="28"/>
      <c r="AR1488" s="237"/>
      <c r="AS1488" s="28"/>
      <c r="AT1488" s="304" t="str">
        <f t="shared" si="925"/>
        <v/>
      </c>
      <c r="AU1488" s="304" t="str">
        <f t="shared" si="925"/>
        <v/>
      </c>
      <c r="AV1488" s="28"/>
      <c r="AW1488" s="304" t="str">
        <f t="shared" si="926"/>
        <v/>
      </c>
      <c r="AX1488" s="304" t="str">
        <f t="shared" si="926"/>
        <v/>
      </c>
      <c r="AY1488" s="28"/>
      <c r="AZ1488" s="304" t="str">
        <f t="shared" si="927"/>
        <v/>
      </c>
      <c r="BA1488" s="304" t="str">
        <f t="shared" si="927"/>
        <v/>
      </c>
      <c r="BB1488" s="28"/>
      <c r="BC1488" s="304" t="str">
        <f t="shared" si="928"/>
        <v/>
      </c>
      <c r="BD1488" s="304" t="str">
        <f t="shared" si="928"/>
        <v/>
      </c>
      <c r="BE1488" s="28"/>
      <c r="BF1488" s="304" t="str">
        <f t="shared" si="929"/>
        <v/>
      </c>
      <c r="BG1488" s="304" t="str">
        <f t="shared" si="929"/>
        <v/>
      </c>
      <c r="BH1488" s="28"/>
      <c r="BI1488" s="304" t="str">
        <f t="shared" si="930"/>
        <v/>
      </c>
      <c r="BJ1488" s="304" t="str">
        <f t="shared" si="930"/>
        <v/>
      </c>
      <c r="BK1488" s="28"/>
      <c r="BL1488" s="304" t="str">
        <f t="shared" si="931"/>
        <v/>
      </c>
      <c r="BM1488" s="304" t="str">
        <f t="shared" si="931"/>
        <v/>
      </c>
      <c r="BN1488" s="28"/>
      <c r="BO1488" s="304" t="str">
        <f t="shared" si="932"/>
        <v/>
      </c>
      <c r="BP1488" s="304" t="str">
        <f t="shared" si="932"/>
        <v/>
      </c>
      <c r="BQ1488" s="28"/>
      <c r="BR1488" s="304" t="str">
        <f t="shared" si="933"/>
        <v/>
      </c>
      <c r="BS1488" s="304" t="str">
        <f t="shared" si="933"/>
        <v/>
      </c>
      <c r="BT1488" s="28"/>
      <c r="BU1488" s="304" t="str">
        <f t="shared" si="934"/>
        <v/>
      </c>
      <c r="BV1488" s="304" t="str">
        <f t="shared" si="934"/>
        <v/>
      </c>
      <c r="BW1488" s="28"/>
      <c r="BX1488" s="91"/>
    </row>
    <row r="1489" spans="1:76" s="55" customFormat="1" x14ac:dyDescent="0.25">
      <c r="A1489" s="195">
        <v>10</v>
      </c>
      <c r="B1489" s="216" t="str">
        <f t="shared" si="922"/>
        <v xml:space="preserve">: </v>
      </c>
      <c r="C1489" s="221"/>
      <c r="D1489" s="221"/>
      <c r="E1489" s="221"/>
      <c r="F1489" s="221"/>
      <c r="G1489" s="240"/>
      <c r="H1489" s="221"/>
      <c r="I1489" s="240"/>
      <c r="J1489" s="241"/>
      <c r="K1489" s="241"/>
      <c r="L1489" s="227"/>
      <c r="M1489" s="335" t="str">
        <f>'[1]Advanced Controls'!$H$99</f>
        <v>US$2014 per kg of protein</v>
      </c>
      <c r="N1489" s="227"/>
      <c r="O1489" s="227"/>
      <c r="P1489" s="122"/>
      <c r="Q1489" s="228"/>
      <c r="R1489" s="231" t="str">
        <f t="shared" si="935"/>
        <v/>
      </c>
      <c r="S1489" s="230" t="str">
        <f t="shared" si="923"/>
        <v/>
      </c>
      <c r="T1489" s="231" t="str">
        <f>IF(OR(Q1489="Y",IFERROR(R1489&gt;R1500+R1504*$AA$35,0),IFERROR(R1489&lt;R1500-R1504*$AA$35,0)),"",IFERROR(R1489*N1489,""))</f>
        <v/>
      </c>
      <c r="U1489" s="232" t="str">
        <f t="shared" si="924"/>
        <v>US$2014 per kg of protein</v>
      </c>
      <c r="V1489" s="28"/>
      <c r="W1489" s="28"/>
      <c r="Y1489" s="91"/>
      <c r="AO1489" s="91"/>
      <c r="AP1489" s="28"/>
      <c r="AQ1489" s="28"/>
      <c r="AR1489" s="237"/>
      <c r="AS1489" s="28"/>
      <c r="AT1489" s="304" t="str">
        <f t="shared" si="925"/>
        <v/>
      </c>
      <c r="AU1489" s="304" t="str">
        <f t="shared" si="925"/>
        <v/>
      </c>
      <c r="AV1489" s="28"/>
      <c r="AW1489" s="304" t="str">
        <f t="shared" si="926"/>
        <v/>
      </c>
      <c r="AX1489" s="304" t="str">
        <f t="shared" si="926"/>
        <v/>
      </c>
      <c r="AY1489" s="28"/>
      <c r="AZ1489" s="304" t="str">
        <f t="shared" si="927"/>
        <v/>
      </c>
      <c r="BA1489" s="304" t="str">
        <f t="shared" si="927"/>
        <v/>
      </c>
      <c r="BB1489" s="28"/>
      <c r="BC1489" s="304" t="str">
        <f t="shared" si="928"/>
        <v/>
      </c>
      <c r="BD1489" s="304" t="str">
        <f t="shared" si="928"/>
        <v/>
      </c>
      <c r="BE1489" s="28"/>
      <c r="BF1489" s="304" t="str">
        <f t="shared" si="929"/>
        <v/>
      </c>
      <c r="BG1489" s="304" t="str">
        <f t="shared" si="929"/>
        <v/>
      </c>
      <c r="BH1489" s="28"/>
      <c r="BI1489" s="304" t="str">
        <f t="shared" si="930"/>
        <v/>
      </c>
      <c r="BJ1489" s="304" t="str">
        <f t="shared" si="930"/>
        <v/>
      </c>
      <c r="BK1489" s="28"/>
      <c r="BL1489" s="304" t="str">
        <f t="shared" si="931"/>
        <v/>
      </c>
      <c r="BM1489" s="304" t="str">
        <f t="shared" si="931"/>
        <v/>
      </c>
      <c r="BN1489" s="28"/>
      <c r="BO1489" s="304" t="str">
        <f t="shared" si="932"/>
        <v/>
      </c>
      <c r="BP1489" s="304" t="str">
        <f t="shared" si="932"/>
        <v/>
      </c>
      <c r="BQ1489" s="28"/>
      <c r="BR1489" s="304" t="str">
        <f t="shared" si="933"/>
        <v/>
      </c>
      <c r="BS1489" s="304" t="str">
        <f t="shared" si="933"/>
        <v/>
      </c>
      <c r="BT1489" s="28"/>
      <c r="BU1489" s="304" t="str">
        <f t="shared" si="934"/>
        <v/>
      </c>
      <c r="BV1489" s="304" t="str">
        <f t="shared" si="934"/>
        <v/>
      </c>
      <c r="BW1489" s="28"/>
      <c r="BX1489" s="91"/>
    </row>
    <row r="1490" spans="1:76" s="55" customFormat="1" x14ac:dyDescent="0.25">
      <c r="A1490" s="195">
        <v>11</v>
      </c>
      <c r="B1490" s="216" t="str">
        <f t="shared" si="922"/>
        <v xml:space="preserve">: </v>
      </c>
      <c r="C1490" s="221"/>
      <c r="D1490" s="221"/>
      <c r="E1490" s="221"/>
      <c r="F1490" s="221"/>
      <c r="G1490" s="240"/>
      <c r="H1490" s="221"/>
      <c r="I1490" s="240"/>
      <c r="J1490" s="241"/>
      <c r="K1490" s="241"/>
      <c r="L1490" s="227"/>
      <c r="M1490" s="335" t="str">
        <f>'[1]Advanced Controls'!$H$99</f>
        <v>US$2014 per kg of protein</v>
      </c>
      <c r="N1490" s="227"/>
      <c r="O1490" s="227"/>
      <c r="P1490" s="122"/>
      <c r="Q1490" s="228"/>
      <c r="R1490" s="231" t="str">
        <f t="shared" si="935"/>
        <v/>
      </c>
      <c r="S1490" s="230" t="str">
        <f t="shared" si="923"/>
        <v/>
      </c>
      <c r="T1490" s="231" t="str">
        <f>IF(OR(Q1490="Y",IFERROR(R1490&gt;R1500+R1504*$AA$35,0),IFERROR(R1490&lt;R1500-R1504*$AA$35,0)),"",IFERROR(R1490*N1490,""))</f>
        <v/>
      </c>
      <c r="U1490" s="232" t="str">
        <f t="shared" si="924"/>
        <v>US$2014 per kg of protein</v>
      </c>
      <c r="V1490" s="28"/>
      <c r="W1490" s="28"/>
      <c r="Y1490" s="91"/>
      <c r="AO1490" s="91"/>
      <c r="AP1490" s="28"/>
      <c r="AQ1490" s="28"/>
      <c r="AR1490" s="237"/>
      <c r="AS1490" s="28"/>
      <c r="AT1490" s="304" t="str">
        <f t="shared" si="925"/>
        <v/>
      </c>
      <c r="AU1490" s="304" t="str">
        <f t="shared" si="925"/>
        <v/>
      </c>
      <c r="AV1490" s="28"/>
      <c r="AW1490" s="304" t="str">
        <f t="shared" si="926"/>
        <v/>
      </c>
      <c r="AX1490" s="304" t="str">
        <f t="shared" si="926"/>
        <v/>
      </c>
      <c r="AY1490" s="28"/>
      <c r="AZ1490" s="304" t="str">
        <f t="shared" si="927"/>
        <v/>
      </c>
      <c r="BA1490" s="304" t="str">
        <f t="shared" si="927"/>
        <v/>
      </c>
      <c r="BB1490" s="28"/>
      <c r="BC1490" s="304" t="str">
        <f t="shared" si="928"/>
        <v/>
      </c>
      <c r="BD1490" s="304" t="str">
        <f t="shared" si="928"/>
        <v/>
      </c>
      <c r="BE1490" s="28"/>
      <c r="BF1490" s="304" t="str">
        <f t="shared" si="929"/>
        <v/>
      </c>
      <c r="BG1490" s="304" t="str">
        <f t="shared" si="929"/>
        <v/>
      </c>
      <c r="BH1490" s="28"/>
      <c r="BI1490" s="304" t="str">
        <f t="shared" si="930"/>
        <v/>
      </c>
      <c r="BJ1490" s="304" t="str">
        <f t="shared" si="930"/>
        <v/>
      </c>
      <c r="BK1490" s="28"/>
      <c r="BL1490" s="304" t="str">
        <f t="shared" si="931"/>
        <v/>
      </c>
      <c r="BM1490" s="304" t="str">
        <f t="shared" si="931"/>
        <v/>
      </c>
      <c r="BN1490" s="28"/>
      <c r="BO1490" s="304" t="str">
        <f t="shared" si="932"/>
        <v/>
      </c>
      <c r="BP1490" s="304" t="str">
        <f t="shared" si="932"/>
        <v/>
      </c>
      <c r="BQ1490" s="28"/>
      <c r="BR1490" s="304" t="str">
        <f t="shared" si="933"/>
        <v/>
      </c>
      <c r="BS1490" s="304" t="str">
        <f t="shared" si="933"/>
        <v/>
      </c>
      <c r="BT1490" s="28"/>
      <c r="BU1490" s="304" t="str">
        <f t="shared" si="934"/>
        <v/>
      </c>
      <c r="BV1490" s="304" t="str">
        <f t="shared" si="934"/>
        <v/>
      </c>
      <c r="BW1490" s="28"/>
      <c r="BX1490" s="91"/>
    </row>
    <row r="1491" spans="1:76" s="55" customFormat="1" x14ac:dyDescent="0.25">
      <c r="A1491" s="195">
        <v>12</v>
      </c>
      <c r="B1491" s="216" t="str">
        <f t="shared" si="922"/>
        <v xml:space="preserve">: </v>
      </c>
      <c r="C1491" s="221"/>
      <c r="D1491" s="221"/>
      <c r="E1491" s="221"/>
      <c r="F1491" s="221"/>
      <c r="G1491" s="240"/>
      <c r="H1491" s="221"/>
      <c r="I1491" s="240"/>
      <c r="J1491" s="241"/>
      <c r="K1491" s="241"/>
      <c r="L1491" s="227"/>
      <c r="M1491" s="335" t="str">
        <f>'[1]Advanced Controls'!$H$99</f>
        <v>US$2014 per kg of protein</v>
      </c>
      <c r="N1491" s="227"/>
      <c r="O1491" s="227"/>
      <c r="P1491" s="122"/>
      <c r="Q1491" s="228"/>
      <c r="R1491" s="231" t="str">
        <f t="shared" si="935"/>
        <v/>
      </c>
      <c r="S1491" s="230" t="str">
        <f t="shared" si="923"/>
        <v/>
      </c>
      <c r="T1491" s="231" t="str">
        <f>IF(OR(Q1491="Y",IFERROR(R1491&gt;R1500+R1504*$AA$35,0),IFERROR(R1491&lt;R1500-R1504*$AA$35,0)),"",IFERROR(R1491*N1491,""))</f>
        <v/>
      </c>
      <c r="U1491" s="232" t="str">
        <f t="shared" si="924"/>
        <v>US$2014 per kg of protein</v>
      </c>
      <c r="V1491" s="28"/>
      <c r="W1491" s="28"/>
      <c r="Y1491" s="91"/>
      <c r="AO1491" s="91"/>
      <c r="AP1491" s="28"/>
      <c r="AQ1491" s="28"/>
      <c r="AR1491" s="237"/>
      <c r="AS1491" s="28"/>
      <c r="AT1491" s="304" t="str">
        <f t="shared" si="925"/>
        <v/>
      </c>
      <c r="AU1491" s="304" t="str">
        <f t="shared" si="925"/>
        <v/>
      </c>
      <c r="AV1491" s="28"/>
      <c r="AW1491" s="304" t="str">
        <f t="shared" si="926"/>
        <v/>
      </c>
      <c r="AX1491" s="304" t="str">
        <f t="shared" si="926"/>
        <v/>
      </c>
      <c r="AY1491" s="28"/>
      <c r="AZ1491" s="304" t="str">
        <f t="shared" si="927"/>
        <v/>
      </c>
      <c r="BA1491" s="304" t="str">
        <f t="shared" si="927"/>
        <v/>
      </c>
      <c r="BB1491" s="28"/>
      <c r="BC1491" s="304" t="str">
        <f t="shared" si="928"/>
        <v/>
      </c>
      <c r="BD1491" s="304" t="str">
        <f t="shared" si="928"/>
        <v/>
      </c>
      <c r="BE1491" s="28"/>
      <c r="BF1491" s="304" t="str">
        <f t="shared" si="929"/>
        <v/>
      </c>
      <c r="BG1491" s="304" t="str">
        <f t="shared" si="929"/>
        <v/>
      </c>
      <c r="BH1491" s="28"/>
      <c r="BI1491" s="304" t="str">
        <f t="shared" si="930"/>
        <v/>
      </c>
      <c r="BJ1491" s="304" t="str">
        <f t="shared" si="930"/>
        <v/>
      </c>
      <c r="BK1491" s="28"/>
      <c r="BL1491" s="304" t="str">
        <f t="shared" si="931"/>
        <v/>
      </c>
      <c r="BM1491" s="304" t="str">
        <f t="shared" si="931"/>
        <v/>
      </c>
      <c r="BN1491" s="28"/>
      <c r="BO1491" s="304" t="str">
        <f t="shared" si="932"/>
        <v/>
      </c>
      <c r="BP1491" s="304" t="str">
        <f t="shared" si="932"/>
        <v/>
      </c>
      <c r="BQ1491" s="28"/>
      <c r="BR1491" s="304" t="str">
        <f t="shared" si="933"/>
        <v/>
      </c>
      <c r="BS1491" s="304" t="str">
        <f t="shared" si="933"/>
        <v/>
      </c>
      <c r="BT1491" s="28"/>
      <c r="BU1491" s="304" t="str">
        <f t="shared" si="934"/>
        <v/>
      </c>
      <c r="BV1491" s="304" t="str">
        <f t="shared" si="934"/>
        <v/>
      </c>
      <c r="BW1491" s="28"/>
      <c r="BX1491" s="91"/>
    </row>
    <row r="1492" spans="1:76" s="55" customFormat="1" x14ac:dyDescent="0.25">
      <c r="A1492" s="195">
        <v>13</v>
      </c>
      <c r="B1492" s="216" t="str">
        <f t="shared" si="922"/>
        <v xml:space="preserve">: </v>
      </c>
      <c r="C1492" s="221"/>
      <c r="D1492" s="221"/>
      <c r="E1492" s="221"/>
      <c r="F1492" s="221"/>
      <c r="G1492" s="240"/>
      <c r="H1492" s="221"/>
      <c r="I1492" s="240"/>
      <c r="J1492" s="241"/>
      <c r="K1492" s="241"/>
      <c r="L1492" s="227"/>
      <c r="M1492" s="335" t="str">
        <f>'[1]Advanced Controls'!$H$99</f>
        <v>US$2014 per kg of protein</v>
      </c>
      <c r="N1492" s="227"/>
      <c r="O1492" s="227"/>
      <c r="P1492" s="122"/>
      <c r="Q1492" s="228"/>
      <c r="R1492" s="231" t="str">
        <f t="shared" si="935"/>
        <v/>
      </c>
      <c r="S1492" s="230" t="str">
        <f t="shared" si="923"/>
        <v/>
      </c>
      <c r="T1492" s="231" t="str">
        <f>IF(OR(Q1492="Y",IFERROR(R1492&gt;R1500+R1504*$AA$35,0),IFERROR(R1492&lt;R1500-R1504*$AA$35,0)),"",IFERROR(R1492*N1492,""))</f>
        <v/>
      </c>
      <c r="U1492" s="232" t="str">
        <f t="shared" si="924"/>
        <v>US$2014 per kg of protein</v>
      </c>
      <c r="V1492" s="28"/>
      <c r="W1492" s="28"/>
      <c r="Y1492" s="91"/>
      <c r="AO1492" s="91"/>
      <c r="AP1492" s="28"/>
      <c r="AQ1492" s="28"/>
      <c r="AR1492" s="237"/>
      <c r="AS1492" s="28"/>
      <c r="AT1492" s="304" t="str">
        <f t="shared" si="925"/>
        <v/>
      </c>
      <c r="AU1492" s="304" t="str">
        <f t="shared" si="925"/>
        <v/>
      </c>
      <c r="AV1492" s="28"/>
      <c r="AW1492" s="304" t="str">
        <f t="shared" si="926"/>
        <v/>
      </c>
      <c r="AX1492" s="304" t="str">
        <f t="shared" si="926"/>
        <v/>
      </c>
      <c r="AY1492" s="28"/>
      <c r="AZ1492" s="304" t="str">
        <f t="shared" si="927"/>
        <v/>
      </c>
      <c r="BA1492" s="304" t="str">
        <f t="shared" si="927"/>
        <v/>
      </c>
      <c r="BB1492" s="28"/>
      <c r="BC1492" s="304" t="str">
        <f t="shared" si="928"/>
        <v/>
      </c>
      <c r="BD1492" s="304" t="str">
        <f t="shared" si="928"/>
        <v/>
      </c>
      <c r="BE1492" s="28"/>
      <c r="BF1492" s="304" t="str">
        <f t="shared" si="929"/>
        <v/>
      </c>
      <c r="BG1492" s="304" t="str">
        <f t="shared" si="929"/>
        <v/>
      </c>
      <c r="BH1492" s="28"/>
      <c r="BI1492" s="304" t="str">
        <f t="shared" si="930"/>
        <v/>
      </c>
      <c r="BJ1492" s="304" t="str">
        <f t="shared" si="930"/>
        <v/>
      </c>
      <c r="BK1492" s="28"/>
      <c r="BL1492" s="304" t="str">
        <f t="shared" si="931"/>
        <v/>
      </c>
      <c r="BM1492" s="304" t="str">
        <f t="shared" si="931"/>
        <v/>
      </c>
      <c r="BN1492" s="28"/>
      <c r="BO1492" s="304" t="str">
        <f t="shared" si="932"/>
        <v/>
      </c>
      <c r="BP1492" s="304" t="str">
        <f t="shared" si="932"/>
        <v/>
      </c>
      <c r="BQ1492" s="28"/>
      <c r="BR1492" s="304" t="str">
        <f t="shared" si="933"/>
        <v/>
      </c>
      <c r="BS1492" s="304" t="str">
        <f t="shared" si="933"/>
        <v/>
      </c>
      <c r="BT1492" s="28"/>
      <c r="BU1492" s="304" t="str">
        <f t="shared" si="934"/>
        <v/>
      </c>
      <c r="BV1492" s="304" t="str">
        <f t="shared" si="934"/>
        <v/>
      </c>
      <c r="BW1492" s="28"/>
      <c r="BX1492" s="91"/>
    </row>
    <row r="1493" spans="1:76" s="55" customFormat="1" x14ac:dyDescent="0.25">
      <c r="A1493" s="195">
        <v>14</v>
      </c>
      <c r="B1493" s="216" t="str">
        <f t="shared" si="922"/>
        <v xml:space="preserve">: </v>
      </c>
      <c r="C1493" s="221"/>
      <c r="D1493" s="221"/>
      <c r="E1493" s="221"/>
      <c r="F1493" s="221"/>
      <c r="G1493" s="240"/>
      <c r="H1493" s="221"/>
      <c r="I1493" s="240"/>
      <c r="J1493" s="241"/>
      <c r="K1493" s="241"/>
      <c r="L1493" s="227"/>
      <c r="M1493" s="335" t="str">
        <f>'[1]Advanced Controls'!$H$99</f>
        <v>US$2014 per kg of protein</v>
      </c>
      <c r="N1493" s="227"/>
      <c r="O1493" s="227"/>
      <c r="P1493" s="122"/>
      <c r="Q1493" s="228"/>
      <c r="R1493" s="231" t="str">
        <f t="shared" si="935"/>
        <v/>
      </c>
      <c r="S1493" s="230" t="str">
        <f t="shared" si="923"/>
        <v/>
      </c>
      <c r="T1493" s="231" t="str">
        <f>IF(OR(Q1493="Y",IFERROR(R1493&gt;R1500+R1504*$AA$35,0),IFERROR(R1493&lt;R1500-R1504*$AA$35,0)),"",IFERROR(R1493*N1493,""))</f>
        <v/>
      </c>
      <c r="U1493" s="232" t="str">
        <f t="shared" si="924"/>
        <v>US$2014 per kg of protein</v>
      </c>
      <c r="V1493" s="28"/>
      <c r="W1493" s="28"/>
      <c r="Y1493" s="91"/>
      <c r="AO1493" s="91"/>
      <c r="AP1493" s="28"/>
      <c r="AQ1493" s="28"/>
      <c r="AR1493" s="237"/>
      <c r="AS1493" s="28"/>
      <c r="AT1493" s="304" t="str">
        <f t="shared" si="925"/>
        <v/>
      </c>
      <c r="AU1493" s="304" t="str">
        <f t="shared" si="925"/>
        <v/>
      </c>
      <c r="AV1493" s="28"/>
      <c r="AW1493" s="304" t="str">
        <f t="shared" si="926"/>
        <v/>
      </c>
      <c r="AX1493" s="304" t="str">
        <f t="shared" si="926"/>
        <v/>
      </c>
      <c r="AY1493" s="28"/>
      <c r="AZ1493" s="304" t="str">
        <f t="shared" si="927"/>
        <v/>
      </c>
      <c r="BA1493" s="304" t="str">
        <f t="shared" si="927"/>
        <v/>
      </c>
      <c r="BB1493" s="28"/>
      <c r="BC1493" s="304" t="str">
        <f t="shared" si="928"/>
        <v/>
      </c>
      <c r="BD1493" s="304" t="str">
        <f t="shared" si="928"/>
        <v/>
      </c>
      <c r="BE1493" s="28"/>
      <c r="BF1493" s="304" t="str">
        <f t="shared" si="929"/>
        <v/>
      </c>
      <c r="BG1493" s="304" t="str">
        <f t="shared" si="929"/>
        <v/>
      </c>
      <c r="BH1493" s="28"/>
      <c r="BI1493" s="304" t="str">
        <f t="shared" si="930"/>
        <v/>
      </c>
      <c r="BJ1493" s="304" t="str">
        <f t="shared" si="930"/>
        <v/>
      </c>
      <c r="BK1493" s="28"/>
      <c r="BL1493" s="304" t="str">
        <f t="shared" si="931"/>
        <v/>
      </c>
      <c r="BM1493" s="304" t="str">
        <f t="shared" si="931"/>
        <v/>
      </c>
      <c r="BN1493" s="28"/>
      <c r="BO1493" s="304" t="str">
        <f t="shared" si="932"/>
        <v/>
      </c>
      <c r="BP1493" s="304" t="str">
        <f t="shared" si="932"/>
        <v/>
      </c>
      <c r="BQ1493" s="28"/>
      <c r="BR1493" s="304" t="str">
        <f t="shared" si="933"/>
        <v/>
      </c>
      <c r="BS1493" s="304" t="str">
        <f t="shared" si="933"/>
        <v/>
      </c>
      <c r="BT1493" s="28"/>
      <c r="BU1493" s="304" t="str">
        <f t="shared" si="934"/>
        <v/>
      </c>
      <c r="BV1493" s="304" t="str">
        <f t="shared" si="934"/>
        <v/>
      </c>
      <c r="BW1493" s="28"/>
      <c r="BX1493" s="91"/>
    </row>
    <row r="1494" spans="1:76" s="55" customFormat="1" x14ac:dyDescent="0.25">
      <c r="A1494" s="195">
        <v>15</v>
      </c>
      <c r="B1494" s="216" t="str">
        <f t="shared" si="922"/>
        <v xml:space="preserve">: </v>
      </c>
      <c r="C1494" s="221"/>
      <c r="D1494" s="221"/>
      <c r="E1494" s="221"/>
      <c r="F1494" s="221"/>
      <c r="G1494" s="240"/>
      <c r="H1494" s="221"/>
      <c r="I1494" s="240"/>
      <c r="J1494" s="241"/>
      <c r="K1494" s="241"/>
      <c r="L1494" s="227"/>
      <c r="M1494" s="335" t="str">
        <f>'[1]Advanced Controls'!$H$99</f>
        <v>US$2014 per kg of protein</v>
      </c>
      <c r="N1494" s="227"/>
      <c r="O1494" s="227"/>
      <c r="P1494" s="122"/>
      <c r="Q1494" s="228"/>
      <c r="R1494" s="231" t="str">
        <f t="shared" si="935"/>
        <v/>
      </c>
      <c r="S1494" s="230" t="str">
        <f t="shared" si="923"/>
        <v/>
      </c>
      <c r="T1494" s="231" t="str">
        <f>IF(OR(Q1494="Y",IFERROR(R1494&gt;R1500+R1504*$AA$35,0),IFERROR(R1494&lt;R1500-R1504*$AA$35,0)),"",IFERROR(R1494*N1494,""))</f>
        <v/>
      </c>
      <c r="U1494" s="232" t="str">
        <f t="shared" si="924"/>
        <v>US$2014 per kg of protein</v>
      </c>
      <c r="V1494" s="28"/>
      <c r="W1494" s="28"/>
      <c r="Y1494" s="91"/>
      <c r="AO1494" s="91"/>
      <c r="AP1494" s="28"/>
      <c r="AQ1494" s="28"/>
      <c r="AR1494" s="237"/>
      <c r="AS1494" s="28"/>
      <c r="AT1494" s="304" t="str">
        <f t="shared" si="925"/>
        <v/>
      </c>
      <c r="AU1494" s="304" t="str">
        <f t="shared" si="925"/>
        <v/>
      </c>
      <c r="AV1494" s="28"/>
      <c r="AW1494" s="304" t="str">
        <f t="shared" si="926"/>
        <v/>
      </c>
      <c r="AX1494" s="304" t="str">
        <f t="shared" si="926"/>
        <v/>
      </c>
      <c r="AY1494" s="28"/>
      <c r="AZ1494" s="304" t="str">
        <f t="shared" si="927"/>
        <v/>
      </c>
      <c r="BA1494" s="304" t="str">
        <f t="shared" si="927"/>
        <v/>
      </c>
      <c r="BB1494" s="28"/>
      <c r="BC1494" s="304" t="str">
        <f t="shared" si="928"/>
        <v/>
      </c>
      <c r="BD1494" s="304" t="str">
        <f t="shared" si="928"/>
        <v/>
      </c>
      <c r="BE1494" s="28"/>
      <c r="BF1494" s="304" t="str">
        <f t="shared" si="929"/>
        <v/>
      </c>
      <c r="BG1494" s="304" t="str">
        <f t="shared" si="929"/>
        <v/>
      </c>
      <c r="BH1494" s="28"/>
      <c r="BI1494" s="304" t="str">
        <f t="shared" si="930"/>
        <v/>
      </c>
      <c r="BJ1494" s="304" t="str">
        <f t="shared" si="930"/>
        <v/>
      </c>
      <c r="BK1494" s="28"/>
      <c r="BL1494" s="304" t="str">
        <f t="shared" si="931"/>
        <v/>
      </c>
      <c r="BM1494" s="304" t="str">
        <f t="shared" si="931"/>
        <v/>
      </c>
      <c r="BN1494" s="28"/>
      <c r="BO1494" s="304" t="str">
        <f t="shared" si="932"/>
        <v/>
      </c>
      <c r="BP1494" s="304" t="str">
        <f t="shared" si="932"/>
        <v/>
      </c>
      <c r="BQ1494" s="28"/>
      <c r="BR1494" s="304" t="str">
        <f t="shared" si="933"/>
        <v/>
      </c>
      <c r="BS1494" s="304" t="str">
        <f t="shared" si="933"/>
        <v/>
      </c>
      <c r="BT1494" s="28"/>
      <c r="BU1494" s="304" t="str">
        <f t="shared" si="934"/>
        <v/>
      </c>
      <c r="BV1494" s="304" t="str">
        <f t="shared" si="934"/>
        <v/>
      </c>
      <c r="BW1494" s="28"/>
      <c r="BX1494" s="91"/>
    </row>
    <row r="1495" spans="1:76" s="55" customFormat="1" x14ac:dyDescent="0.25">
      <c r="A1495" s="195">
        <v>16</v>
      </c>
      <c r="B1495" s="216" t="str">
        <f t="shared" si="922"/>
        <v xml:space="preserve">: </v>
      </c>
      <c r="C1495" s="221"/>
      <c r="D1495" s="221"/>
      <c r="E1495" s="221"/>
      <c r="F1495" s="221"/>
      <c r="G1495" s="240"/>
      <c r="H1495" s="221"/>
      <c r="I1495" s="240"/>
      <c r="J1495" s="241"/>
      <c r="K1495" s="241"/>
      <c r="L1495" s="227"/>
      <c r="M1495" s="335" t="str">
        <f>'[1]Advanced Controls'!$H$99</f>
        <v>US$2014 per kg of protein</v>
      </c>
      <c r="N1495" s="227"/>
      <c r="O1495" s="227"/>
      <c r="P1495" s="122"/>
      <c r="Q1495" s="228"/>
      <c r="R1495" s="231" t="str">
        <f t="shared" si="935"/>
        <v/>
      </c>
      <c r="S1495" s="230" t="str">
        <f t="shared" si="923"/>
        <v/>
      </c>
      <c r="T1495" s="231" t="str">
        <f>IF(OR(Q1495="Y",IFERROR(R1495&gt;R1500+R1504*$AA$35,0),IFERROR(R1495&lt;R1500-R1504*$AA$35,0)),"",IFERROR(R1495*N1495,""))</f>
        <v/>
      </c>
      <c r="U1495" s="232" t="str">
        <f t="shared" si="924"/>
        <v>US$2014 per kg of protein</v>
      </c>
      <c r="V1495" s="28"/>
      <c r="W1495" s="28"/>
      <c r="Y1495" s="91"/>
      <c r="AO1495" s="91"/>
      <c r="AP1495" s="28"/>
      <c r="AQ1495" s="28"/>
      <c r="AR1495" s="237"/>
      <c r="AS1495" s="28"/>
      <c r="AT1495" s="304" t="str">
        <f t="shared" si="925"/>
        <v/>
      </c>
      <c r="AU1495" s="304" t="str">
        <f t="shared" si="925"/>
        <v/>
      </c>
      <c r="AV1495" s="28"/>
      <c r="AW1495" s="304" t="str">
        <f t="shared" si="926"/>
        <v/>
      </c>
      <c r="AX1495" s="304" t="str">
        <f t="shared" si="926"/>
        <v/>
      </c>
      <c r="AY1495" s="28"/>
      <c r="AZ1495" s="304" t="str">
        <f t="shared" si="927"/>
        <v/>
      </c>
      <c r="BA1495" s="304" t="str">
        <f t="shared" si="927"/>
        <v/>
      </c>
      <c r="BB1495" s="28"/>
      <c r="BC1495" s="304" t="str">
        <f t="shared" si="928"/>
        <v/>
      </c>
      <c r="BD1495" s="304" t="str">
        <f t="shared" si="928"/>
        <v/>
      </c>
      <c r="BE1495" s="28"/>
      <c r="BF1495" s="304" t="str">
        <f t="shared" si="929"/>
        <v/>
      </c>
      <c r="BG1495" s="304" t="str">
        <f t="shared" si="929"/>
        <v/>
      </c>
      <c r="BH1495" s="28"/>
      <c r="BI1495" s="304" t="str">
        <f t="shared" si="930"/>
        <v/>
      </c>
      <c r="BJ1495" s="304" t="str">
        <f t="shared" si="930"/>
        <v/>
      </c>
      <c r="BK1495" s="28"/>
      <c r="BL1495" s="304" t="str">
        <f t="shared" si="931"/>
        <v/>
      </c>
      <c r="BM1495" s="304" t="str">
        <f t="shared" si="931"/>
        <v/>
      </c>
      <c r="BN1495" s="28"/>
      <c r="BO1495" s="304" t="str">
        <f t="shared" si="932"/>
        <v/>
      </c>
      <c r="BP1495" s="304" t="str">
        <f t="shared" si="932"/>
        <v/>
      </c>
      <c r="BQ1495" s="28"/>
      <c r="BR1495" s="304" t="str">
        <f t="shared" si="933"/>
        <v/>
      </c>
      <c r="BS1495" s="304" t="str">
        <f t="shared" si="933"/>
        <v/>
      </c>
      <c r="BT1495" s="28"/>
      <c r="BU1495" s="304" t="str">
        <f t="shared" si="934"/>
        <v/>
      </c>
      <c r="BV1495" s="304" t="str">
        <f t="shared" si="934"/>
        <v/>
      </c>
      <c r="BW1495" s="28"/>
      <c r="BX1495" s="91"/>
    </row>
    <row r="1496" spans="1:76" s="55" customFormat="1" x14ac:dyDescent="0.25">
      <c r="A1496" s="195">
        <v>17</v>
      </c>
      <c r="B1496" s="216" t="str">
        <f t="shared" si="922"/>
        <v xml:space="preserve">: </v>
      </c>
      <c r="C1496" s="221"/>
      <c r="D1496" s="221"/>
      <c r="E1496" s="221"/>
      <c r="F1496" s="221"/>
      <c r="G1496" s="240"/>
      <c r="H1496" s="221"/>
      <c r="I1496" s="240"/>
      <c r="J1496" s="241"/>
      <c r="K1496" s="241"/>
      <c r="L1496" s="227"/>
      <c r="M1496" s="335" t="str">
        <f>'[1]Advanced Controls'!$H$99</f>
        <v>US$2014 per kg of protein</v>
      </c>
      <c r="N1496" s="227"/>
      <c r="O1496" s="227"/>
      <c r="P1496" s="122"/>
      <c r="Q1496" s="228"/>
      <c r="R1496" s="231" t="str">
        <f t="shared" si="935"/>
        <v/>
      </c>
      <c r="S1496" s="230" t="str">
        <f t="shared" si="923"/>
        <v/>
      </c>
      <c r="T1496" s="231" t="str">
        <f>IF(OR(Q1496="Y",IFERROR(R1496&gt;R1500+R1504*$AA$35,0),IFERROR(R1496&lt;R1500-R1504*$AA$35,0)),"",IFERROR(R1496*N1496,""))</f>
        <v/>
      </c>
      <c r="U1496" s="232" t="str">
        <f t="shared" si="924"/>
        <v>US$2014 per kg of protein</v>
      </c>
      <c r="V1496" s="28"/>
      <c r="W1496" s="28"/>
      <c r="Y1496" s="91"/>
      <c r="AO1496" s="91"/>
      <c r="AP1496" s="28"/>
      <c r="AQ1496" s="28"/>
      <c r="AR1496" s="237"/>
      <c r="AS1496" s="28"/>
      <c r="AT1496" s="304" t="str">
        <f t="shared" ref="AT1496:AU1514" si="936">IF($E1496=$AT$47,R1496,"")</f>
        <v/>
      </c>
      <c r="AU1496" s="304" t="str">
        <f t="shared" si="936"/>
        <v/>
      </c>
      <c r="AV1496" s="28"/>
      <c r="AW1496" s="304" t="str">
        <f t="shared" si="926"/>
        <v/>
      </c>
      <c r="AX1496" s="304" t="str">
        <f t="shared" si="926"/>
        <v/>
      </c>
      <c r="AY1496" s="28"/>
      <c r="AZ1496" s="304" t="str">
        <f t="shared" si="927"/>
        <v/>
      </c>
      <c r="BA1496" s="304" t="str">
        <f t="shared" si="927"/>
        <v/>
      </c>
      <c r="BB1496" s="28"/>
      <c r="BC1496" s="304" t="str">
        <f t="shared" si="928"/>
        <v/>
      </c>
      <c r="BD1496" s="304" t="str">
        <f t="shared" si="928"/>
        <v/>
      </c>
      <c r="BE1496" s="28"/>
      <c r="BF1496" s="304" t="str">
        <f t="shared" si="929"/>
        <v/>
      </c>
      <c r="BG1496" s="304" t="str">
        <f t="shared" si="929"/>
        <v/>
      </c>
      <c r="BH1496" s="28"/>
      <c r="BI1496" s="304" t="str">
        <f t="shared" si="930"/>
        <v/>
      </c>
      <c r="BJ1496" s="304" t="str">
        <f t="shared" si="930"/>
        <v/>
      </c>
      <c r="BK1496" s="28"/>
      <c r="BL1496" s="304" t="str">
        <f t="shared" si="931"/>
        <v/>
      </c>
      <c r="BM1496" s="304" t="str">
        <f t="shared" si="931"/>
        <v/>
      </c>
      <c r="BN1496" s="28"/>
      <c r="BO1496" s="304" t="str">
        <f t="shared" si="932"/>
        <v/>
      </c>
      <c r="BP1496" s="304" t="str">
        <f t="shared" si="932"/>
        <v/>
      </c>
      <c r="BQ1496" s="28"/>
      <c r="BR1496" s="304" t="str">
        <f t="shared" si="933"/>
        <v/>
      </c>
      <c r="BS1496" s="304" t="str">
        <f t="shared" si="933"/>
        <v/>
      </c>
      <c r="BT1496" s="28"/>
      <c r="BU1496" s="304" t="str">
        <f t="shared" si="934"/>
        <v/>
      </c>
      <c r="BV1496" s="304" t="str">
        <f t="shared" si="934"/>
        <v/>
      </c>
      <c r="BW1496" s="28"/>
      <c r="BX1496" s="91"/>
    </row>
    <row r="1497" spans="1:76" s="55" customFormat="1" x14ac:dyDescent="0.25">
      <c r="A1497" s="195">
        <v>18</v>
      </c>
      <c r="B1497" s="216" t="str">
        <f t="shared" si="922"/>
        <v xml:space="preserve">: </v>
      </c>
      <c r="C1497" s="221"/>
      <c r="D1497" s="221"/>
      <c r="E1497" s="221"/>
      <c r="F1497" s="221"/>
      <c r="G1497" s="240"/>
      <c r="H1497" s="221"/>
      <c r="I1497" s="240"/>
      <c r="J1497" s="241"/>
      <c r="K1497" s="241"/>
      <c r="L1497" s="227"/>
      <c r="M1497" s="335" t="str">
        <f>'[1]Advanced Controls'!$H$99</f>
        <v>US$2014 per kg of protein</v>
      </c>
      <c r="N1497" s="227"/>
      <c r="O1497" s="227"/>
      <c r="P1497" s="122"/>
      <c r="Q1497" s="228"/>
      <c r="R1497" s="231" t="str">
        <f t="shared" si="935"/>
        <v/>
      </c>
      <c r="S1497" s="230" t="str">
        <f t="shared" si="923"/>
        <v/>
      </c>
      <c r="T1497" s="231" t="str">
        <f>IF(OR(Q1497="Y",IFERROR(R1497&gt;R1500+R1504*$AA$35,0),IFERROR(R1497&lt;R1500-R1504*$AA$35,0)),"",IFERROR(R1497*N1497,""))</f>
        <v/>
      </c>
      <c r="U1497" s="232" t="str">
        <f t="shared" si="924"/>
        <v>US$2014 per kg of protein</v>
      </c>
      <c r="V1497" s="28"/>
      <c r="W1497" s="28"/>
      <c r="Y1497" s="91"/>
      <c r="AO1497" s="91"/>
      <c r="AP1497" s="28"/>
      <c r="AQ1497" s="28"/>
      <c r="AR1497" s="237"/>
      <c r="AS1497" s="28"/>
      <c r="AT1497" s="304" t="str">
        <f t="shared" si="936"/>
        <v/>
      </c>
      <c r="AU1497" s="304" t="str">
        <f t="shared" si="936"/>
        <v/>
      </c>
      <c r="AV1497" s="28"/>
      <c r="AW1497" s="304" t="str">
        <f t="shared" si="926"/>
        <v/>
      </c>
      <c r="AX1497" s="304" t="str">
        <f t="shared" si="926"/>
        <v/>
      </c>
      <c r="AY1497" s="28"/>
      <c r="AZ1497" s="304" t="str">
        <f t="shared" si="927"/>
        <v/>
      </c>
      <c r="BA1497" s="304" t="str">
        <f t="shared" si="927"/>
        <v/>
      </c>
      <c r="BB1497" s="28"/>
      <c r="BC1497" s="304" t="str">
        <f t="shared" si="928"/>
        <v/>
      </c>
      <c r="BD1497" s="304" t="str">
        <f t="shared" si="928"/>
        <v/>
      </c>
      <c r="BE1497" s="28"/>
      <c r="BF1497" s="304" t="str">
        <f t="shared" si="929"/>
        <v/>
      </c>
      <c r="BG1497" s="304" t="str">
        <f t="shared" si="929"/>
        <v/>
      </c>
      <c r="BH1497" s="28"/>
      <c r="BI1497" s="304" t="str">
        <f t="shared" si="930"/>
        <v/>
      </c>
      <c r="BJ1497" s="304" t="str">
        <f t="shared" si="930"/>
        <v/>
      </c>
      <c r="BK1497" s="28"/>
      <c r="BL1497" s="304" t="str">
        <f t="shared" si="931"/>
        <v/>
      </c>
      <c r="BM1497" s="304" t="str">
        <f t="shared" si="931"/>
        <v/>
      </c>
      <c r="BN1497" s="28"/>
      <c r="BO1497" s="304" t="str">
        <f t="shared" si="932"/>
        <v/>
      </c>
      <c r="BP1497" s="304" t="str">
        <f t="shared" si="932"/>
        <v/>
      </c>
      <c r="BQ1497" s="28"/>
      <c r="BR1497" s="304" t="str">
        <f t="shared" si="933"/>
        <v/>
      </c>
      <c r="BS1497" s="304" t="str">
        <f t="shared" si="933"/>
        <v/>
      </c>
      <c r="BT1497" s="28"/>
      <c r="BU1497" s="304" t="str">
        <f t="shared" si="934"/>
        <v/>
      </c>
      <c r="BV1497" s="304" t="str">
        <f t="shared" si="934"/>
        <v/>
      </c>
      <c r="BW1497" s="28"/>
      <c r="BX1497" s="91"/>
    </row>
    <row r="1498" spans="1:76" s="55" customFormat="1" x14ac:dyDescent="0.25">
      <c r="A1498" s="195">
        <v>19</v>
      </c>
      <c r="B1498" s="216" t="str">
        <f t="shared" si="922"/>
        <v xml:space="preserve">: </v>
      </c>
      <c r="C1498" s="221"/>
      <c r="D1498" s="221"/>
      <c r="E1498" s="221"/>
      <c r="F1498" s="221"/>
      <c r="G1498" s="240"/>
      <c r="H1498" s="221"/>
      <c r="I1498" s="240"/>
      <c r="J1498" s="241"/>
      <c r="K1498" s="241"/>
      <c r="L1498" s="227"/>
      <c r="M1498" s="335" t="str">
        <f>'[1]Advanced Controls'!$H$99</f>
        <v>US$2014 per kg of protein</v>
      </c>
      <c r="N1498" s="227"/>
      <c r="O1498" s="227"/>
      <c r="P1498" s="122"/>
      <c r="Q1498" s="228"/>
      <c r="R1498" s="231" t="str">
        <f t="shared" si="935"/>
        <v/>
      </c>
      <c r="S1498" s="230" t="str">
        <f t="shared" si="923"/>
        <v/>
      </c>
      <c r="T1498" s="231" t="str">
        <f>IF(OR(Q1498="Y",IFERROR(R1498&gt;R1500+R1504*$AA$35,0),IFERROR(R1498&lt;R1500-R1504*$AA$35,0)),"",IFERROR(R1498*N1498,""))</f>
        <v/>
      </c>
      <c r="U1498" s="232" t="str">
        <f t="shared" si="924"/>
        <v>US$2014 per kg of protein</v>
      </c>
      <c r="V1498" s="28"/>
      <c r="W1498" s="28"/>
      <c r="Y1498" s="91"/>
      <c r="AO1498" s="91"/>
      <c r="AP1498" s="28"/>
      <c r="AQ1498" s="28"/>
      <c r="AR1498" s="237"/>
      <c r="AS1498" s="28"/>
      <c r="AT1498" s="304" t="str">
        <f t="shared" si="936"/>
        <v/>
      </c>
      <c r="AU1498" s="304" t="str">
        <f t="shared" si="936"/>
        <v/>
      </c>
      <c r="AV1498" s="28"/>
      <c r="AW1498" s="304" t="str">
        <f t="shared" si="926"/>
        <v/>
      </c>
      <c r="AX1498" s="304" t="str">
        <f t="shared" si="926"/>
        <v/>
      </c>
      <c r="AY1498" s="28"/>
      <c r="AZ1498" s="304" t="str">
        <f t="shared" si="927"/>
        <v/>
      </c>
      <c r="BA1498" s="304" t="str">
        <f t="shared" si="927"/>
        <v/>
      </c>
      <c r="BB1498" s="28"/>
      <c r="BC1498" s="304" t="str">
        <f t="shared" si="928"/>
        <v/>
      </c>
      <c r="BD1498" s="304" t="str">
        <f t="shared" si="928"/>
        <v/>
      </c>
      <c r="BE1498" s="28"/>
      <c r="BF1498" s="304" t="str">
        <f t="shared" si="929"/>
        <v/>
      </c>
      <c r="BG1498" s="304" t="str">
        <f t="shared" si="929"/>
        <v/>
      </c>
      <c r="BH1498" s="28"/>
      <c r="BI1498" s="304" t="str">
        <f t="shared" si="930"/>
        <v/>
      </c>
      <c r="BJ1498" s="304" t="str">
        <f t="shared" si="930"/>
        <v/>
      </c>
      <c r="BK1498" s="28"/>
      <c r="BL1498" s="304" t="str">
        <f t="shared" si="931"/>
        <v/>
      </c>
      <c r="BM1498" s="304" t="str">
        <f t="shared" si="931"/>
        <v/>
      </c>
      <c r="BN1498" s="28"/>
      <c r="BO1498" s="304" t="str">
        <f t="shared" si="932"/>
        <v/>
      </c>
      <c r="BP1498" s="304" t="str">
        <f t="shared" si="932"/>
        <v/>
      </c>
      <c r="BQ1498" s="28"/>
      <c r="BR1498" s="304" t="str">
        <f t="shared" si="933"/>
        <v/>
      </c>
      <c r="BS1498" s="304" t="str">
        <f t="shared" si="933"/>
        <v/>
      </c>
      <c r="BT1498" s="28"/>
      <c r="BU1498" s="304" t="str">
        <f t="shared" si="934"/>
        <v/>
      </c>
      <c r="BV1498" s="304" t="str">
        <f t="shared" si="934"/>
        <v/>
      </c>
      <c r="BW1498" s="28"/>
      <c r="BX1498" s="91"/>
    </row>
    <row r="1499" spans="1:76" s="55" customFormat="1" x14ac:dyDescent="0.25">
      <c r="A1499" s="195">
        <v>20</v>
      </c>
      <c r="B1499" s="216" t="str">
        <f t="shared" si="922"/>
        <v xml:space="preserve">: </v>
      </c>
      <c r="C1499" s="221"/>
      <c r="D1499" s="221"/>
      <c r="E1499" s="221"/>
      <c r="F1499" s="221"/>
      <c r="G1499" s="240"/>
      <c r="H1499" s="221"/>
      <c r="I1499" s="240"/>
      <c r="J1499" s="241"/>
      <c r="K1499" s="241"/>
      <c r="L1499" s="227"/>
      <c r="M1499" s="335" t="str">
        <f>'[1]Advanced Controls'!$H$99</f>
        <v>US$2014 per kg of protein</v>
      </c>
      <c r="N1499" s="227"/>
      <c r="O1499" s="227"/>
      <c r="P1499" s="122"/>
      <c r="Q1499" s="228"/>
      <c r="R1499" s="231" t="str">
        <f t="shared" si="935"/>
        <v/>
      </c>
      <c r="S1499" s="230" t="str">
        <f t="shared" si="923"/>
        <v/>
      </c>
      <c r="T1499" s="231" t="str">
        <f>IF(OR(Q1499="Y",IFERROR(R1499&gt;R1500+R1504*$AA$35,0),IFERROR(R1499&lt;R1500-R1504*$AA$35,0)),"",IFERROR(R1499*N1499,""))</f>
        <v/>
      </c>
      <c r="U1499" s="232" t="str">
        <f t="shared" si="924"/>
        <v>US$2014 per kg of protein</v>
      </c>
      <c r="V1499" s="28"/>
      <c r="W1499" s="28"/>
      <c r="Y1499" s="91"/>
      <c r="AO1499" s="91"/>
      <c r="AP1499" s="28"/>
      <c r="AQ1499" s="28"/>
      <c r="AR1499" s="237"/>
      <c r="AS1499" s="28"/>
      <c r="AT1499" s="304" t="str">
        <f t="shared" si="936"/>
        <v/>
      </c>
      <c r="AU1499" s="304" t="str">
        <f t="shared" si="936"/>
        <v/>
      </c>
      <c r="AV1499" s="28"/>
      <c r="AW1499" s="304" t="str">
        <f t="shared" si="926"/>
        <v/>
      </c>
      <c r="AX1499" s="304" t="str">
        <f t="shared" si="926"/>
        <v/>
      </c>
      <c r="AY1499" s="28"/>
      <c r="AZ1499" s="304" t="str">
        <f t="shared" si="927"/>
        <v/>
      </c>
      <c r="BA1499" s="304" t="str">
        <f t="shared" si="927"/>
        <v/>
      </c>
      <c r="BB1499" s="28"/>
      <c r="BC1499" s="304" t="str">
        <f t="shared" si="928"/>
        <v/>
      </c>
      <c r="BD1499" s="304" t="str">
        <f t="shared" si="928"/>
        <v/>
      </c>
      <c r="BE1499" s="28"/>
      <c r="BF1499" s="304" t="str">
        <f t="shared" si="929"/>
        <v/>
      </c>
      <c r="BG1499" s="304" t="str">
        <f t="shared" si="929"/>
        <v/>
      </c>
      <c r="BH1499" s="28"/>
      <c r="BI1499" s="304" t="str">
        <f t="shared" si="930"/>
        <v/>
      </c>
      <c r="BJ1499" s="304" t="str">
        <f t="shared" si="930"/>
        <v/>
      </c>
      <c r="BK1499" s="28"/>
      <c r="BL1499" s="304" t="str">
        <f t="shared" si="931"/>
        <v/>
      </c>
      <c r="BM1499" s="304" t="str">
        <f t="shared" si="931"/>
        <v/>
      </c>
      <c r="BN1499" s="28"/>
      <c r="BO1499" s="304" t="str">
        <f t="shared" si="932"/>
        <v/>
      </c>
      <c r="BP1499" s="304" t="str">
        <f t="shared" si="932"/>
        <v/>
      </c>
      <c r="BQ1499" s="28"/>
      <c r="BR1499" s="304" t="str">
        <f t="shared" si="933"/>
        <v/>
      </c>
      <c r="BS1499" s="304" t="str">
        <f t="shared" si="933"/>
        <v/>
      </c>
      <c r="BT1499" s="28"/>
      <c r="BU1499" s="304" t="str">
        <f t="shared" si="934"/>
        <v/>
      </c>
      <c r="BV1499" s="304" t="str">
        <f t="shared" si="934"/>
        <v/>
      </c>
      <c r="BW1499" s="28"/>
      <c r="BX1499" s="91"/>
    </row>
    <row r="1500" spans="1:76" s="55" customFormat="1" x14ac:dyDescent="0.25">
      <c r="A1500" s="195"/>
      <c r="B1500" s="244" t="s">
        <v>163</v>
      </c>
      <c r="C1500" s="199"/>
      <c r="D1500" s="199"/>
      <c r="E1500" s="199"/>
      <c r="F1500" s="199"/>
      <c r="H1500" s="28"/>
      <c r="I1500" s="245"/>
      <c r="J1500" s="122"/>
      <c r="K1500" s="122"/>
      <c r="L1500" s="122" t="s">
        <v>134</v>
      </c>
      <c r="M1500" s="122"/>
      <c r="N1500" s="122"/>
      <c r="O1500" s="122"/>
      <c r="P1500" s="122"/>
      <c r="Q1500" s="305" t="s">
        <v>136</v>
      </c>
      <c r="R1500" s="246" t="e">
        <f>AVERAGE(R1480:R1499)</f>
        <v>#DIV/0!</v>
      </c>
      <c r="S1500" s="247" t="e">
        <f>IF(R1508="Y",SUM(S1480:S1499)/SUMPRODUCT(N1480:N1499,--ISNUMBER(S1480:S1499)),AVERAGE(S1480:S1499))</f>
        <v>#DIV/0!</v>
      </c>
      <c r="T1500" s="248" t="e">
        <f>SUM(T1480:T1499)/SUMPRODUCT(N1480:N1499,--ISNUMBER(T1480:T1499))</f>
        <v>#DIV/0!</v>
      </c>
      <c r="U1500" s="28"/>
      <c r="V1500" s="28"/>
      <c r="W1500" s="28"/>
      <c r="Y1500" s="249"/>
      <c r="AO1500" s="91"/>
      <c r="AP1500" s="28"/>
      <c r="AQ1500" s="28"/>
      <c r="AR1500" s="28"/>
      <c r="AS1500" s="245" t="s">
        <v>136</v>
      </c>
      <c r="AT1500" s="307" t="e">
        <f>AVERAGE(AT1480:AT1499)</f>
        <v>#DIV/0!</v>
      </c>
      <c r="AU1500" s="307" t="e">
        <f>SUM(AU1480:AU1499)/COUNTIF(AU1480:AU1499,"&gt;0")</f>
        <v>#DIV/0!</v>
      </c>
      <c r="AV1500" s="245"/>
      <c r="AW1500" s="307" t="e">
        <f>AVERAGE(AW1480:AW1499)</f>
        <v>#DIV/0!</v>
      </c>
      <c r="AX1500" s="307" t="e">
        <f>SUM(AX1480:AX1499)/COUNTIF(AX1480:AX1499,"&gt;0")</f>
        <v>#DIV/0!</v>
      </c>
      <c r="AY1500" s="28"/>
      <c r="AZ1500" s="307" t="e">
        <f>AVERAGE(AZ1480:AZ1499)</f>
        <v>#DIV/0!</v>
      </c>
      <c r="BA1500" s="307" t="e">
        <f>SUM(BA1480:BA1499)/COUNTIF(BA1480:BA1499,"&gt;0")</f>
        <v>#DIV/0!</v>
      </c>
      <c r="BB1500" s="28"/>
      <c r="BC1500" s="307" t="e">
        <f>AVERAGE(BC1480:BC1499)</f>
        <v>#DIV/0!</v>
      </c>
      <c r="BD1500" s="307" t="e">
        <f>SUM(BD1480:BD1499)/COUNTIF(BD1480:BD1499,"&gt;0")</f>
        <v>#DIV/0!</v>
      </c>
      <c r="BE1500" s="28"/>
      <c r="BF1500" s="307" t="e">
        <f>AVERAGE(BF1480:BF1499)</f>
        <v>#DIV/0!</v>
      </c>
      <c r="BG1500" s="307" t="e">
        <f>SUM(BG1480:BG1499)/COUNTIF(BG1480:BG1499,"&gt;0")</f>
        <v>#DIV/0!</v>
      </c>
      <c r="BH1500" s="28"/>
      <c r="BI1500" s="307" t="e">
        <f>AVERAGE(BI1480:BI1499)</f>
        <v>#DIV/0!</v>
      </c>
      <c r="BJ1500" s="307" t="e">
        <f>SUM(BJ1480:BJ1499)/COUNTIF(BJ1480:BJ1499,"&gt;0")</f>
        <v>#DIV/0!</v>
      </c>
      <c r="BK1500" s="245"/>
      <c r="BL1500" s="307" t="e">
        <f>AVERAGE(BL1480:BL1499)</f>
        <v>#DIV/0!</v>
      </c>
      <c r="BM1500" s="307" t="e">
        <f>SUM(BM1480:BM1499)/COUNTIF(BM1480:BM1499,"&gt;0")</f>
        <v>#DIV/0!</v>
      </c>
      <c r="BN1500" s="28"/>
      <c r="BO1500" s="307" t="e">
        <f>AVERAGE(BO1480:BO1499)</f>
        <v>#DIV/0!</v>
      </c>
      <c r="BP1500" s="307" t="e">
        <f>SUM(BP1480:BP1499)/COUNTIF(BP1480:BP1499,"&gt;0")</f>
        <v>#DIV/0!</v>
      </c>
      <c r="BQ1500" s="28"/>
      <c r="BR1500" s="307" t="e">
        <f>AVERAGE(BR1480:BR1499)</f>
        <v>#DIV/0!</v>
      </c>
      <c r="BS1500" s="307" t="e">
        <f>SUM(BS1480:BS1499)/COUNTIF(BS1480:BS1499,"&gt;0")</f>
        <v>#DIV/0!</v>
      </c>
      <c r="BT1500" s="28"/>
      <c r="BU1500" s="307" t="e">
        <f>AVERAGE(BU1480:BU1499)</f>
        <v>#DIV/0!</v>
      </c>
      <c r="BV1500" s="307" t="e">
        <f>SUM(BV1480:BV1499)/COUNTIF(BV1480:BV1499,"&gt;0")</f>
        <v>#DIV/0!</v>
      </c>
      <c r="BW1500" s="28"/>
      <c r="BX1500" s="91"/>
    </row>
    <row r="1501" spans="1:76" s="55" customFormat="1" x14ac:dyDescent="0.25">
      <c r="A1501" s="195"/>
      <c r="B1501" s="244" t="s">
        <v>164</v>
      </c>
      <c r="C1501" s="199" t="s">
        <v>139</v>
      </c>
      <c r="D1501" s="252"/>
      <c r="E1501" s="253"/>
      <c r="F1501" s="253"/>
      <c r="G1501" s="253"/>
      <c r="H1501" s="253"/>
      <c r="I1501" s="253"/>
      <c r="J1501" s="254"/>
      <c r="K1501" s="122"/>
      <c r="L1501" s="122"/>
      <c r="M1501" s="122"/>
      <c r="N1501" s="122"/>
      <c r="O1501" s="122"/>
      <c r="P1501" s="122"/>
      <c r="Q1501" s="306" t="s">
        <v>144</v>
      </c>
      <c r="R1501" s="257" t="e">
        <f>R1500+U1501*R1504</f>
        <v>#DIV/0!</v>
      </c>
      <c r="S1501" s="257" t="e">
        <f>S1500+U1501*S1504</f>
        <v>#DIV/0!</v>
      </c>
      <c r="T1501" s="257" t="e">
        <f>T1500+U1501*T1504</f>
        <v>#DIV/0!</v>
      </c>
      <c r="U1501" s="258">
        <v>1</v>
      </c>
      <c r="V1501" s="122" t="s">
        <v>142</v>
      </c>
      <c r="W1501" s="28"/>
      <c r="X1501" s="259" t="s">
        <v>143</v>
      </c>
      <c r="Y1501" s="260"/>
      <c r="AO1501" s="91"/>
      <c r="AP1501" s="28"/>
      <c r="AQ1501" s="28"/>
      <c r="AR1501" s="28"/>
      <c r="AS1501" s="256" t="s">
        <v>144</v>
      </c>
      <c r="AT1501" s="261" t="e">
        <f>AT1500+(AT1506*AT1503)</f>
        <v>#DIV/0!</v>
      </c>
      <c r="AU1501" s="261" t="e">
        <f>AU1500+(AU1506*AT1503)</f>
        <v>#DIV/0!</v>
      </c>
      <c r="AV1501" s="256"/>
      <c r="AW1501" s="261" t="e">
        <f>AW1500+(AW1506*AW1503)</f>
        <v>#DIV/0!</v>
      </c>
      <c r="AX1501" s="261" t="e">
        <f>AX1500+(AX1506*AW1503)</f>
        <v>#DIV/0!</v>
      </c>
      <c r="AY1501" s="28"/>
      <c r="AZ1501" s="261" t="e">
        <f>AZ1500+(AZ1506*AZ1503)</f>
        <v>#DIV/0!</v>
      </c>
      <c r="BA1501" s="261" t="e">
        <f>BA1500+(BA1506*AZ1503)</f>
        <v>#DIV/0!</v>
      </c>
      <c r="BB1501" s="28"/>
      <c r="BC1501" s="261" t="e">
        <f>BC1500+(BC1506*BC1503)</f>
        <v>#DIV/0!</v>
      </c>
      <c r="BD1501" s="261" t="e">
        <f>BD1500+(BD1506*BC1503)</f>
        <v>#DIV/0!</v>
      </c>
      <c r="BE1501" s="28"/>
      <c r="BF1501" s="261" t="e">
        <f>BF1500+(BF1506*BF1503)</f>
        <v>#DIV/0!</v>
      </c>
      <c r="BG1501" s="261" t="e">
        <f>BG1500+(BG1506*BF1503)</f>
        <v>#DIV/0!</v>
      </c>
      <c r="BH1501" s="28"/>
      <c r="BI1501" s="261" t="e">
        <f>BI1500+(BI1506*BI1503)</f>
        <v>#DIV/0!</v>
      </c>
      <c r="BJ1501" s="261" t="e">
        <f>BJ1500+(BJ1506*BI1503)</f>
        <v>#DIV/0!</v>
      </c>
      <c r="BK1501" s="256"/>
      <c r="BL1501" s="261" t="e">
        <f>BL1500+(BL1506*BL1503)</f>
        <v>#DIV/0!</v>
      </c>
      <c r="BM1501" s="261" t="e">
        <f>BM1500+(BM1506*BL1503)</f>
        <v>#DIV/0!</v>
      </c>
      <c r="BN1501" s="28"/>
      <c r="BO1501" s="261" t="e">
        <f>BO1500+(BO1506*BO1503)</f>
        <v>#DIV/0!</v>
      </c>
      <c r="BP1501" s="261" t="e">
        <f>BP1500+(BP1506*BO1503)</f>
        <v>#DIV/0!</v>
      </c>
      <c r="BQ1501" s="28"/>
      <c r="BR1501" s="261" t="e">
        <f>BR1500+(BR1506*BR1503)</f>
        <v>#DIV/0!</v>
      </c>
      <c r="BS1501" s="261" t="e">
        <f>BS1500+(BS1506*BR1503)</f>
        <v>#DIV/0!</v>
      </c>
      <c r="BT1501" s="28"/>
      <c r="BU1501" s="261" t="e">
        <f>BU1500+(BU1506*BU1503)</f>
        <v>#DIV/0!</v>
      </c>
      <c r="BV1501" s="261" t="e">
        <f>BV1500+(BV1506*BU1503)</f>
        <v>#DIV/0!</v>
      </c>
      <c r="BW1501" s="28"/>
      <c r="BX1501" s="91"/>
    </row>
    <row r="1502" spans="1:76" s="55" customFormat="1" x14ac:dyDescent="0.25">
      <c r="A1502" s="195"/>
      <c r="B1502" s="244" t="s">
        <v>165</v>
      </c>
      <c r="C1502" s="195"/>
      <c r="D1502" s="263"/>
      <c r="E1502" s="264"/>
      <c r="F1502" s="264"/>
      <c r="G1502" s="264"/>
      <c r="H1502" s="264"/>
      <c r="I1502" s="264"/>
      <c r="J1502" s="265"/>
      <c r="K1502" s="28"/>
      <c r="L1502" s="28"/>
      <c r="M1502" s="122"/>
      <c r="N1502" s="122"/>
      <c r="O1502" s="122"/>
      <c r="P1502" s="122"/>
      <c r="Q1502" s="306" t="s">
        <v>150</v>
      </c>
      <c r="R1502" s="257" t="e">
        <f>IF($X1502="Y",MIN(R1480:R1499),R1500-$U1502*R1504)</f>
        <v>#DIV/0!</v>
      </c>
      <c r="S1502" s="257" t="e">
        <f>IF($X1502="Y",MIN(S1480:S1499),S1500-$U1502*S1504)</f>
        <v>#DIV/0!</v>
      </c>
      <c r="T1502" s="257" t="e">
        <f>IF($X1502="Y",MIN(T1480:T1499),T1500-$U1502*T1504)</f>
        <v>#DIV/0!</v>
      </c>
      <c r="U1502" s="258">
        <v>1</v>
      </c>
      <c r="V1502" s="122" t="s">
        <v>148</v>
      </c>
      <c r="W1502" s="28"/>
      <c r="X1502" s="266" t="s">
        <v>149</v>
      </c>
      <c r="Y1502" s="260"/>
      <c r="AO1502" s="91"/>
      <c r="AP1502" s="28"/>
      <c r="AQ1502" s="28"/>
      <c r="AR1502" s="28"/>
      <c r="AS1502" s="256" t="s">
        <v>150</v>
      </c>
      <c r="AT1502" s="261" t="e">
        <f>AT1500-(AT1506*AT1504)</f>
        <v>#DIV/0!</v>
      </c>
      <c r="AU1502" s="261" t="e">
        <f>AU1500-(AU1506*AT1504)</f>
        <v>#DIV/0!</v>
      </c>
      <c r="AV1502" s="256"/>
      <c r="AW1502" s="261" t="e">
        <f>AW1500-(AW1506*AW1504)</f>
        <v>#DIV/0!</v>
      </c>
      <c r="AX1502" s="261" t="e">
        <f>AX1500-(AX1506*AW1504)</f>
        <v>#DIV/0!</v>
      </c>
      <c r="AY1502" s="28"/>
      <c r="AZ1502" s="261" t="e">
        <f>AZ1500-(AZ1506*AZ1504)</f>
        <v>#DIV/0!</v>
      </c>
      <c r="BA1502" s="261" t="e">
        <f>BA1500-(BA1506*AZ1504)</f>
        <v>#DIV/0!</v>
      </c>
      <c r="BB1502" s="28"/>
      <c r="BC1502" s="261" t="e">
        <f>BC1500-(BC1506*BC1504)</f>
        <v>#DIV/0!</v>
      </c>
      <c r="BD1502" s="261" t="e">
        <f>BD1500-(BD1506*BC1504)</f>
        <v>#DIV/0!</v>
      </c>
      <c r="BE1502" s="28"/>
      <c r="BF1502" s="261" t="e">
        <f>BF1500-(BF1506*BF1504)</f>
        <v>#DIV/0!</v>
      </c>
      <c r="BG1502" s="261" t="e">
        <f>BG1500-(BG1506*BF1504)</f>
        <v>#DIV/0!</v>
      </c>
      <c r="BH1502" s="28"/>
      <c r="BI1502" s="261" t="e">
        <f>BI1500-(BI1506*BI1504)</f>
        <v>#DIV/0!</v>
      </c>
      <c r="BJ1502" s="261" t="e">
        <f>BJ1500-(BJ1506*BI1504)</f>
        <v>#DIV/0!</v>
      </c>
      <c r="BK1502" s="256"/>
      <c r="BL1502" s="261" t="e">
        <f>BL1500-(BL1506*BL1504)</f>
        <v>#DIV/0!</v>
      </c>
      <c r="BM1502" s="261" t="e">
        <f>BM1500-(BM1506*BL1504)</f>
        <v>#DIV/0!</v>
      </c>
      <c r="BN1502" s="28"/>
      <c r="BO1502" s="261" t="e">
        <f>BO1500-(BO1506*BO1504)</f>
        <v>#DIV/0!</v>
      </c>
      <c r="BP1502" s="261" t="e">
        <f>BP1500-(BP1506*BO1504)</f>
        <v>#DIV/0!</v>
      </c>
      <c r="BQ1502" s="28"/>
      <c r="BR1502" s="261" t="e">
        <f>BR1500-(BR1506*BR1504)</f>
        <v>#DIV/0!</v>
      </c>
      <c r="BS1502" s="261" t="e">
        <f>BS1500-(BS1506*BR1504)</f>
        <v>#DIV/0!</v>
      </c>
      <c r="BT1502" s="28"/>
      <c r="BU1502" s="261" t="e">
        <f>BU1500-(BU1506*BU1504)</f>
        <v>#DIV/0!</v>
      </c>
      <c r="BV1502" s="261" t="e">
        <f>BV1500-(BV1506*BU1504)</f>
        <v>#DIV/0!</v>
      </c>
      <c r="BW1502" s="28"/>
      <c r="BX1502" s="91"/>
    </row>
    <row r="1503" spans="1:76" s="55" customFormat="1" ht="14.25" x14ac:dyDescent="0.2">
      <c r="A1503" s="195"/>
      <c r="B1503" s="196"/>
      <c r="C1503" s="195"/>
      <c r="D1503" s="263"/>
      <c r="E1503" s="264"/>
      <c r="F1503" s="264"/>
      <c r="G1503" s="264"/>
      <c r="H1503" s="264"/>
      <c r="I1503" s="264"/>
      <c r="J1503" s="265"/>
      <c r="K1503" s="122"/>
      <c r="L1503" s="122"/>
      <c r="M1503" s="122"/>
      <c r="N1503" s="122"/>
      <c r="O1503" s="122"/>
      <c r="P1503" s="122"/>
      <c r="Q1503" s="306" t="s">
        <v>151</v>
      </c>
      <c r="R1503" s="257" t="e">
        <f>IF((0.67*R1504)&gt;R1500,"no","yes")</f>
        <v>#DIV/0!</v>
      </c>
      <c r="S1503" s="257" t="e">
        <f>IF((0.67*S1504)&gt;S1500,"no","yes")</f>
        <v>#DIV/0!</v>
      </c>
      <c r="T1503" s="257" t="e">
        <f>IF((0.67*T1504)&gt;T1500,"no","yes")</f>
        <v>#DIV/0!</v>
      </c>
      <c r="U1503" s="122"/>
      <c r="V1503" s="122"/>
      <c r="W1503" s="122"/>
      <c r="Y1503" s="260"/>
      <c r="AO1503" s="91"/>
      <c r="AP1503" s="122"/>
      <c r="AQ1503" s="122"/>
      <c r="AR1503" s="267" t="s">
        <v>152</v>
      </c>
      <c r="AS1503" s="268"/>
      <c r="AT1503" s="258">
        <v>1</v>
      </c>
      <c r="AU1503" s="122"/>
      <c r="AV1503" s="308"/>
      <c r="AW1503" s="258">
        <v>1</v>
      </c>
      <c r="AX1503" s="122"/>
      <c r="AY1503" s="122"/>
      <c r="AZ1503" s="258">
        <v>1</v>
      </c>
      <c r="BA1503" s="122"/>
      <c r="BB1503" s="122"/>
      <c r="BC1503" s="258">
        <v>1</v>
      </c>
      <c r="BD1503" s="122"/>
      <c r="BE1503" s="122"/>
      <c r="BF1503" s="258">
        <v>1</v>
      </c>
      <c r="BG1503" s="122"/>
      <c r="BH1503" s="122"/>
      <c r="BI1503" s="258">
        <v>1</v>
      </c>
      <c r="BJ1503" s="122"/>
      <c r="BK1503" s="256"/>
      <c r="BL1503" s="258">
        <v>1</v>
      </c>
      <c r="BM1503" s="122"/>
      <c r="BN1503" s="122"/>
      <c r="BO1503" s="258">
        <v>1</v>
      </c>
      <c r="BP1503" s="122"/>
      <c r="BQ1503" s="122"/>
      <c r="BR1503" s="258">
        <v>1</v>
      </c>
      <c r="BS1503" s="122"/>
      <c r="BT1503" s="122"/>
      <c r="BU1503" s="258">
        <v>1</v>
      </c>
      <c r="BV1503" s="122"/>
      <c r="BW1503" s="122"/>
      <c r="BX1503" s="91"/>
    </row>
    <row r="1504" spans="1:76" s="55" customFormat="1" ht="28.5" x14ac:dyDescent="0.2">
      <c r="A1504" s="195"/>
      <c r="B1504" s="196"/>
      <c r="C1504" s="195"/>
      <c r="D1504" s="263"/>
      <c r="E1504" s="264"/>
      <c r="F1504" s="264"/>
      <c r="G1504" s="264"/>
      <c r="H1504" s="264"/>
      <c r="I1504" s="264"/>
      <c r="J1504" s="265"/>
      <c r="K1504" s="122"/>
      <c r="L1504" s="122"/>
      <c r="M1504" s="122"/>
      <c r="N1504" s="122"/>
      <c r="O1504" s="122"/>
      <c r="P1504" s="122"/>
      <c r="Q1504" s="306" t="s">
        <v>157</v>
      </c>
      <c r="R1504" s="257">
        <f>IF(COUNT(R1480:R1499)&gt;1,_xlfn.STDEV.S(R1480:R1499),0)</f>
        <v>0</v>
      </c>
      <c r="S1504" s="257" t="e">
        <f t="array" ref="S1504">IF(R1508="Y",SQRT(SUM(IFERROR(N1480:N1499*(R1480:R1499-(S1500))^2,0))/((COUNT(S1480:S1499)-1)/COUNT(S1480:S1499)*SUMPRODUCT(N1480:N1499,--ISNUMBER(S1480:S1499)))),_xlfn.STDEV.S(S1480:S1499))</f>
        <v>#DIV/0!</v>
      </c>
      <c r="T1504" s="257" t="e">
        <f t="array" ref="T1504">SQRT(SUM(IFERROR(N1480:N1499*(R1480:R1499-(T1500))^2,0))/((COUNT(T1480:T1499)-1)/COUNT(T1480:T1499)*SUMPRODUCT(N1480:N1499,--ISNUMBER(T1480:T1499))))</f>
        <v>#DIV/0!</v>
      </c>
      <c r="U1504" s="122"/>
      <c r="V1504" s="122"/>
      <c r="W1504" s="122"/>
      <c r="Y1504" s="260"/>
      <c r="AO1504" s="91"/>
      <c r="AP1504" s="122"/>
      <c r="AQ1504" s="122"/>
      <c r="AR1504" s="267"/>
      <c r="AS1504" s="268"/>
      <c r="AT1504" s="258">
        <v>1</v>
      </c>
      <c r="AU1504" s="122"/>
      <c r="AV1504" s="308"/>
      <c r="AW1504" s="258">
        <v>1</v>
      </c>
      <c r="AX1504" s="122"/>
      <c r="AY1504" s="122"/>
      <c r="AZ1504" s="258">
        <v>1</v>
      </c>
      <c r="BA1504" s="122"/>
      <c r="BB1504" s="122"/>
      <c r="BC1504" s="258">
        <v>1</v>
      </c>
      <c r="BD1504" s="122"/>
      <c r="BE1504" s="122"/>
      <c r="BF1504" s="258">
        <v>1</v>
      </c>
      <c r="BG1504" s="122"/>
      <c r="BH1504" s="122"/>
      <c r="BI1504" s="258">
        <v>1</v>
      </c>
      <c r="BJ1504" s="122"/>
      <c r="BK1504" s="256"/>
      <c r="BL1504" s="258">
        <v>1</v>
      </c>
      <c r="BM1504" s="122"/>
      <c r="BN1504" s="122"/>
      <c r="BO1504" s="258">
        <v>1</v>
      </c>
      <c r="BP1504" s="122"/>
      <c r="BQ1504" s="122"/>
      <c r="BR1504" s="258">
        <v>1</v>
      </c>
      <c r="BS1504" s="122"/>
      <c r="BT1504" s="122"/>
      <c r="BU1504" s="258">
        <v>1</v>
      </c>
      <c r="BV1504" s="122"/>
      <c r="BW1504" s="122"/>
      <c r="BX1504" s="91"/>
    </row>
    <row r="1505" spans="1:76" s="55" customFormat="1" ht="15" customHeight="1" x14ac:dyDescent="0.25">
      <c r="A1505" s="122"/>
      <c r="B1505" s="118"/>
      <c r="C1505" s="195"/>
      <c r="D1505" s="263"/>
      <c r="E1505" s="264"/>
      <c r="F1505" s="264"/>
      <c r="G1505" s="264"/>
      <c r="H1505" s="264"/>
      <c r="I1505" s="264"/>
      <c r="J1505" s="265"/>
      <c r="K1505" s="122"/>
      <c r="L1505" s="122"/>
      <c r="M1505" s="122"/>
      <c r="N1505" s="122"/>
      <c r="O1505" s="122"/>
      <c r="P1505" s="122"/>
      <c r="Q1505" s="309" t="s">
        <v>159</v>
      </c>
      <c r="R1505" s="310">
        <f>COUNT(R1480:R1499)</f>
        <v>0</v>
      </c>
      <c r="S1505" s="310">
        <f>COUNT(S1480:S1499)</f>
        <v>0</v>
      </c>
      <c r="T1505" s="118"/>
      <c r="U1505" s="273" t="s">
        <v>155</v>
      </c>
      <c r="V1505" s="122"/>
      <c r="W1505" s="122"/>
      <c r="Y1505" s="91"/>
      <c r="AO1505" s="91"/>
      <c r="AP1505" s="122"/>
      <c r="AQ1505" s="122"/>
      <c r="AR1505" s="122"/>
      <c r="AS1505" s="256" t="s">
        <v>151</v>
      </c>
      <c r="AT1505" s="261" t="e">
        <f>IF((0.67*AT1506)&gt;AT1500,"no","yes")</f>
        <v>#DIV/0!</v>
      </c>
      <c r="AU1505" s="261" t="e">
        <f>IF((0.67*AU1506)&gt;AU1500,"no","yes")</f>
        <v>#DIV/0!</v>
      </c>
      <c r="AV1505" s="256"/>
      <c r="AW1505" s="261" t="e">
        <f>IF((0.67*AW1506)&gt;AW1500,"no","yes")</f>
        <v>#DIV/0!</v>
      </c>
      <c r="AX1505" s="261" t="e">
        <f>IF((0.67*AX1506)&gt;AX1500,"no","yes")</f>
        <v>#DIV/0!</v>
      </c>
      <c r="AY1505" s="122"/>
      <c r="AZ1505" s="261" t="e">
        <f>IF((0.67*AZ1506)&gt;AZ1500,"no","yes")</f>
        <v>#DIV/0!</v>
      </c>
      <c r="BA1505" s="261" t="e">
        <f>IF((0.67*BA1506)&gt;BA1500,"no","yes")</f>
        <v>#DIV/0!</v>
      </c>
      <c r="BB1505" s="122"/>
      <c r="BC1505" s="261" t="e">
        <f>IF((0.67*BC1506)&gt;BC1500,"no","yes")</f>
        <v>#DIV/0!</v>
      </c>
      <c r="BD1505" s="261" t="e">
        <f>IF((0.67*BD1506)&gt;BD1500,"no","yes")</f>
        <v>#DIV/0!</v>
      </c>
      <c r="BE1505" s="122"/>
      <c r="BF1505" s="261" t="e">
        <f>IF((0.67*BF1506)&gt;BF1500,"no","yes")</f>
        <v>#DIV/0!</v>
      </c>
      <c r="BG1505" s="261" t="e">
        <f>IF((0.67*BG1506)&gt;BG1500,"no","yes")</f>
        <v>#DIV/0!</v>
      </c>
      <c r="BH1505" s="122"/>
      <c r="BI1505" s="261" t="e">
        <f>IF((0.67*BI1506)&gt;BI1500,"no","yes")</f>
        <v>#DIV/0!</v>
      </c>
      <c r="BJ1505" s="261" t="e">
        <f>IF((0.67*BJ1506)&gt;BJ1500,"no","yes")</f>
        <v>#DIV/0!</v>
      </c>
      <c r="BK1505" s="133"/>
      <c r="BL1505" s="261" t="e">
        <f>IF((0.67*BL1506)&gt;BL1500,"no","yes")</f>
        <v>#DIV/0!</v>
      </c>
      <c r="BM1505" s="261" t="e">
        <f>IF((0.67*BM1506)&gt;BM1500,"no","yes")</f>
        <v>#DIV/0!</v>
      </c>
      <c r="BN1505" s="122"/>
      <c r="BO1505" s="261" t="e">
        <f>IF((0.67*BO1506)&gt;BO1500,"no","yes")</f>
        <v>#DIV/0!</v>
      </c>
      <c r="BP1505" s="261" t="e">
        <f>IF((0.67*BP1506)&gt;BP1500,"no","yes")</f>
        <v>#DIV/0!</v>
      </c>
      <c r="BQ1505" s="122"/>
      <c r="BR1505" s="261" t="e">
        <f>IF((0.67*BR1506)&gt;BR1500,"no","yes")</f>
        <v>#DIV/0!</v>
      </c>
      <c r="BS1505" s="261" t="e">
        <f>IF((0.67*BS1506)&gt;BS1500,"no","yes")</f>
        <v>#DIV/0!</v>
      </c>
      <c r="BT1505" s="122"/>
      <c r="BU1505" s="261" t="e">
        <f>IF((0.67*BU1506)&gt;BU1500,"no","yes")</f>
        <v>#DIV/0!</v>
      </c>
      <c r="BV1505" s="261" t="e">
        <f>IF((0.67*BV1506)&gt;BV1500,"no","yes")</f>
        <v>#DIV/0!</v>
      </c>
      <c r="BW1505" s="122"/>
      <c r="BX1505" s="91"/>
    </row>
    <row r="1506" spans="1:76" s="55" customFormat="1" ht="14.25" x14ac:dyDescent="0.2">
      <c r="B1506" s="23"/>
      <c r="C1506" s="195"/>
      <c r="D1506" s="263"/>
      <c r="E1506" s="264"/>
      <c r="F1506" s="264"/>
      <c r="G1506" s="264"/>
      <c r="H1506" s="264"/>
      <c r="I1506" s="264"/>
      <c r="J1506" s="265"/>
      <c r="K1506" s="122"/>
      <c r="L1506" s="122"/>
      <c r="M1506" s="122"/>
      <c r="N1506" s="122"/>
      <c r="O1506" s="122"/>
      <c r="P1506" s="122"/>
      <c r="Q1506" s="311"/>
      <c r="R1506" s="389"/>
      <c r="S1506" s="118"/>
      <c r="T1506" s="118"/>
      <c r="U1506" s="274"/>
      <c r="V1506" s="275"/>
      <c r="W1506" s="276"/>
      <c r="Y1506" s="91"/>
      <c r="AO1506" s="91"/>
      <c r="AP1506" s="122"/>
      <c r="AQ1506" s="122"/>
      <c r="AR1506" s="122"/>
      <c r="AS1506" s="256" t="s">
        <v>157</v>
      </c>
      <c r="AT1506" s="261">
        <f>IF(AT1507&gt;1,_xlfn.STDEV.S(AT1480:AT1499),0)</f>
        <v>0</v>
      </c>
      <c r="AU1506" s="261">
        <f>IF(AU1507&gt;1,_xlfn.STDEV.S(AU1480:AU1499),0)</f>
        <v>0</v>
      </c>
      <c r="AV1506" s="122"/>
      <c r="AW1506" s="261">
        <f t="shared" ref="AW1506:AX1506" si="937">IF(AW1507&gt;1,_xlfn.STDEV.S(AW1480:AW1499),0)</f>
        <v>0</v>
      </c>
      <c r="AX1506" s="261">
        <f t="shared" si="937"/>
        <v>0</v>
      </c>
      <c r="AY1506" s="122"/>
      <c r="AZ1506" s="261">
        <f t="shared" ref="AZ1506:BA1506" si="938">IF(AZ1507&gt;1,_xlfn.STDEV.S(AZ1480:AZ1499),0)</f>
        <v>0</v>
      </c>
      <c r="BA1506" s="261">
        <f t="shared" si="938"/>
        <v>0</v>
      </c>
      <c r="BB1506" s="122"/>
      <c r="BC1506" s="261">
        <f t="shared" ref="BC1506:BD1506" si="939">IF(BC1507&gt;1,_xlfn.STDEV.S(BC1480:BC1499),0)</f>
        <v>0</v>
      </c>
      <c r="BD1506" s="261">
        <f t="shared" si="939"/>
        <v>0</v>
      </c>
      <c r="BE1506" s="122"/>
      <c r="BF1506" s="261">
        <f t="shared" ref="BF1506:BG1506" si="940">IF(BF1507&gt;1,_xlfn.STDEV.S(BF1480:BF1499),0)</f>
        <v>0</v>
      </c>
      <c r="BG1506" s="261">
        <f t="shared" si="940"/>
        <v>0</v>
      </c>
      <c r="BH1506" s="122"/>
      <c r="BI1506" s="261">
        <f t="shared" ref="BI1506:BJ1506" si="941">IF(BI1507&gt;1,_xlfn.STDEV.S(BI1480:BI1499),0)</f>
        <v>0</v>
      </c>
      <c r="BJ1506" s="261">
        <f t="shared" si="941"/>
        <v>0</v>
      </c>
      <c r="BK1506" s="122"/>
      <c r="BL1506" s="261">
        <f t="shared" ref="BL1506:BM1506" si="942">IF(BL1507&gt;1,_xlfn.STDEV.S(BL1480:BL1499),0)</f>
        <v>0</v>
      </c>
      <c r="BM1506" s="261">
        <f t="shared" si="942"/>
        <v>0</v>
      </c>
      <c r="BN1506" s="122"/>
      <c r="BO1506" s="261">
        <f t="shared" ref="BO1506:BP1506" si="943">IF(BO1507&gt;1,_xlfn.STDEV.S(BO1480:BO1499),0)</f>
        <v>0</v>
      </c>
      <c r="BP1506" s="261">
        <f t="shared" si="943"/>
        <v>0</v>
      </c>
      <c r="BQ1506" s="122"/>
      <c r="BR1506" s="261">
        <f t="shared" ref="BR1506:BS1506" si="944">IF(BR1507&gt;1,_xlfn.STDEV.S(BR1480:BR1499),0)</f>
        <v>0</v>
      </c>
      <c r="BS1506" s="261">
        <f t="shared" si="944"/>
        <v>0</v>
      </c>
      <c r="BT1506" s="122"/>
      <c r="BU1506" s="261">
        <f t="shared" ref="BU1506:BV1506" si="945">IF(BU1507&gt;1,_xlfn.STDEV.S(BU1480:BU1499),0)</f>
        <v>0</v>
      </c>
      <c r="BV1506" s="261">
        <f t="shared" si="945"/>
        <v>0</v>
      </c>
      <c r="BW1506" s="122"/>
      <c r="BX1506" s="91"/>
    </row>
    <row r="1507" spans="1:76" s="55" customFormat="1" x14ac:dyDescent="0.2">
      <c r="B1507" s="23"/>
      <c r="C1507" s="195"/>
      <c r="D1507" s="277"/>
      <c r="E1507" s="278"/>
      <c r="F1507" s="278"/>
      <c r="G1507" s="278"/>
      <c r="H1507" s="278"/>
      <c r="I1507" s="278"/>
      <c r="J1507" s="279"/>
      <c r="K1507" s="122"/>
      <c r="L1507" s="122"/>
      <c r="M1507" s="122"/>
      <c r="N1507" s="122"/>
      <c r="O1507" s="122"/>
      <c r="P1507" s="122"/>
      <c r="Q1507" s="311"/>
      <c r="R1507" s="362" t="s">
        <v>158</v>
      </c>
      <c r="S1507" s="122"/>
      <c r="T1507" s="122"/>
      <c r="U1507" s="281"/>
      <c r="V1507" s="282"/>
      <c r="W1507" s="283"/>
      <c r="Y1507" s="91"/>
      <c r="AO1507" s="91"/>
      <c r="AP1507" s="122"/>
      <c r="AQ1507" s="122"/>
      <c r="AR1507" s="122"/>
      <c r="AS1507" s="133" t="s">
        <v>159</v>
      </c>
      <c r="AT1507" s="284">
        <f>COUNT(AT1480:AT1499)</f>
        <v>0</v>
      </c>
      <c r="AU1507" s="284">
        <f>COUNT(AU1480:AU1499)</f>
        <v>0</v>
      </c>
      <c r="AV1507" s="122"/>
      <c r="AW1507" s="284">
        <f t="shared" ref="AW1507:AX1507" si="946">COUNT(AW1480:AW1499)</f>
        <v>0</v>
      </c>
      <c r="AX1507" s="284">
        <f t="shared" si="946"/>
        <v>0</v>
      </c>
      <c r="AY1507" s="122"/>
      <c r="AZ1507" s="284">
        <f t="shared" ref="AZ1507:BA1507" si="947">COUNT(AZ1480:AZ1499)</f>
        <v>0</v>
      </c>
      <c r="BA1507" s="284">
        <f t="shared" si="947"/>
        <v>0</v>
      </c>
      <c r="BB1507" s="122"/>
      <c r="BC1507" s="284">
        <f t="shared" ref="BC1507:BD1507" si="948">COUNT(BC1480:BC1499)</f>
        <v>0</v>
      </c>
      <c r="BD1507" s="284">
        <f t="shared" si="948"/>
        <v>0</v>
      </c>
      <c r="BE1507" s="122"/>
      <c r="BF1507" s="284">
        <f t="shared" ref="BF1507:BG1507" si="949">COUNT(BF1480:BF1499)</f>
        <v>0</v>
      </c>
      <c r="BG1507" s="284">
        <f t="shared" si="949"/>
        <v>0</v>
      </c>
      <c r="BH1507" s="122"/>
      <c r="BI1507" s="284">
        <f t="shared" ref="BI1507:BJ1507" si="950">COUNT(BI1480:BI1499)</f>
        <v>0</v>
      </c>
      <c r="BJ1507" s="284">
        <f t="shared" si="950"/>
        <v>0</v>
      </c>
      <c r="BK1507" s="122"/>
      <c r="BL1507" s="284">
        <f t="shared" ref="BL1507:BM1507" si="951">COUNT(BL1480:BL1499)</f>
        <v>0</v>
      </c>
      <c r="BM1507" s="284">
        <f t="shared" si="951"/>
        <v>0</v>
      </c>
      <c r="BN1507" s="122"/>
      <c r="BO1507" s="284">
        <f t="shared" ref="BO1507:BP1507" si="952">COUNT(BO1480:BO1499)</f>
        <v>0</v>
      </c>
      <c r="BP1507" s="284">
        <f t="shared" si="952"/>
        <v>0</v>
      </c>
      <c r="BQ1507" s="122"/>
      <c r="BR1507" s="284">
        <f t="shared" ref="BR1507:BS1507" si="953">COUNT(BR1480:BR1499)</f>
        <v>0</v>
      </c>
      <c r="BS1507" s="284">
        <f t="shared" si="953"/>
        <v>0</v>
      </c>
      <c r="BT1507" s="122"/>
      <c r="BU1507" s="284">
        <f t="shared" ref="BU1507:BV1507" si="954">COUNT(BU1480:BU1499)</f>
        <v>0</v>
      </c>
      <c r="BV1507" s="284">
        <f t="shared" si="954"/>
        <v>0</v>
      </c>
      <c r="BW1507" s="122"/>
      <c r="BX1507" s="91"/>
    </row>
    <row r="1508" spans="1:76" s="55" customFormat="1" ht="14.25" x14ac:dyDescent="0.2">
      <c r="B1508" s="23"/>
      <c r="C1508" s="195"/>
      <c r="D1508" s="122"/>
      <c r="E1508" s="122"/>
      <c r="F1508" s="122"/>
      <c r="G1508" s="122"/>
      <c r="H1508" s="122"/>
      <c r="I1508" s="122"/>
      <c r="J1508" s="122"/>
      <c r="K1508" s="122"/>
      <c r="L1508" s="122"/>
      <c r="M1508" s="122"/>
      <c r="N1508" s="122"/>
      <c r="O1508" s="122"/>
      <c r="P1508" s="122"/>
      <c r="Q1508" s="311"/>
      <c r="R1508" s="287" t="s">
        <v>149</v>
      </c>
      <c r="S1508" s="122"/>
      <c r="T1508" s="122"/>
      <c r="U1508" s="281"/>
      <c r="V1508" s="282"/>
      <c r="W1508" s="283"/>
      <c r="Y1508" s="91"/>
      <c r="AO1508" s="91"/>
      <c r="AV1508" s="133"/>
      <c r="BX1508" s="91"/>
    </row>
    <row r="1509" spans="1:76" s="55" customFormat="1" ht="14.25" x14ac:dyDescent="0.2">
      <c r="B1509" s="23"/>
      <c r="C1509" s="195"/>
      <c r="D1509" s="122"/>
      <c r="E1509" s="122"/>
      <c r="F1509" s="122"/>
      <c r="G1509" s="122"/>
      <c r="H1509" s="122"/>
      <c r="I1509" s="122"/>
      <c r="J1509" s="122"/>
      <c r="K1509" s="122"/>
      <c r="L1509" s="122"/>
      <c r="M1509" s="122"/>
      <c r="N1509" s="122"/>
      <c r="O1509" s="122"/>
      <c r="P1509" s="122"/>
      <c r="Q1509" s="311"/>
      <c r="R1509" s="122"/>
      <c r="S1509" s="122"/>
      <c r="T1509" s="122"/>
      <c r="U1509" s="288"/>
      <c r="V1509" s="289"/>
      <c r="W1509" s="290"/>
      <c r="Y1509" s="91"/>
      <c r="AO1509" s="91"/>
      <c r="BX1509" s="91"/>
    </row>
    <row r="1510" spans="1:76" s="55" customFormat="1" ht="18" x14ac:dyDescent="0.25">
      <c r="A1510" s="270" t="e">
        <f ca="1">HYPERLINK("#"&amp;"'"&amp;A$1&amp;"'!a1","Back to top")</f>
        <v>#VALUE!</v>
      </c>
      <c r="B1510" s="271"/>
      <c r="C1510" s="122"/>
      <c r="Q1510" s="81"/>
      <c r="T1510" s="122"/>
      <c r="U1510" s="122"/>
      <c r="V1510" s="122"/>
      <c r="W1510" s="122"/>
      <c r="Y1510" s="91"/>
      <c r="AO1510" s="296"/>
      <c r="AP1510" s="345"/>
      <c r="AQ1510" s="345"/>
      <c r="AR1510" s="346"/>
      <c r="AS1510" s="346"/>
      <c r="AT1510" s="346"/>
      <c r="AU1510" s="346"/>
      <c r="AV1510" s="346"/>
      <c r="AW1510" s="346"/>
      <c r="AX1510" s="346"/>
      <c r="AY1510" s="346"/>
      <c r="AZ1510" s="346"/>
      <c r="BA1510" s="346"/>
      <c r="BB1510" s="346"/>
      <c r="BC1510" s="346"/>
      <c r="BD1510" s="346"/>
      <c r="BE1510" s="346"/>
      <c r="BF1510" s="346"/>
      <c r="BG1510" s="346"/>
      <c r="BH1510" s="346"/>
      <c r="BI1510" s="346"/>
      <c r="BJ1510" s="346"/>
      <c r="BK1510" s="346"/>
      <c r="BL1510" s="346"/>
      <c r="BM1510" s="346"/>
      <c r="BN1510" s="346"/>
      <c r="BO1510" s="346"/>
      <c r="BP1510" s="346"/>
      <c r="BQ1510" s="346"/>
      <c r="BR1510" s="346"/>
      <c r="BS1510" s="346"/>
      <c r="BT1510" s="346"/>
      <c r="BU1510" s="346"/>
      <c r="BV1510" s="346"/>
      <c r="BW1510" s="346"/>
      <c r="BX1510" s="296"/>
    </row>
    <row r="1511" spans="1:76" s="55" customFormat="1" ht="14.25" x14ac:dyDescent="0.2">
      <c r="B1511" s="23"/>
      <c r="Q1511" s="81"/>
      <c r="Y1511" s="91"/>
      <c r="AO1511" s="91"/>
      <c r="BX1511" s="91"/>
    </row>
    <row r="1512" spans="1:76" s="55" customFormat="1" ht="14.25" x14ac:dyDescent="0.2">
      <c r="B1512" s="23"/>
      <c r="Q1512" s="81"/>
      <c r="Y1512" s="91"/>
      <c r="AO1512" s="91"/>
      <c r="BX1512" s="91"/>
    </row>
    <row r="1513" spans="1:76" s="9" customFormat="1" ht="18" x14ac:dyDescent="0.25">
      <c r="A1513" s="188">
        <f>A1477+1</f>
        <v>24</v>
      </c>
      <c r="B1513" s="189"/>
      <c r="C1513" s="293" t="s">
        <v>763</v>
      </c>
      <c r="D1513" s="191"/>
      <c r="E1513" s="191"/>
      <c r="F1513" s="191"/>
      <c r="G1513" s="191"/>
      <c r="J1513" s="191"/>
      <c r="K1513" s="191"/>
      <c r="L1513" s="192"/>
      <c r="M1513" s="192"/>
      <c r="N1513" s="192"/>
      <c r="Q1513" s="193"/>
      <c r="R1513" s="194" t="s">
        <v>93</v>
      </c>
      <c r="S1513" s="194"/>
      <c r="T1513" s="194"/>
      <c r="U1513" s="194"/>
      <c r="AP1513" s="175">
        <f>A1513</f>
        <v>24</v>
      </c>
      <c r="AQ1513" s="175" t="str">
        <f>C1513</f>
        <v>SOLUTION Revenue per Functional Unit</v>
      </c>
    </row>
    <row r="1514" spans="1:76" s="55" customFormat="1" x14ac:dyDescent="0.25">
      <c r="A1514" s="195"/>
      <c r="B1514" s="196"/>
      <c r="C1514" s="195"/>
      <c r="D1514" s="120"/>
      <c r="E1514" s="120"/>
      <c r="F1514" s="120"/>
      <c r="G1514" s="120"/>
      <c r="J1514" s="120"/>
      <c r="K1514" s="120"/>
      <c r="L1514" s="122"/>
      <c r="M1514" s="122"/>
      <c r="N1514" s="122"/>
      <c r="Q1514" s="81"/>
      <c r="Y1514" s="91"/>
      <c r="AO1514" s="91"/>
      <c r="AP1514" s="28"/>
      <c r="AQ1514" s="28"/>
      <c r="AR1514" s="28"/>
      <c r="AS1514" s="28"/>
      <c r="AT1514" s="198" t="s">
        <v>171</v>
      </c>
      <c r="AU1514" s="198"/>
      <c r="AV1514" s="28"/>
      <c r="AW1514" s="198" t="s">
        <v>96</v>
      </c>
      <c r="AX1514" s="198"/>
      <c r="AY1514" s="28"/>
      <c r="AZ1514" s="198" t="s">
        <v>97</v>
      </c>
      <c r="BA1514" s="198"/>
      <c r="BB1514" s="28"/>
      <c r="BC1514" s="198" t="s">
        <v>98</v>
      </c>
      <c r="BD1514" s="198"/>
      <c r="BE1514" s="28"/>
      <c r="BF1514" s="198" t="s">
        <v>99</v>
      </c>
      <c r="BG1514" s="198"/>
      <c r="BH1514" s="28"/>
      <c r="BI1514" s="198" t="s">
        <v>100</v>
      </c>
      <c r="BJ1514" s="198"/>
      <c r="BK1514" s="28"/>
      <c r="BL1514" s="198" t="s">
        <v>101</v>
      </c>
      <c r="BM1514" s="198"/>
      <c r="BN1514" s="28"/>
      <c r="BO1514" s="198" t="s">
        <v>102</v>
      </c>
      <c r="BP1514" s="198"/>
      <c r="BQ1514" s="28"/>
      <c r="BR1514" s="198" t="s">
        <v>103</v>
      </c>
      <c r="BS1514" s="198"/>
      <c r="BT1514" s="28"/>
      <c r="BU1514" s="198" t="s">
        <v>104</v>
      </c>
      <c r="BV1514" s="198"/>
      <c r="BW1514" s="28"/>
      <c r="BX1514" s="91"/>
    </row>
    <row r="1515" spans="1:76" s="55" customFormat="1" ht="30.75" thickBot="1" x14ac:dyDescent="0.3">
      <c r="A1515" s="199" t="s">
        <v>105</v>
      </c>
      <c r="B1515" s="200" t="s">
        <v>106</v>
      </c>
      <c r="C1515" s="201" t="s">
        <v>107</v>
      </c>
      <c r="D1515" s="202" t="s">
        <v>108</v>
      </c>
      <c r="E1515" s="202" t="s">
        <v>109</v>
      </c>
      <c r="F1515" s="201" t="s">
        <v>110</v>
      </c>
      <c r="G1515" s="201" t="s">
        <v>111</v>
      </c>
      <c r="H1515" s="202" t="s">
        <v>112</v>
      </c>
      <c r="I1515" s="203" t="s">
        <v>113</v>
      </c>
      <c r="J1515" s="204" t="s">
        <v>114</v>
      </c>
      <c r="K1515" s="205" t="s">
        <v>115</v>
      </c>
      <c r="L1515" s="206" t="s">
        <v>116</v>
      </c>
      <c r="M1515" s="207" t="s">
        <v>117</v>
      </c>
      <c r="N1515" s="208" t="s">
        <v>118</v>
      </c>
      <c r="O1515" s="207" t="s">
        <v>119</v>
      </c>
      <c r="P1515" s="210"/>
      <c r="Q1515" s="211" t="s">
        <v>120</v>
      </c>
      <c r="R1515" s="212" t="s">
        <v>121</v>
      </c>
      <c r="S1515" s="212" t="s">
        <v>122</v>
      </c>
      <c r="T1515" s="212" t="s">
        <v>123</v>
      </c>
      <c r="U1515" s="213" t="s">
        <v>124</v>
      </c>
      <c r="V1515" s="210"/>
      <c r="W1515" s="210"/>
      <c r="Y1515" s="91"/>
      <c r="AO1515" s="91"/>
      <c r="AP1515" s="210"/>
      <c r="AQ1515" s="210"/>
      <c r="AR1515" s="213" t="s">
        <v>125</v>
      </c>
      <c r="AS1515" s="210"/>
      <c r="AT1515" s="215" t="s">
        <v>121</v>
      </c>
      <c r="AU1515" s="215" t="s">
        <v>122</v>
      </c>
      <c r="AV1515" s="210"/>
      <c r="AW1515" s="215" t="s">
        <v>121</v>
      </c>
      <c r="AX1515" s="215" t="s">
        <v>122</v>
      </c>
      <c r="AY1515" s="210"/>
      <c r="AZ1515" s="215" t="s">
        <v>121</v>
      </c>
      <c r="BA1515" s="215" t="s">
        <v>122</v>
      </c>
      <c r="BB1515" s="210"/>
      <c r="BC1515" s="215" t="s">
        <v>121</v>
      </c>
      <c r="BD1515" s="215" t="s">
        <v>122</v>
      </c>
      <c r="BE1515" s="210"/>
      <c r="BF1515" s="215" t="s">
        <v>121</v>
      </c>
      <c r="BG1515" s="215" t="s">
        <v>122</v>
      </c>
      <c r="BH1515" s="210"/>
      <c r="BI1515" s="215" t="s">
        <v>121</v>
      </c>
      <c r="BJ1515" s="215" t="s">
        <v>122</v>
      </c>
      <c r="BK1515" s="210"/>
      <c r="BL1515" s="215" t="s">
        <v>121</v>
      </c>
      <c r="BM1515" s="215" t="s">
        <v>122</v>
      </c>
      <c r="BN1515" s="210"/>
      <c r="BO1515" s="215" t="s">
        <v>121</v>
      </c>
      <c r="BP1515" s="215" t="s">
        <v>122</v>
      </c>
      <c r="BQ1515" s="210"/>
      <c r="BR1515" s="215" t="s">
        <v>121</v>
      </c>
      <c r="BS1515" s="215" t="s">
        <v>122</v>
      </c>
      <c r="BT1515" s="210"/>
      <c r="BU1515" s="215" t="s">
        <v>121</v>
      </c>
      <c r="BV1515" s="215" t="s">
        <v>122</v>
      </c>
      <c r="BW1515" s="210"/>
      <c r="BX1515" s="91"/>
    </row>
    <row r="1516" spans="1:76" s="55" customFormat="1" x14ac:dyDescent="0.25">
      <c r="A1516" s="195">
        <v>1</v>
      </c>
      <c r="B1516" s="216" t="str">
        <f t="shared" ref="B1516:B1535" si="955">CONCATENATE(E1516,": ",C1516)</f>
        <v xml:space="preserve">: </v>
      </c>
      <c r="C1516" s="219"/>
      <c r="D1516" s="219"/>
      <c r="E1516" s="219"/>
      <c r="F1516" s="219"/>
      <c r="G1516" s="220"/>
      <c r="H1516" s="221"/>
      <c r="I1516" s="220"/>
      <c r="J1516" s="227"/>
      <c r="K1516" s="226"/>
      <c r="L1516" s="227"/>
      <c r="M1516" s="335" t="str">
        <f>'[1]Advanced Controls'!$H$99</f>
        <v>US$2014 per kg of protein</v>
      </c>
      <c r="N1516" s="227"/>
      <c r="O1516" s="227"/>
      <c r="P1516" s="122"/>
      <c r="Q1516" s="228"/>
      <c r="R1516" s="231" t="str">
        <f>IF(Q1516="Y","",IF(AND(L1516="",J1516=""),"",IF(L1516="",J1516,L1516)))</f>
        <v/>
      </c>
      <c r="S1516" s="230" t="str">
        <f t="shared" ref="S1516:S1535" si="956">IF(R1516="","",IF($R$1544="Y",T1516,IF(R1516&gt;=$R$1536-$AA$35*$R$1540,IF(R1516&lt;=$R$1536+$AA$35*$R$1540,R1516,""),"")))</f>
        <v/>
      </c>
      <c r="T1516" s="231" t="str">
        <f>IF(OR(Q1516="Y",IFERROR(R1516&gt;R1536+R1540*$AA$35,0),IFERROR(R1516&lt;R1536-R1540*$AA$35,0)),"",IFERROR(R1516*N1516,""))</f>
        <v/>
      </c>
      <c r="U1516" s="232" t="str">
        <f t="shared" ref="U1516:U1535" si="957">IF(AND(M1516="",K1516=""),"",IF(M1516="",K1516,M1516))</f>
        <v>US$2014 per kg of protein</v>
      </c>
      <c r="V1516" s="28"/>
      <c r="W1516" s="28"/>
      <c r="Y1516" s="91"/>
      <c r="AO1516" s="91"/>
      <c r="AP1516" s="28"/>
      <c r="AQ1516" s="28"/>
      <c r="AR1516" s="233" t="str">
        <f>$U1516</f>
        <v>US$2014 per kg of protein</v>
      </c>
      <c r="AS1516" s="28"/>
      <c r="AT1516" s="304" t="str">
        <f t="shared" ref="AT1516:AU1535" si="958">IF($E1516=$AT$47,R1516,"")</f>
        <v/>
      </c>
      <c r="AU1516" s="304" t="str">
        <f t="shared" si="958"/>
        <v/>
      </c>
      <c r="AV1516" s="28"/>
      <c r="AW1516" s="304" t="str">
        <f t="shared" ref="AW1516:AX1535" si="959">IF($E1516=$AW$83,R1516,"")</f>
        <v/>
      </c>
      <c r="AX1516" s="304" t="str">
        <f t="shared" si="959"/>
        <v/>
      </c>
      <c r="AY1516" s="28"/>
      <c r="AZ1516" s="304" t="str">
        <f t="shared" ref="AZ1516:BA1535" si="960">IF($E1516=$AZ$83,R1516,"")</f>
        <v/>
      </c>
      <c r="BA1516" s="304" t="str">
        <f t="shared" si="960"/>
        <v/>
      </c>
      <c r="BB1516" s="28"/>
      <c r="BC1516" s="304" t="str">
        <f t="shared" ref="BC1516:BD1535" si="961">IF($E1516=$BC$83,R1516,"")</f>
        <v/>
      </c>
      <c r="BD1516" s="304" t="str">
        <f t="shared" si="961"/>
        <v/>
      </c>
      <c r="BE1516" s="28"/>
      <c r="BF1516" s="304" t="str">
        <f t="shared" ref="BF1516:BG1535" si="962">IF($E1516=$BF$83,R1516,"")</f>
        <v/>
      </c>
      <c r="BG1516" s="304" t="str">
        <f t="shared" si="962"/>
        <v/>
      </c>
      <c r="BH1516" s="28"/>
      <c r="BI1516" s="304" t="str">
        <f t="shared" ref="BI1516:BJ1535" si="963">IF($E1516=$BI$83,R1516,"")</f>
        <v/>
      </c>
      <c r="BJ1516" s="304" t="str">
        <f t="shared" si="963"/>
        <v/>
      </c>
      <c r="BK1516" s="28"/>
      <c r="BL1516" s="304" t="str">
        <f t="shared" ref="BL1516:BM1535" si="964">IF($E1516=$BL$83,R1516,"")</f>
        <v/>
      </c>
      <c r="BM1516" s="304" t="str">
        <f t="shared" si="964"/>
        <v/>
      </c>
      <c r="BN1516" s="28"/>
      <c r="BO1516" s="304" t="str">
        <f t="shared" ref="BO1516:BP1535" si="965">IF($E1516=$BO$83,R1516,"")</f>
        <v/>
      </c>
      <c r="BP1516" s="304" t="str">
        <f t="shared" si="965"/>
        <v/>
      </c>
      <c r="BQ1516" s="28"/>
      <c r="BR1516" s="304" t="str">
        <f t="shared" ref="BR1516:BS1535" si="966">IF($E1516=$BR$83,R1516,"")</f>
        <v/>
      </c>
      <c r="BS1516" s="304" t="str">
        <f t="shared" si="966"/>
        <v/>
      </c>
      <c r="BT1516" s="28"/>
      <c r="BU1516" s="304" t="str">
        <f t="shared" ref="BU1516:BV1535" si="967">IF($E1516=$BU$83,R1516,"")</f>
        <v/>
      </c>
      <c r="BV1516" s="304" t="str">
        <f t="shared" si="967"/>
        <v/>
      </c>
      <c r="BW1516" s="28"/>
      <c r="BX1516" s="91"/>
    </row>
    <row r="1517" spans="1:76" s="55" customFormat="1" x14ac:dyDescent="0.25">
      <c r="A1517" s="195">
        <v>2</v>
      </c>
      <c r="B1517" s="216" t="str">
        <f t="shared" si="955"/>
        <v xml:space="preserve">: </v>
      </c>
      <c r="C1517" s="219"/>
      <c r="D1517" s="219"/>
      <c r="E1517" s="219"/>
      <c r="F1517" s="219"/>
      <c r="G1517" s="220"/>
      <c r="H1517" s="221"/>
      <c r="I1517" s="220"/>
      <c r="J1517" s="227"/>
      <c r="K1517" s="227"/>
      <c r="L1517" s="227"/>
      <c r="M1517" s="335" t="str">
        <f>'[1]Advanced Controls'!$H$99</f>
        <v>US$2014 per kg of protein</v>
      </c>
      <c r="N1517" s="227"/>
      <c r="O1517" s="227"/>
      <c r="P1517" s="122"/>
      <c r="Q1517" s="228"/>
      <c r="R1517" s="231" t="str">
        <f t="shared" ref="R1517:R1535" si="968">IF(Q1517="Y","",IF(AND(L1517="",J1517=""),"",IF(L1517="",J1517,L1517)))</f>
        <v/>
      </c>
      <c r="S1517" s="230" t="str">
        <f t="shared" si="956"/>
        <v/>
      </c>
      <c r="T1517" s="231" t="str">
        <f>IF(OR(Q1517="Y",IFERROR(R1517&gt;R1536+R1540*$AA$35,0),IFERROR(R1517&lt;R1536-R1540*$AA$35,0)),"",IFERROR(R1517*N1517,""))</f>
        <v/>
      </c>
      <c r="U1517" s="232" t="str">
        <f t="shared" si="957"/>
        <v>US$2014 per kg of protein</v>
      </c>
      <c r="V1517" s="28"/>
      <c r="W1517" s="28"/>
      <c r="Y1517" s="91"/>
      <c r="AO1517" s="91"/>
      <c r="AP1517" s="28"/>
      <c r="AQ1517" s="28"/>
      <c r="AR1517" s="237"/>
      <c r="AS1517" s="28"/>
      <c r="AT1517" s="304" t="str">
        <f t="shared" si="958"/>
        <v/>
      </c>
      <c r="AU1517" s="304" t="str">
        <f t="shared" si="958"/>
        <v/>
      </c>
      <c r="AV1517" s="28"/>
      <c r="AW1517" s="304" t="str">
        <f t="shared" si="959"/>
        <v/>
      </c>
      <c r="AX1517" s="304" t="str">
        <f t="shared" si="959"/>
        <v/>
      </c>
      <c r="AY1517" s="28"/>
      <c r="AZ1517" s="304" t="str">
        <f t="shared" si="960"/>
        <v/>
      </c>
      <c r="BA1517" s="304" t="str">
        <f t="shared" si="960"/>
        <v/>
      </c>
      <c r="BB1517" s="28"/>
      <c r="BC1517" s="304" t="str">
        <f t="shared" si="961"/>
        <v/>
      </c>
      <c r="BD1517" s="304" t="str">
        <f t="shared" si="961"/>
        <v/>
      </c>
      <c r="BE1517" s="28"/>
      <c r="BF1517" s="304" t="str">
        <f t="shared" si="962"/>
        <v/>
      </c>
      <c r="BG1517" s="304" t="str">
        <f t="shared" si="962"/>
        <v/>
      </c>
      <c r="BH1517" s="28"/>
      <c r="BI1517" s="304" t="str">
        <f t="shared" si="963"/>
        <v/>
      </c>
      <c r="BJ1517" s="304" t="str">
        <f t="shared" si="963"/>
        <v/>
      </c>
      <c r="BK1517" s="28"/>
      <c r="BL1517" s="304" t="str">
        <f t="shared" si="964"/>
        <v/>
      </c>
      <c r="BM1517" s="304" t="str">
        <f t="shared" si="964"/>
        <v/>
      </c>
      <c r="BN1517" s="28"/>
      <c r="BO1517" s="304" t="str">
        <f t="shared" si="965"/>
        <v/>
      </c>
      <c r="BP1517" s="304" t="str">
        <f t="shared" si="965"/>
        <v/>
      </c>
      <c r="BQ1517" s="28"/>
      <c r="BR1517" s="304" t="str">
        <f t="shared" si="966"/>
        <v/>
      </c>
      <c r="BS1517" s="304" t="str">
        <f t="shared" si="966"/>
        <v/>
      </c>
      <c r="BT1517" s="28"/>
      <c r="BU1517" s="304" t="str">
        <f t="shared" si="967"/>
        <v/>
      </c>
      <c r="BV1517" s="304" t="str">
        <f t="shared" si="967"/>
        <v/>
      </c>
      <c r="BW1517" s="28"/>
      <c r="BX1517" s="91"/>
    </row>
    <row r="1518" spans="1:76" s="55" customFormat="1" x14ac:dyDescent="0.25">
      <c r="A1518" s="195">
        <v>3</v>
      </c>
      <c r="B1518" s="216" t="str">
        <f>CONCATENATE(E1518,": ",C1518)</f>
        <v xml:space="preserve">: </v>
      </c>
      <c r="C1518" s="221"/>
      <c r="D1518" s="221"/>
      <c r="E1518" s="221"/>
      <c r="F1518" s="221"/>
      <c r="G1518" s="240"/>
      <c r="H1518" s="221"/>
      <c r="I1518" s="240"/>
      <c r="J1518" s="241"/>
      <c r="K1518" s="241"/>
      <c r="L1518" s="227"/>
      <c r="M1518" s="335" t="str">
        <f>'[1]Advanced Controls'!$H$99</f>
        <v>US$2014 per kg of protein</v>
      </c>
      <c r="N1518" s="227"/>
      <c r="O1518" s="227"/>
      <c r="P1518" s="122"/>
      <c r="Q1518" s="228"/>
      <c r="R1518" s="231" t="str">
        <f t="shared" si="968"/>
        <v/>
      </c>
      <c r="S1518" s="230" t="str">
        <f t="shared" si="956"/>
        <v/>
      </c>
      <c r="T1518" s="231" t="str">
        <f>IF(OR(Q1518="Y",IFERROR(R1518&gt;R1536+R1540*$AA$35,0),IFERROR(R1518&lt;R1536-R1540*$AA$35,0)),"",IFERROR(R1518*N1518,""))</f>
        <v/>
      </c>
      <c r="U1518" s="232" t="str">
        <f t="shared" si="957"/>
        <v>US$2014 per kg of protein</v>
      </c>
      <c r="V1518" s="28"/>
      <c r="W1518" s="28"/>
      <c r="Y1518" s="91"/>
      <c r="AO1518" s="91"/>
      <c r="AP1518" s="28"/>
      <c r="AQ1518" s="28"/>
      <c r="AR1518" s="237"/>
      <c r="AS1518" s="28"/>
      <c r="AT1518" s="304" t="str">
        <f t="shared" si="958"/>
        <v/>
      </c>
      <c r="AU1518" s="304" t="str">
        <f t="shared" si="958"/>
        <v/>
      </c>
      <c r="AV1518" s="28"/>
      <c r="AW1518" s="304" t="str">
        <f t="shared" si="959"/>
        <v/>
      </c>
      <c r="AX1518" s="304" t="str">
        <f t="shared" si="959"/>
        <v/>
      </c>
      <c r="AY1518" s="28"/>
      <c r="AZ1518" s="304" t="str">
        <f t="shared" si="960"/>
        <v/>
      </c>
      <c r="BA1518" s="304" t="str">
        <f t="shared" si="960"/>
        <v/>
      </c>
      <c r="BB1518" s="28"/>
      <c r="BC1518" s="304" t="str">
        <f t="shared" si="961"/>
        <v/>
      </c>
      <c r="BD1518" s="304" t="str">
        <f t="shared" si="961"/>
        <v/>
      </c>
      <c r="BE1518" s="28"/>
      <c r="BF1518" s="304" t="str">
        <f t="shared" si="962"/>
        <v/>
      </c>
      <c r="BG1518" s="304" t="str">
        <f t="shared" si="962"/>
        <v/>
      </c>
      <c r="BH1518" s="28"/>
      <c r="BI1518" s="304" t="str">
        <f t="shared" si="963"/>
        <v/>
      </c>
      <c r="BJ1518" s="304" t="str">
        <f t="shared" si="963"/>
        <v/>
      </c>
      <c r="BK1518" s="28"/>
      <c r="BL1518" s="304" t="str">
        <f t="shared" si="964"/>
        <v/>
      </c>
      <c r="BM1518" s="304" t="str">
        <f t="shared" si="964"/>
        <v/>
      </c>
      <c r="BN1518" s="28"/>
      <c r="BO1518" s="304" t="str">
        <f t="shared" si="965"/>
        <v/>
      </c>
      <c r="BP1518" s="304" t="str">
        <f t="shared" si="965"/>
        <v/>
      </c>
      <c r="BQ1518" s="28"/>
      <c r="BR1518" s="304" t="str">
        <f t="shared" si="966"/>
        <v/>
      </c>
      <c r="BS1518" s="304" t="str">
        <f t="shared" si="966"/>
        <v/>
      </c>
      <c r="BT1518" s="28"/>
      <c r="BU1518" s="304" t="str">
        <f t="shared" si="967"/>
        <v/>
      </c>
      <c r="BV1518" s="304" t="str">
        <f t="shared" si="967"/>
        <v/>
      </c>
      <c r="BW1518" s="28"/>
      <c r="BX1518" s="91"/>
    </row>
    <row r="1519" spans="1:76" s="55" customFormat="1" x14ac:dyDescent="0.25">
      <c r="A1519" s="195">
        <v>4</v>
      </c>
      <c r="B1519" s="216" t="str">
        <f t="shared" si="955"/>
        <v xml:space="preserve">: </v>
      </c>
      <c r="C1519" s="221"/>
      <c r="D1519" s="221"/>
      <c r="E1519" s="221"/>
      <c r="F1519" s="221"/>
      <c r="G1519" s="240"/>
      <c r="H1519" s="221"/>
      <c r="I1519" s="240"/>
      <c r="J1519" s="241"/>
      <c r="K1519" s="241"/>
      <c r="L1519" s="227"/>
      <c r="M1519" s="335" t="str">
        <f>'[1]Advanced Controls'!$H$99</f>
        <v>US$2014 per kg of protein</v>
      </c>
      <c r="N1519" s="227"/>
      <c r="O1519" s="227"/>
      <c r="P1519" s="122"/>
      <c r="Q1519" s="228"/>
      <c r="R1519" s="231" t="str">
        <f t="shared" si="968"/>
        <v/>
      </c>
      <c r="S1519" s="230" t="str">
        <f t="shared" si="956"/>
        <v/>
      </c>
      <c r="T1519" s="231" t="str">
        <f>IF(OR(Q1519="Y",IFERROR(R1519&gt;R1536+R1540*$AA$35,0),IFERROR(R1519&lt;R1536-R1540*$AA$35,0)),"",IFERROR(R1519*N1519,""))</f>
        <v/>
      </c>
      <c r="U1519" s="232" t="str">
        <f t="shared" si="957"/>
        <v>US$2014 per kg of protein</v>
      </c>
      <c r="V1519" s="28"/>
      <c r="W1519" s="28"/>
      <c r="Y1519" s="91"/>
      <c r="AO1519" s="91"/>
      <c r="AP1519" s="28"/>
      <c r="AQ1519" s="28"/>
      <c r="AR1519" s="237"/>
      <c r="AS1519" s="28"/>
      <c r="AT1519" s="304" t="str">
        <f t="shared" si="958"/>
        <v/>
      </c>
      <c r="AU1519" s="304" t="str">
        <f t="shared" si="958"/>
        <v/>
      </c>
      <c r="AV1519" s="28"/>
      <c r="AW1519" s="304" t="str">
        <f t="shared" si="959"/>
        <v/>
      </c>
      <c r="AX1519" s="304" t="str">
        <f t="shared" si="959"/>
        <v/>
      </c>
      <c r="AY1519" s="28"/>
      <c r="AZ1519" s="304" t="str">
        <f t="shared" si="960"/>
        <v/>
      </c>
      <c r="BA1519" s="304" t="str">
        <f t="shared" si="960"/>
        <v/>
      </c>
      <c r="BB1519" s="28"/>
      <c r="BC1519" s="304" t="str">
        <f t="shared" si="961"/>
        <v/>
      </c>
      <c r="BD1519" s="304" t="str">
        <f t="shared" si="961"/>
        <v/>
      </c>
      <c r="BE1519" s="28"/>
      <c r="BF1519" s="304" t="str">
        <f t="shared" si="962"/>
        <v/>
      </c>
      <c r="BG1519" s="304" t="str">
        <f t="shared" si="962"/>
        <v/>
      </c>
      <c r="BH1519" s="28"/>
      <c r="BI1519" s="304" t="str">
        <f t="shared" si="963"/>
        <v/>
      </c>
      <c r="BJ1519" s="304" t="str">
        <f t="shared" si="963"/>
        <v/>
      </c>
      <c r="BK1519" s="28"/>
      <c r="BL1519" s="304" t="str">
        <f t="shared" si="964"/>
        <v/>
      </c>
      <c r="BM1519" s="304" t="str">
        <f t="shared" si="964"/>
        <v/>
      </c>
      <c r="BN1519" s="28"/>
      <c r="BO1519" s="304" t="str">
        <f t="shared" si="965"/>
        <v/>
      </c>
      <c r="BP1519" s="304" t="str">
        <f t="shared" si="965"/>
        <v/>
      </c>
      <c r="BQ1519" s="28"/>
      <c r="BR1519" s="304" t="str">
        <f t="shared" si="966"/>
        <v/>
      </c>
      <c r="BS1519" s="304" t="str">
        <f t="shared" si="966"/>
        <v/>
      </c>
      <c r="BT1519" s="28"/>
      <c r="BU1519" s="304" t="str">
        <f t="shared" si="967"/>
        <v/>
      </c>
      <c r="BV1519" s="304" t="str">
        <f t="shared" si="967"/>
        <v/>
      </c>
      <c r="BW1519" s="28"/>
      <c r="BX1519" s="91"/>
    </row>
    <row r="1520" spans="1:76" s="55" customFormat="1" x14ac:dyDescent="0.25">
      <c r="A1520" s="195">
        <v>5</v>
      </c>
      <c r="B1520" s="216" t="str">
        <f t="shared" si="955"/>
        <v xml:space="preserve">: </v>
      </c>
      <c r="C1520" s="221"/>
      <c r="D1520" s="221"/>
      <c r="E1520" s="221"/>
      <c r="F1520" s="221"/>
      <c r="G1520" s="240"/>
      <c r="H1520" s="221"/>
      <c r="I1520" s="240"/>
      <c r="J1520" s="241"/>
      <c r="K1520" s="241"/>
      <c r="L1520" s="227"/>
      <c r="M1520" s="335" t="str">
        <f>'[1]Advanced Controls'!$H$99</f>
        <v>US$2014 per kg of protein</v>
      </c>
      <c r="N1520" s="227"/>
      <c r="O1520" s="227"/>
      <c r="P1520" s="122"/>
      <c r="Q1520" s="228"/>
      <c r="R1520" s="231" t="str">
        <f t="shared" si="968"/>
        <v/>
      </c>
      <c r="S1520" s="230" t="str">
        <f t="shared" si="956"/>
        <v/>
      </c>
      <c r="T1520" s="231" t="str">
        <f>IF(OR(Q1520="Y",IFERROR(R1520&gt;R1536+R1540*$AA$35,0),IFERROR(R1520&lt;R1536-R1540*$AA$35,0)),"",IFERROR(R1520*N1520,""))</f>
        <v/>
      </c>
      <c r="U1520" s="232" t="str">
        <f t="shared" si="957"/>
        <v>US$2014 per kg of protein</v>
      </c>
      <c r="V1520" s="28"/>
      <c r="W1520" s="28"/>
      <c r="Y1520" s="91"/>
      <c r="AO1520" s="91"/>
      <c r="AP1520" s="28"/>
      <c r="AQ1520" s="28"/>
      <c r="AR1520" s="237"/>
      <c r="AS1520" s="28"/>
      <c r="AT1520" s="304" t="str">
        <f t="shared" si="958"/>
        <v/>
      </c>
      <c r="AU1520" s="304" t="str">
        <f t="shared" si="958"/>
        <v/>
      </c>
      <c r="AV1520" s="28"/>
      <c r="AW1520" s="304" t="str">
        <f t="shared" si="959"/>
        <v/>
      </c>
      <c r="AX1520" s="304" t="str">
        <f t="shared" si="959"/>
        <v/>
      </c>
      <c r="AY1520" s="28"/>
      <c r="AZ1520" s="304" t="str">
        <f t="shared" si="960"/>
        <v/>
      </c>
      <c r="BA1520" s="304" t="str">
        <f t="shared" si="960"/>
        <v/>
      </c>
      <c r="BB1520" s="28"/>
      <c r="BC1520" s="304" t="str">
        <f t="shared" si="961"/>
        <v/>
      </c>
      <c r="BD1520" s="304" t="str">
        <f t="shared" si="961"/>
        <v/>
      </c>
      <c r="BE1520" s="28"/>
      <c r="BF1520" s="304" t="str">
        <f t="shared" si="962"/>
        <v/>
      </c>
      <c r="BG1520" s="304" t="str">
        <f t="shared" si="962"/>
        <v/>
      </c>
      <c r="BH1520" s="28"/>
      <c r="BI1520" s="304" t="str">
        <f t="shared" si="963"/>
        <v/>
      </c>
      <c r="BJ1520" s="304" t="str">
        <f t="shared" si="963"/>
        <v/>
      </c>
      <c r="BK1520" s="28"/>
      <c r="BL1520" s="304" t="str">
        <f t="shared" si="964"/>
        <v/>
      </c>
      <c r="BM1520" s="304" t="str">
        <f t="shared" si="964"/>
        <v/>
      </c>
      <c r="BN1520" s="28"/>
      <c r="BO1520" s="304" t="str">
        <f t="shared" si="965"/>
        <v/>
      </c>
      <c r="BP1520" s="304" t="str">
        <f t="shared" si="965"/>
        <v/>
      </c>
      <c r="BQ1520" s="28"/>
      <c r="BR1520" s="304" t="str">
        <f t="shared" si="966"/>
        <v/>
      </c>
      <c r="BS1520" s="304" t="str">
        <f t="shared" si="966"/>
        <v/>
      </c>
      <c r="BT1520" s="28"/>
      <c r="BU1520" s="304" t="str">
        <f t="shared" si="967"/>
        <v/>
      </c>
      <c r="BV1520" s="304" t="str">
        <f t="shared" si="967"/>
        <v/>
      </c>
      <c r="BW1520" s="28"/>
      <c r="BX1520" s="91"/>
    </row>
    <row r="1521" spans="1:76" s="55" customFormat="1" x14ac:dyDescent="0.25">
      <c r="A1521" s="195">
        <v>6</v>
      </c>
      <c r="B1521" s="216" t="str">
        <f t="shared" si="955"/>
        <v xml:space="preserve">: </v>
      </c>
      <c r="C1521" s="221"/>
      <c r="D1521" s="221"/>
      <c r="E1521" s="221"/>
      <c r="F1521" s="221"/>
      <c r="G1521" s="240"/>
      <c r="H1521" s="221"/>
      <c r="I1521" s="240"/>
      <c r="J1521" s="241"/>
      <c r="K1521" s="241"/>
      <c r="L1521" s="227"/>
      <c r="M1521" s="335" t="str">
        <f>'[1]Advanced Controls'!$H$99</f>
        <v>US$2014 per kg of protein</v>
      </c>
      <c r="N1521" s="227"/>
      <c r="O1521" s="227"/>
      <c r="P1521" s="122"/>
      <c r="Q1521" s="228"/>
      <c r="R1521" s="231" t="str">
        <f t="shared" si="968"/>
        <v/>
      </c>
      <c r="S1521" s="230" t="str">
        <f t="shared" si="956"/>
        <v/>
      </c>
      <c r="T1521" s="231" t="str">
        <f>IF(OR(Q1521="Y",IFERROR(R1521&gt;R1536+R1540*$AA$35,0),IFERROR(R1521&lt;R1536-R1540*$AA$35,0)),"",IFERROR(R1521*N1521,""))</f>
        <v/>
      </c>
      <c r="U1521" s="232" t="str">
        <f t="shared" si="957"/>
        <v>US$2014 per kg of protein</v>
      </c>
      <c r="V1521" s="28"/>
      <c r="W1521" s="28"/>
      <c r="Y1521" s="91"/>
      <c r="AO1521" s="91"/>
      <c r="AP1521" s="28"/>
      <c r="AQ1521" s="28"/>
      <c r="AR1521" s="237"/>
      <c r="AS1521" s="28"/>
      <c r="AT1521" s="304" t="str">
        <f t="shared" si="958"/>
        <v/>
      </c>
      <c r="AU1521" s="304" t="str">
        <f t="shared" si="958"/>
        <v/>
      </c>
      <c r="AV1521" s="28"/>
      <c r="AW1521" s="304" t="str">
        <f t="shared" si="959"/>
        <v/>
      </c>
      <c r="AX1521" s="304" t="str">
        <f t="shared" si="959"/>
        <v/>
      </c>
      <c r="AY1521" s="28"/>
      <c r="AZ1521" s="304" t="str">
        <f t="shared" si="960"/>
        <v/>
      </c>
      <c r="BA1521" s="304" t="str">
        <f t="shared" si="960"/>
        <v/>
      </c>
      <c r="BB1521" s="28"/>
      <c r="BC1521" s="304" t="str">
        <f t="shared" si="961"/>
        <v/>
      </c>
      <c r="BD1521" s="304" t="str">
        <f t="shared" si="961"/>
        <v/>
      </c>
      <c r="BE1521" s="28"/>
      <c r="BF1521" s="304" t="str">
        <f t="shared" si="962"/>
        <v/>
      </c>
      <c r="BG1521" s="304" t="str">
        <f t="shared" si="962"/>
        <v/>
      </c>
      <c r="BH1521" s="28"/>
      <c r="BI1521" s="304" t="str">
        <f t="shared" si="963"/>
        <v/>
      </c>
      <c r="BJ1521" s="304" t="str">
        <f t="shared" si="963"/>
        <v/>
      </c>
      <c r="BK1521" s="28"/>
      <c r="BL1521" s="304" t="str">
        <f t="shared" si="964"/>
        <v/>
      </c>
      <c r="BM1521" s="304" t="str">
        <f t="shared" si="964"/>
        <v/>
      </c>
      <c r="BN1521" s="28"/>
      <c r="BO1521" s="304" t="str">
        <f t="shared" si="965"/>
        <v/>
      </c>
      <c r="BP1521" s="304" t="str">
        <f t="shared" si="965"/>
        <v/>
      </c>
      <c r="BQ1521" s="28"/>
      <c r="BR1521" s="304" t="str">
        <f t="shared" si="966"/>
        <v/>
      </c>
      <c r="BS1521" s="304" t="str">
        <f t="shared" si="966"/>
        <v/>
      </c>
      <c r="BT1521" s="28"/>
      <c r="BU1521" s="304" t="str">
        <f t="shared" si="967"/>
        <v/>
      </c>
      <c r="BV1521" s="304" t="str">
        <f t="shared" si="967"/>
        <v/>
      </c>
      <c r="BW1521" s="28"/>
      <c r="BX1521" s="91"/>
    </row>
    <row r="1522" spans="1:76" s="55" customFormat="1" x14ac:dyDescent="0.25">
      <c r="A1522" s="195">
        <v>7</v>
      </c>
      <c r="B1522" s="216" t="str">
        <f t="shared" si="955"/>
        <v xml:space="preserve">: </v>
      </c>
      <c r="C1522" s="221"/>
      <c r="D1522" s="221"/>
      <c r="E1522" s="221"/>
      <c r="F1522" s="221"/>
      <c r="G1522" s="240"/>
      <c r="H1522" s="221"/>
      <c r="I1522" s="240"/>
      <c r="J1522" s="241"/>
      <c r="K1522" s="241"/>
      <c r="L1522" s="227"/>
      <c r="M1522" s="335" t="str">
        <f>'[1]Advanced Controls'!$H$99</f>
        <v>US$2014 per kg of protein</v>
      </c>
      <c r="N1522" s="227"/>
      <c r="O1522" s="227"/>
      <c r="P1522" s="122"/>
      <c r="Q1522" s="228"/>
      <c r="R1522" s="231" t="str">
        <f t="shared" si="968"/>
        <v/>
      </c>
      <c r="S1522" s="230" t="str">
        <f t="shared" si="956"/>
        <v/>
      </c>
      <c r="T1522" s="231" t="str">
        <f>IF(OR(Q1522="Y",IFERROR(R1522&gt;R1536+R1540*$AA$35,0),IFERROR(R1522&lt;R1536-R1540*$AA$35,0)),"",IFERROR(R1522*N1522,""))</f>
        <v/>
      </c>
      <c r="U1522" s="232" t="str">
        <f t="shared" si="957"/>
        <v>US$2014 per kg of protein</v>
      </c>
      <c r="V1522" s="28"/>
      <c r="W1522" s="28"/>
      <c r="Y1522" s="91"/>
      <c r="AO1522" s="91"/>
      <c r="AP1522" s="28"/>
      <c r="AQ1522" s="28"/>
      <c r="AR1522" s="237"/>
      <c r="AS1522" s="28"/>
      <c r="AT1522" s="304" t="str">
        <f t="shared" si="958"/>
        <v/>
      </c>
      <c r="AU1522" s="304" t="str">
        <f t="shared" si="958"/>
        <v/>
      </c>
      <c r="AV1522" s="28"/>
      <c r="AW1522" s="304" t="str">
        <f t="shared" si="959"/>
        <v/>
      </c>
      <c r="AX1522" s="304" t="str">
        <f t="shared" si="959"/>
        <v/>
      </c>
      <c r="AY1522" s="28"/>
      <c r="AZ1522" s="304" t="str">
        <f t="shared" si="960"/>
        <v/>
      </c>
      <c r="BA1522" s="304" t="str">
        <f t="shared" si="960"/>
        <v/>
      </c>
      <c r="BB1522" s="28"/>
      <c r="BC1522" s="304" t="str">
        <f t="shared" si="961"/>
        <v/>
      </c>
      <c r="BD1522" s="304" t="str">
        <f t="shared" si="961"/>
        <v/>
      </c>
      <c r="BE1522" s="28"/>
      <c r="BF1522" s="304" t="str">
        <f t="shared" si="962"/>
        <v/>
      </c>
      <c r="BG1522" s="304" t="str">
        <f t="shared" si="962"/>
        <v/>
      </c>
      <c r="BH1522" s="28"/>
      <c r="BI1522" s="304" t="str">
        <f t="shared" si="963"/>
        <v/>
      </c>
      <c r="BJ1522" s="304" t="str">
        <f t="shared" si="963"/>
        <v/>
      </c>
      <c r="BK1522" s="28"/>
      <c r="BL1522" s="304" t="str">
        <f t="shared" si="964"/>
        <v/>
      </c>
      <c r="BM1522" s="304" t="str">
        <f t="shared" si="964"/>
        <v/>
      </c>
      <c r="BN1522" s="28"/>
      <c r="BO1522" s="304" t="str">
        <f t="shared" si="965"/>
        <v/>
      </c>
      <c r="BP1522" s="304" t="str">
        <f t="shared" si="965"/>
        <v/>
      </c>
      <c r="BQ1522" s="28"/>
      <c r="BR1522" s="304" t="str">
        <f t="shared" si="966"/>
        <v/>
      </c>
      <c r="BS1522" s="304" t="str">
        <f t="shared" si="966"/>
        <v/>
      </c>
      <c r="BT1522" s="28"/>
      <c r="BU1522" s="304" t="str">
        <f t="shared" si="967"/>
        <v/>
      </c>
      <c r="BV1522" s="304" t="str">
        <f t="shared" si="967"/>
        <v/>
      </c>
      <c r="BW1522" s="28"/>
      <c r="BX1522" s="91"/>
    </row>
    <row r="1523" spans="1:76" s="55" customFormat="1" x14ac:dyDescent="0.25">
      <c r="A1523" s="195">
        <v>8</v>
      </c>
      <c r="B1523" s="216" t="str">
        <f t="shared" si="955"/>
        <v xml:space="preserve">: </v>
      </c>
      <c r="C1523" s="221"/>
      <c r="D1523" s="221"/>
      <c r="E1523" s="221"/>
      <c r="F1523" s="221"/>
      <c r="G1523" s="240"/>
      <c r="H1523" s="221"/>
      <c r="I1523" s="240"/>
      <c r="J1523" s="241"/>
      <c r="K1523" s="241"/>
      <c r="L1523" s="227"/>
      <c r="M1523" s="335" t="str">
        <f>'[1]Advanced Controls'!$H$99</f>
        <v>US$2014 per kg of protein</v>
      </c>
      <c r="N1523" s="227"/>
      <c r="O1523" s="227"/>
      <c r="P1523" s="122"/>
      <c r="Q1523" s="228"/>
      <c r="R1523" s="231" t="str">
        <f t="shared" si="968"/>
        <v/>
      </c>
      <c r="S1523" s="230" t="str">
        <f t="shared" si="956"/>
        <v/>
      </c>
      <c r="T1523" s="231" t="str">
        <f>IF(OR(Q1523="Y",IFERROR(R1523&gt;R1536+R1540*$AA$35,0),IFERROR(R1523&lt;R1536-R1540*$AA$35,0)),"",IFERROR(R1523*N1523,""))</f>
        <v/>
      </c>
      <c r="U1523" s="232" t="str">
        <f t="shared" si="957"/>
        <v>US$2014 per kg of protein</v>
      </c>
      <c r="V1523" s="28"/>
      <c r="W1523" s="28"/>
      <c r="Y1523" s="91"/>
      <c r="AO1523" s="91"/>
      <c r="AP1523" s="28"/>
      <c r="AQ1523" s="28"/>
      <c r="AR1523" s="237"/>
      <c r="AS1523" s="28"/>
      <c r="AT1523" s="304" t="str">
        <f t="shared" si="958"/>
        <v/>
      </c>
      <c r="AU1523" s="304" t="str">
        <f t="shared" si="958"/>
        <v/>
      </c>
      <c r="AV1523" s="28"/>
      <c r="AW1523" s="304" t="str">
        <f t="shared" si="959"/>
        <v/>
      </c>
      <c r="AX1523" s="304" t="str">
        <f t="shared" si="959"/>
        <v/>
      </c>
      <c r="AY1523" s="28"/>
      <c r="AZ1523" s="304" t="str">
        <f t="shared" si="960"/>
        <v/>
      </c>
      <c r="BA1523" s="304" t="str">
        <f t="shared" si="960"/>
        <v/>
      </c>
      <c r="BB1523" s="28"/>
      <c r="BC1523" s="304" t="str">
        <f t="shared" si="961"/>
        <v/>
      </c>
      <c r="BD1523" s="304" t="str">
        <f t="shared" si="961"/>
        <v/>
      </c>
      <c r="BE1523" s="28"/>
      <c r="BF1523" s="304" t="str">
        <f t="shared" si="962"/>
        <v/>
      </c>
      <c r="BG1523" s="304" t="str">
        <f t="shared" si="962"/>
        <v/>
      </c>
      <c r="BH1523" s="28"/>
      <c r="BI1523" s="304" t="str">
        <f t="shared" si="963"/>
        <v/>
      </c>
      <c r="BJ1523" s="304" t="str">
        <f t="shared" si="963"/>
        <v/>
      </c>
      <c r="BK1523" s="28"/>
      <c r="BL1523" s="304" t="str">
        <f t="shared" si="964"/>
        <v/>
      </c>
      <c r="BM1523" s="304" t="str">
        <f t="shared" si="964"/>
        <v/>
      </c>
      <c r="BN1523" s="28"/>
      <c r="BO1523" s="304" t="str">
        <f t="shared" si="965"/>
        <v/>
      </c>
      <c r="BP1523" s="304" t="str">
        <f t="shared" si="965"/>
        <v/>
      </c>
      <c r="BQ1523" s="28"/>
      <c r="BR1523" s="304" t="str">
        <f t="shared" si="966"/>
        <v/>
      </c>
      <c r="BS1523" s="304" t="str">
        <f t="shared" si="966"/>
        <v/>
      </c>
      <c r="BT1523" s="28"/>
      <c r="BU1523" s="304" t="str">
        <f t="shared" si="967"/>
        <v/>
      </c>
      <c r="BV1523" s="304" t="str">
        <f t="shared" si="967"/>
        <v/>
      </c>
      <c r="BW1523" s="28"/>
      <c r="BX1523" s="91"/>
    </row>
    <row r="1524" spans="1:76" s="55" customFormat="1" x14ac:dyDescent="0.25">
      <c r="A1524" s="195">
        <v>9</v>
      </c>
      <c r="B1524" s="216" t="str">
        <f t="shared" si="955"/>
        <v xml:space="preserve">: </v>
      </c>
      <c r="C1524" s="221"/>
      <c r="D1524" s="221"/>
      <c r="E1524" s="221"/>
      <c r="F1524" s="221"/>
      <c r="G1524" s="240"/>
      <c r="H1524" s="221"/>
      <c r="I1524" s="240"/>
      <c r="J1524" s="241"/>
      <c r="K1524" s="241"/>
      <c r="L1524" s="227"/>
      <c r="M1524" s="335" t="str">
        <f>'[1]Advanced Controls'!$H$99</f>
        <v>US$2014 per kg of protein</v>
      </c>
      <c r="N1524" s="227"/>
      <c r="O1524" s="227"/>
      <c r="P1524" s="122"/>
      <c r="Q1524" s="228"/>
      <c r="R1524" s="231" t="str">
        <f t="shared" si="968"/>
        <v/>
      </c>
      <c r="S1524" s="230" t="str">
        <f t="shared" si="956"/>
        <v/>
      </c>
      <c r="T1524" s="231" t="str">
        <f>IF(OR(Q1524="Y",IFERROR(R1524&gt;R1536+R1540*$AA$35,0),IFERROR(R1524&lt;R1536-R1540*$AA$35,0)),"",IFERROR(R1524*N1524,""))</f>
        <v/>
      </c>
      <c r="U1524" s="232" t="str">
        <f t="shared" si="957"/>
        <v>US$2014 per kg of protein</v>
      </c>
      <c r="V1524" s="28"/>
      <c r="W1524" s="28"/>
      <c r="Y1524" s="91"/>
      <c r="AO1524" s="91"/>
      <c r="AP1524" s="28"/>
      <c r="AQ1524" s="28"/>
      <c r="AR1524" s="237"/>
      <c r="AS1524" s="28"/>
      <c r="AT1524" s="304" t="str">
        <f t="shared" si="958"/>
        <v/>
      </c>
      <c r="AU1524" s="304" t="str">
        <f t="shared" si="958"/>
        <v/>
      </c>
      <c r="AV1524" s="28"/>
      <c r="AW1524" s="304" t="str">
        <f t="shared" si="959"/>
        <v/>
      </c>
      <c r="AX1524" s="304" t="str">
        <f t="shared" si="959"/>
        <v/>
      </c>
      <c r="AY1524" s="28"/>
      <c r="AZ1524" s="304" t="str">
        <f t="shared" si="960"/>
        <v/>
      </c>
      <c r="BA1524" s="304" t="str">
        <f t="shared" si="960"/>
        <v/>
      </c>
      <c r="BB1524" s="28"/>
      <c r="BC1524" s="304" t="str">
        <f t="shared" si="961"/>
        <v/>
      </c>
      <c r="BD1524" s="304" t="str">
        <f t="shared" si="961"/>
        <v/>
      </c>
      <c r="BE1524" s="28"/>
      <c r="BF1524" s="304" t="str">
        <f t="shared" si="962"/>
        <v/>
      </c>
      <c r="BG1524" s="304" t="str">
        <f t="shared" si="962"/>
        <v/>
      </c>
      <c r="BH1524" s="28"/>
      <c r="BI1524" s="304" t="str">
        <f t="shared" si="963"/>
        <v/>
      </c>
      <c r="BJ1524" s="304" t="str">
        <f t="shared" si="963"/>
        <v/>
      </c>
      <c r="BK1524" s="28"/>
      <c r="BL1524" s="304" t="str">
        <f t="shared" si="964"/>
        <v/>
      </c>
      <c r="BM1524" s="304" t="str">
        <f t="shared" si="964"/>
        <v/>
      </c>
      <c r="BN1524" s="28"/>
      <c r="BO1524" s="304" t="str">
        <f t="shared" si="965"/>
        <v/>
      </c>
      <c r="BP1524" s="304" t="str">
        <f t="shared" si="965"/>
        <v/>
      </c>
      <c r="BQ1524" s="28"/>
      <c r="BR1524" s="304" t="str">
        <f t="shared" si="966"/>
        <v/>
      </c>
      <c r="BS1524" s="304" t="str">
        <f t="shared" si="966"/>
        <v/>
      </c>
      <c r="BT1524" s="28"/>
      <c r="BU1524" s="304" t="str">
        <f t="shared" si="967"/>
        <v/>
      </c>
      <c r="BV1524" s="304" t="str">
        <f t="shared" si="967"/>
        <v/>
      </c>
      <c r="BW1524" s="28"/>
      <c r="BX1524" s="91"/>
    </row>
    <row r="1525" spans="1:76" s="55" customFormat="1" x14ac:dyDescent="0.25">
      <c r="A1525" s="195">
        <v>10</v>
      </c>
      <c r="B1525" s="216" t="str">
        <f t="shared" si="955"/>
        <v xml:space="preserve">: </v>
      </c>
      <c r="C1525" s="221"/>
      <c r="D1525" s="221"/>
      <c r="E1525" s="221"/>
      <c r="F1525" s="221"/>
      <c r="G1525" s="240"/>
      <c r="H1525" s="221"/>
      <c r="I1525" s="240"/>
      <c r="J1525" s="241"/>
      <c r="K1525" s="241"/>
      <c r="L1525" s="227"/>
      <c r="M1525" s="335" t="str">
        <f>'[1]Advanced Controls'!$H$99</f>
        <v>US$2014 per kg of protein</v>
      </c>
      <c r="N1525" s="227"/>
      <c r="O1525" s="227"/>
      <c r="P1525" s="122"/>
      <c r="Q1525" s="228"/>
      <c r="R1525" s="231" t="str">
        <f t="shared" si="968"/>
        <v/>
      </c>
      <c r="S1525" s="230" t="str">
        <f t="shared" si="956"/>
        <v/>
      </c>
      <c r="T1525" s="231" t="str">
        <f>IF(OR(Q1525="Y",IFERROR(R1525&gt;R1536+R1540*$AA$35,0),IFERROR(R1525&lt;R1536-R1540*$AA$35,0)),"",IFERROR(R1525*N1525,""))</f>
        <v/>
      </c>
      <c r="U1525" s="232" t="str">
        <f t="shared" si="957"/>
        <v>US$2014 per kg of protein</v>
      </c>
      <c r="V1525" s="28"/>
      <c r="W1525" s="28"/>
      <c r="Y1525" s="91"/>
      <c r="AO1525" s="91"/>
      <c r="AP1525" s="28"/>
      <c r="AQ1525" s="28"/>
      <c r="AR1525" s="237"/>
      <c r="AS1525" s="28"/>
      <c r="AT1525" s="304" t="str">
        <f t="shared" si="958"/>
        <v/>
      </c>
      <c r="AU1525" s="304" t="str">
        <f t="shared" si="958"/>
        <v/>
      </c>
      <c r="AV1525" s="28"/>
      <c r="AW1525" s="304" t="str">
        <f t="shared" si="959"/>
        <v/>
      </c>
      <c r="AX1525" s="304" t="str">
        <f t="shared" si="959"/>
        <v/>
      </c>
      <c r="AY1525" s="28"/>
      <c r="AZ1525" s="304" t="str">
        <f t="shared" si="960"/>
        <v/>
      </c>
      <c r="BA1525" s="304" t="str">
        <f t="shared" si="960"/>
        <v/>
      </c>
      <c r="BB1525" s="28"/>
      <c r="BC1525" s="304" t="str">
        <f t="shared" si="961"/>
        <v/>
      </c>
      <c r="BD1525" s="304" t="str">
        <f t="shared" si="961"/>
        <v/>
      </c>
      <c r="BE1525" s="28"/>
      <c r="BF1525" s="304" t="str">
        <f t="shared" si="962"/>
        <v/>
      </c>
      <c r="BG1525" s="304" t="str">
        <f t="shared" si="962"/>
        <v/>
      </c>
      <c r="BH1525" s="28"/>
      <c r="BI1525" s="304" t="str">
        <f t="shared" si="963"/>
        <v/>
      </c>
      <c r="BJ1525" s="304" t="str">
        <f t="shared" si="963"/>
        <v/>
      </c>
      <c r="BK1525" s="28"/>
      <c r="BL1525" s="304" t="str">
        <f t="shared" si="964"/>
        <v/>
      </c>
      <c r="BM1525" s="304" t="str">
        <f t="shared" si="964"/>
        <v/>
      </c>
      <c r="BN1525" s="28"/>
      <c r="BO1525" s="304" t="str">
        <f t="shared" si="965"/>
        <v/>
      </c>
      <c r="BP1525" s="304" t="str">
        <f t="shared" si="965"/>
        <v/>
      </c>
      <c r="BQ1525" s="28"/>
      <c r="BR1525" s="304" t="str">
        <f t="shared" si="966"/>
        <v/>
      </c>
      <c r="BS1525" s="304" t="str">
        <f t="shared" si="966"/>
        <v/>
      </c>
      <c r="BT1525" s="28"/>
      <c r="BU1525" s="304" t="str">
        <f t="shared" si="967"/>
        <v/>
      </c>
      <c r="BV1525" s="304" t="str">
        <f t="shared" si="967"/>
        <v/>
      </c>
      <c r="BW1525" s="28"/>
      <c r="BX1525" s="91"/>
    </row>
    <row r="1526" spans="1:76" s="55" customFormat="1" x14ac:dyDescent="0.25">
      <c r="A1526" s="195">
        <v>11</v>
      </c>
      <c r="B1526" s="216" t="str">
        <f t="shared" si="955"/>
        <v xml:space="preserve">: </v>
      </c>
      <c r="C1526" s="221"/>
      <c r="D1526" s="221"/>
      <c r="E1526" s="221"/>
      <c r="F1526" s="221"/>
      <c r="G1526" s="240"/>
      <c r="H1526" s="221"/>
      <c r="I1526" s="240"/>
      <c r="J1526" s="241"/>
      <c r="K1526" s="241"/>
      <c r="L1526" s="227"/>
      <c r="M1526" s="335" t="str">
        <f>'[1]Advanced Controls'!$H$99</f>
        <v>US$2014 per kg of protein</v>
      </c>
      <c r="N1526" s="227"/>
      <c r="O1526" s="227"/>
      <c r="P1526" s="122"/>
      <c r="Q1526" s="228"/>
      <c r="R1526" s="231" t="str">
        <f t="shared" si="968"/>
        <v/>
      </c>
      <c r="S1526" s="230" t="str">
        <f t="shared" si="956"/>
        <v/>
      </c>
      <c r="T1526" s="231" t="str">
        <f>IF(OR(Q1526="Y",IFERROR(R1526&gt;R1536+R1540*$AA$35,0),IFERROR(R1526&lt;R1536-R1540*$AA$35,0)),"",IFERROR(R1526*N1526,""))</f>
        <v/>
      </c>
      <c r="U1526" s="232" t="str">
        <f t="shared" si="957"/>
        <v>US$2014 per kg of protein</v>
      </c>
      <c r="V1526" s="28"/>
      <c r="W1526" s="28"/>
      <c r="Y1526" s="91"/>
      <c r="AO1526" s="91"/>
      <c r="AP1526" s="28"/>
      <c r="AQ1526" s="28"/>
      <c r="AR1526" s="237"/>
      <c r="AS1526" s="28"/>
      <c r="AT1526" s="304" t="str">
        <f t="shared" si="958"/>
        <v/>
      </c>
      <c r="AU1526" s="304" t="str">
        <f t="shared" si="958"/>
        <v/>
      </c>
      <c r="AV1526" s="28"/>
      <c r="AW1526" s="304" t="str">
        <f t="shared" si="959"/>
        <v/>
      </c>
      <c r="AX1526" s="304" t="str">
        <f t="shared" si="959"/>
        <v/>
      </c>
      <c r="AY1526" s="28"/>
      <c r="AZ1526" s="304" t="str">
        <f t="shared" si="960"/>
        <v/>
      </c>
      <c r="BA1526" s="304" t="str">
        <f t="shared" si="960"/>
        <v/>
      </c>
      <c r="BB1526" s="28"/>
      <c r="BC1526" s="304" t="str">
        <f t="shared" si="961"/>
        <v/>
      </c>
      <c r="BD1526" s="304" t="str">
        <f t="shared" si="961"/>
        <v/>
      </c>
      <c r="BE1526" s="28"/>
      <c r="BF1526" s="304" t="str">
        <f t="shared" si="962"/>
        <v/>
      </c>
      <c r="BG1526" s="304" t="str">
        <f t="shared" si="962"/>
        <v/>
      </c>
      <c r="BH1526" s="28"/>
      <c r="BI1526" s="304" t="str">
        <f t="shared" si="963"/>
        <v/>
      </c>
      <c r="BJ1526" s="304" t="str">
        <f t="shared" si="963"/>
        <v/>
      </c>
      <c r="BK1526" s="28"/>
      <c r="BL1526" s="304" t="str">
        <f t="shared" si="964"/>
        <v/>
      </c>
      <c r="BM1526" s="304" t="str">
        <f t="shared" si="964"/>
        <v/>
      </c>
      <c r="BN1526" s="28"/>
      <c r="BO1526" s="304" t="str">
        <f t="shared" si="965"/>
        <v/>
      </c>
      <c r="BP1526" s="304" t="str">
        <f t="shared" si="965"/>
        <v/>
      </c>
      <c r="BQ1526" s="28"/>
      <c r="BR1526" s="304" t="str">
        <f t="shared" si="966"/>
        <v/>
      </c>
      <c r="BS1526" s="304" t="str">
        <f t="shared" si="966"/>
        <v/>
      </c>
      <c r="BT1526" s="28"/>
      <c r="BU1526" s="304" t="str">
        <f t="shared" si="967"/>
        <v/>
      </c>
      <c r="BV1526" s="304" t="str">
        <f t="shared" si="967"/>
        <v/>
      </c>
      <c r="BW1526" s="28"/>
      <c r="BX1526" s="91"/>
    </row>
    <row r="1527" spans="1:76" s="55" customFormat="1" x14ac:dyDescent="0.25">
      <c r="A1527" s="195">
        <v>12</v>
      </c>
      <c r="B1527" s="216" t="str">
        <f t="shared" si="955"/>
        <v xml:space="preserve">: </v>
      </c>
      <c r="C1527" s="221"/>
      <c r="D1527" s="221"/>
      <c r="E1527" s="221"/>
      <c r="F1527" s="221"/>
      <c r="G1527" s="240"/>
      <c r="H1527" s="221"/>
      <c r="I1527" s="240"/>
      <c r="J1527" s="241"/>
      <c r="K1527" s="241"/>
      <c r="L1527" s="227"/>
      <c r="M1527" s="335" t="str">
        <f>'[1]Advanced Controls'!$H$99</f>
        <v>US$2014 per kg of protein</v>
      </c>
      <c r="N1527" s="227"/>
      <c r="O1527" s="227"/>
      <c r="P1527" s="122"/>
      <c r="Q1527" s="228"/>
      <c r="R1527" s="231" t="str">
        <f t="shared" si="968"/>
        <v/>
      </c>
      <c r="S1527" s="230" t="str">
        <f t="shared" si="956"/>
        <v/>
      </c>
      <c r="T1527" s="231" t="str">
        <f>IF(OR(Q1527="Y",IFERROR(R1527&gt;R1536+R1540*$AA$35,0),IFERROR(R1527&lt;R1536-R1540*$AA$35,0)),"",IFERROR(R1527*N1527,""))</f>
        <v/>
      </c>
      <c r="U1527" s="232" t="str">
        <f t="shared" si="957"/>
        <v>US$2014 per kg of protein</v>
      </c>
      <c r="V1527" s="28"/>
      <c r="W1527" s="28"/>
      <c r="Y1527" s="91"/>
      <c r="AO1527" s="91"/>
      <c r="AP1527" s="28"/>
      <c r="AQ1527" s="28"/>
      <c r="AR1527" s="237"/>
      <c r="AS1527" s="28"/>
      <c r="AT1527" s="304" t="str">
        <f t="shared" si="958"/>
        <v/>
      </c>
      <c r="AU1527" s="304" t="str">
        <f t="shared" si="958"/>
        <v/>
      </c>
      <c r="AV1527" s="28"/>
      <c r="AW1527" s="304" t="str">
        <f t="shared" si="959"/>
        <v/>
      </c>
      <c r="AX1527" s="304" t="str">
        <f t="shared" si="959"/>
        <v/>
      </c>
      <c r="AY1527" s="28"/>
      <c r="AZ1527" s="304" t="str">
        <f t="shared" si="960"/>
        <v/>
      </c>
      <c r="BA1527" s="304" t="str">
        <f t="shared" si="960"/>
        <v/>
      </c>
      <c r="BB1527" s="28"/>
      <c r="BC1527" s="304" t="str">
        <f t="shared" si="961"/>
        <v/>
      </c>
      <c r="BD1527" s="304" t="str">
        <f t="shared" si="961"/>
        <v/>
      </c>
      <c r="BE1527" s="28"/>
      <c r="BF1527" s="304" t="str">
        <f t="shared" si="962"/>
        <v/>
      </c>
      <c r="BG1527" s="304" t="str">
        <f t="shared" si="962"/>
        <v/>
      </c>
      <c r="BH1527" s="28"/>
      <c r="BI1527" s="304" t="str">
        <f t="shared" si="963"/>
        <v/>
      </c>
      <c r="BJ1527" s="304" t="str">
        <f t="shared" si="963"/>
        <v/>
      </c>
      <c r="BK1527" s="28"/>
      <c r="BL1527" s="304" t="str">
        <f t="shared" si="964"/>
        <v/>
      </c>
      <c r="BM1527" s="304" t="str">
        <f t="shared" si="964"/>
        <v/>
      </c>
      <c r="BN1527" s="28"/>
      <c r="BO1527" s="304" t="str">
        <f t="shared" si="965"/>
        <v/>
      </c>
      <c r="BP1527" s="304" t="str">
        <f t="shared" si="965"/>
        <v/>
      </c>
      <c r="BQ1527" s="28"/>
      <c r="BR1527" s="304" t="str">
        <f t="shared" si="966"/>
        <v/>
      </c>
      <c r="BS1527" s="304" t="str">
        <f t="shared" si="966"/>
        <v/>
      </c>
      <c r="BT1527" s="28"/>
      <c r="BU1527" s="304" t="str">
        <f t="shared" si="967"/>
        <v/>
      </c>
      <c r="BV1527" s="304" t="str">
        <f t="shared" si="967"/>
        <v/>
      </c>
      <c r="BW1527" s="28"/>
      <c r="BX1527" s="91"/>
    </row>
    <row r="1528" spans="1:76" s="55" customFormat="1" x14ac:dyDescent="0.25">
      <c r="A1528" s="195">
        <v>13</v>
      </c>
      <c r="B1528" s="216" t="str">
        <f t="shared" si="955"/>
        <v xml:space="preserve">: </v>
      </c>
      <c r="C1528" s="221"/>
      <c r="D1528" s="221"/>
      <c r="E1528" s="221"/>
      <c r="F1528" s="221"/>
      <c r="G1528" s="240"/>
      <c r="H1528" s="221"/>
      <c r="I1528" s="240"/>
      <c r="J1528" s="241"/>
      <c r="K1528" s="241"/>
      <c r="L1528" s="227"/>
      <c r="M1528" s="335" t="str">
        <f>'[1]Advanced Controls'!$H$99</f>
        <v>US$2014 per kg of protein</v>
      </c>
      <c r="N1528" s="227"/>
      <c r="O1528" s="227"/>
      <c r="P1528" s="122"/>
      <c r="Q1528" s="228"/>
      <c r="R1528" s="231" t="str">
        <f t="shared" si="968"/>
        <v/>
      </c>
      <c r="S1528" s="230" t="str">
        <f t="shared" si="956"/>
        <v/>
      </c>
      <c r="T1528" s="231" t="str">
        <f>IF(OR(Q1528="Y",IFERROR(R1528&gt;R1536+R1540*$AA$35,0),IFERROR(R1528&lt;R1536-R1540*$AA$35,0)),"",IFERROR(R1528*N1528,""))</f>
        <v/>
      </c>
      <c r="U1528" s="232" t="str">
        <f t="shared" si="957"/>
        <v>US$2014 per kg of protein</v>
      </c>
      <c r="V1528" s="28"/>
      <c r="W1528" s="28"/>
      <c r="Y1528" s="91"/>
      <c r="AO1528" s="91"/>
      <c r="AP1528" s="28"/>
      <c r="AQ1528" s="28"/>
      <c r="AR1528" s="237"/>
      <c r="AS1528" s="28"/>
      <c r="AT1528" s="304" t="str">
        <f t="shared" si="958"/>
        <v/>
      </c>
      <c r="AU1528" s="304" t="str">
        <f t="shared" si="958"/>
        <v/>
      </c>
      <c r="AV1528" s="28"/>
      <c r="AW1528" s="304" t="str">
        <f t="shared" si="959"/>
        <v/>
      </c>
      <c r="AX1528" s="304" t="str">
        <f t="shared" si="959"/>
        <v/>
      </c>
      <c r="AY1528" s="28"/>
      <c r="AZ1528" s="304" t="str">
        <f t="shared" si="960"/>
        <v/>
      </c>
      <c r="BA1528" s="304" t="str">
        <f t="shared" si="960"/>
        <v/>
      </c>
      <c r="BB1528" s="28"/>
      <c r="BC1528" s="304" t="str">
        <f t="shared" si="961"/>
        <v/>
      </c>
      <c r="BD1528" s="304" t="str">
        <f t="shared" si="961"/>
        <v/>
      </c>
      <c r="BE1528" s="28"/>
      <c r="BF1528" s="304" t="str">
        <f t="shared" si="962"/>
        <v/>
      </c>
      <c r="BG1528" s="304" t="str">
        <f t="shared" si="962"/>
        <v/>
      </c>
      <c r="BH1528" s="28"/>
      <c r="BI1528" s="304" t="str">
        <f t="shared" si="963"/>
        <v/>
      </c>
      <c r="BJ1528" s="304" t="str">
        <f t="shared" si="963"/>
        <v/>
      </c>
      <c r="BK1528" s="28"/>
      <c r="BL1528" s="304" t="str">
        <f t="shared" si="964"/>
        <v/>
      </c>
      <c r="BM1528" s="304" t="str">
        <f t="shared" si="964"/>
        <v/>
      </c>
      <c r="BN1528" s="28"/>
      <c r="BO1528" s="304" t="str">
        <f t="shared" si="965"/>
        <v/>
      </c>
      <c r="BP1528" s="304" t="str">
        <f t="shared" si="965"/>
        <v/>
      </c>
      <c r="BQ1528" s="28"/>
      <c r="BR1528" s="304" t="str">
        <f t="shared" si="966"/>
        <v/>
      </c>
      <c r="BS1528" s="304" t="str">
        <f t="shared" si="966"/>
        <v/>
      </c>
      <c r="BT1528" s="28"/>
      <c r="BU1528" s="304" t="str">
        <f t="shared" si="967"/>
        <v/>
      </c>
      <c r="BV1528" s="304" t="str">
        <f t="shared" si="967"/>
        <v/>
      </c>
      <c r="BW1528" s="28"/>
      <c r="BX1528" s="91"/>
    </row>
    <row r="1529" spans="1:76" s="55" customFormat="1" x14ac:dyDescent="0.25">
      <c r="A1529" s="195">
        <v>14</v>
      </c>
      <c r="B1529" s="216" t="str">
        <f t="shared" si="955"/>
        <v xml:space="preserve">: </v>
      </c>
      <c r="C1529" s="221"/>
      <c r="D1529" s="221"/>
      <c r="E1529" s="221"/>
      <c r="F1529" s="221"/>
      <c r="G1529" s="240"/>
      <c r="H1529" s="221"/>
      <c r="I1529" s="240"/>
      <c r="J1529" s="241"/>
      <c r="K1529" s="241"/>
      <c r="L1529" s="227"/>
      <c r="M1529" s="335" t="str">
        <f>'[1]Advanced Controls'!$H$99</f>
        <v>US$2014 per kg of protein</v>
      </c>
      <c r="N1529" s="227"/>
      <c r="O1529" s="227"/>
      <c r="P1529" s="122"/>
      <c r="Q1529" s="228"/>
      <c r="R1529" s="231" t="str">
        <f t="shared" si="968"/>
        <v/>
      </c>
      <c r="S1529" s="230" t="str">
        <f t="shared" si="956"/>
        <v/>
      </c>
      <c r="T1529" s="231" t="str">
        <f>IF(OR(Q1529="Y",IFERROR(R1529&gt;R1536+R1540*$AA$35,0),IFERROR(R1529&lt;R1536-R1540*$AA$35,0)),"",IFERROR(R1529*N1529,""))</f>
        <v/>
      </c>
      <c r="U1529" s="232" t="str">
        <f t="shared" si="957"/>
        <v>US$2014 per kg of protein</v>
      </c>
      <c r="V1529" s="28"/>
      <c r="W1529" s="28"/>
      <c r="Y1529" s="91"/>
      <c r="AO1529" s="91"/>
      <c r="AP1529" s="28"/>
      <c r="AQ1529" s="28"/>
      <c r="AR1529" s="237"/>
      <c r="AS1529" s="28"/>
      <c r="AT1529" s="304" t="str">
        <f t="shared" si="958"/>
        <v/>
      </c>
      <c r="AU1529" s="304" t="str">
        <f t="shared" si="958"/>
        <v/>
      </c>
      <c r="AV1529" s="28"/>
      <c r="AW1529" s="304" t="str">
        <f t="shared" si="959"/>
        <v/>
      </c>
      <c r="AX1529" s="304" t="str">
        <f t="shared" si="959"/>
        <v/>
      </c>
      <c r="AY1529" s="28"/>
      <c r="AZ1529" s="304" t="str">
        <f t="shared" si="960"/>
        <v/>
      </c>
      <c r="BA1529" s="304" t="str">
        <f t="shared" si="960"/>
        <v/>
      </c>
      <c r="BB1529" s="28"/>
      <c r="BC1529" s="304" t="str">
        <f t="shared" si="961"/>
        <v/>
      </c>
      <c r="BD1529" s="304" t="str">
        <f t="shared" si="961"/>
        <v/>
      </c>
      <c r="BE1529" s="28"/>
      <c r="BF1529" s="304" t="str">
        <f t="shared" si="962"/>
        <v/>
      </c>
      <c r="BG1529" s="304" t="str">
        <f t="shared" si="962"/>
        <v/>
      </c>
      <c r="BH1529" s="28"/>
      <c r="BI1529" s="304" t="str">
        <f t="shared" si="963"/>
        <v/>
      </c>
      <c r="BJ1529" s="304" t="str">
        <f t="shared" si="963"/>
        <v/>
      </c>
      <c r="BK1529" s="28"/>
      <c r="BL1529" s="304" t="str">
        <f t="shared" si="964"/>
        <v/>
      </c>
      <c r="BM1529" s="304" t="str">
        <f t="shared" si="964"/>
        <v/>
      </c>
      <c r="BN1529" s="28"/>
      <c r="BO1529" s="304" t="str">
        <f t="shared" si="965"/>
        <v/>
      </c>
      <c r="BP1529" s="304" t="str">
        <f t="shared" si="965"/>
        <v/>
      </c>
      <c r="BQ1529" s="28"/>
      <c r="BR1529" s="304" t="str">
        <f t="shared" si="966"/>
        <v/>
      </c>
      <c r="BS1529" s="304" t="str">
        <f t="shared" si="966"/>
        <v/>
      </c>
      <c r="BT1529" s="28"/>
      <c r="BU1529" s="304" t="str">
        <f t="shared" si="967"/>
        <v/>
      </c>
      <c r="BV1529" s="304" t="str">
        <f t="shared" si="967"/>
        <v/>
      </c>
      <c r="BW1529" s="28"/>
      <c r="BX1529" s="91"/>
    </row>
    <row r="1530" spans="1:76" s="55" customFormat="1" x14ac:dyDescent="0.25">
      <c r="A1530" s="195">
        <v>15</v>
      </c>
      <c r="B1530" s="216" t="str">
        <f t="shared" si="955"/>
        <v xml:space="preserve">: </v>
      </c>
      <c r="C1530" s="221"/>
      <c r="D1530" s="221"/>
      <c r="E1530" s="221"/>
      <c r="F1530" s="221"/>
      <c r="G1530" s="240"/>
      <c r="H1530" s="221"/>
      <c r="I1530" s="240"/>
      <c r="J1530" s="241"/>
      <c r="K1530" s="241"/>
      <c r="L1530" s="227"/>
      <c r="M1530" s="335" t="str">
        <f>'[1]Advanced Controls'!$H$99</f>
        <v>US$2014 per kg of protein</v>
      </c>
      <c r="N1530" s="227"/>
      <c r="O1530" s="227"/>
      <c r="P1530" s="122"/>
      <c r="Q1530" s="228"/>
      <c r="R1530" s="231" t="str">
        <f t="shared" si="968"/>
        <v/>
      </c>
      <c r="S1530" s="230" t="str">
        <f t="shared" si="956"/>
        <v/>
      </c>
      <c r="T1530" s="231" t="str">
        <f>IF(OR(Q1530="Y",IFERROR(R1530&gt;R1536+R1540*$AA$35,0),IFERROR(R1530&lt;R1536-R1540*$AA$35,0)),"",IFERROR(R1530*N1530,""))</f>
        <v/>
      </c>
      <c r="U1530" s="232" t="str">
        <f t="shared" si="957"/>
        <v>US$2014 per kg of protein</v>
      </c>
      <c r="V1530" s="28"/>
      <c r="W1530" s="28"/>
      <c r="Y1530" s="91"/>
      <c r="AO1530" s="91"/>
      <c r="AP1530" s="28"/>
      <c r="AQ1530" s="28"/>
      <c r="AR1530" s="237"/>
      <c r="AS1530" s="28"/>
      <c r="AT1530" s="304" t="str">
        <f t="shared" si="958"/>
        <v/>
      </c>
      <c r="AU1530" s="304" t="str">
        <f t="shared" si="958"/>
        <v/>
      </c>
      <c r="AV1530" s="28"/>
      <c r="AW1530" s="304" t="str">
        <f t="shared" si="959"/>
        <v/>
      </c>
      <c r="AX1530" s="304" t="str">
        <f t="shared" si="959"/>
        <v/>
      </c>
      <c r="AY1530" s="28"/>
      <c r="AZ1530" s="304" t="str">
        <f t="shared" si="960"/>
        <v/>
      </c>
      <c r="BA1530" s="304" t="str">
        <f t="shared" si="960"/>
        <v/>
      </c>
      <c r="BB1530" s="28"/>
      <c r="BC1530" s="304" t="str">
        <f t="shared" si="961"/>
        <v/>
      </c>
      <c r="BD1530" s="304" t="str">
        <f t="shared" si="961"/>
        <v/>
      </c>
      <c r="BE1530" s="28"/>
      <c r="BF1530" s="304" t="str">
        <f t="shared" si="962"/>
        <v/>
      </c>
      <c r="BG1530" s="304" t="str">
        <f t="shared" si="962"/>
        <v/>
      </c>
      <c r="BH1530" s="28"/>
      <c r="BI1530" s="304" t="str">
        <f t="shared" si="963"/>
        <v/>
      </c>
      <c r="BJ1530" s="304" t="str">
        <f t="shared" si="963"/>
        <v/>
      </c>
      <c r="BK1530" s="28"/>
      <c r="BL1530" s="304" t="str">
        <f t="shared" si="964"/>
        <v/>
      </c>
      <c r="BM1530" s="304" t="str">
        <f t="shared" si="964"/>
        <v/>
      </c>
      <c r="BN1530" s="28"/>
      <c r="BO1530" s="304" t="str">
        <f t="shared" si="965"/>
        <v/>
      </c>
      <c r="BP1530" s="304" t="str">
        <f t="shared" si="965"/>
        <v/>
      </c>
      <c r="BQ1530" s="28"/>
      <c r="BR1530" s="304" t="str">
        <f t="shared" si="966"/>
        <v/>
      </c>
      <c r="BS1530" s="304" t="str">
        <f t="shared" si="966"/>
        <v/>
      </c>
      <c r="BT1530" s="28"/>
      <c r="BU1530" s="304" t="str">
        <f t="shared" si="967"/>
        <v/>
      </c>
      <c r="BV1530" s="304" t="str">
        <f t="shared" si="967"/>
        <v/>
      </c>
      <c r="BW1530" s="28"/>
      <c r="BX1530" s="91"/>
    </row>
    <row r="1531" spans="1:76" s="55" customFormat="1" x14ac:dyDescent="0.25">
      <c r="A1531" s="195">
        <v>16</v>
      </c>
      <c r="B1531" s="216" t="str">
        <f t="shared" si="955"/>
        <v xml:space="preserve">: </v>
      </c>
      <c r="C1531" s="221"/>
      <c r="D1531" s="221"/>
      <c r="E1531" s="221"/>
      <c r="F1531" s="221"/>
      <c r="G1531" s="240"/>
      <c r="H1531" s="221"/>
      <c r="I1531" s="240"/>
      <c r="J1531" s="241"/>
      <c r="K1531" s="241"/>
      <c r="L1531" s="227"/>
      <c r="M1531" s="335" t="str">
        <f>'[1]Advanced Controls'!$H$99</f>
        <v>US$2014 per kg of protein</v>
      </c>
      <c r="N1531" s="227"/>
      <c r="O1531" s="227"/>
      <c r="P1531" s="122"/>
      <c r="Q1531" s="228"/>
      <c r="R1531" s="231" t="str">
        <f t="shared" si="968"/>
        <v/>
      </c>
      <c r="S1531" s="230" t="str">
        <f t="shared" si="956"/>
        <v/>
      </c>
      <c r="T1531" s="231" t="str">
        <f>IF(OR(Q1531="Y",IFERROR(R1531&gt;R1536+R1540*$AA$35,0),IFERROR(R1531&lt;R1536-R1540*$AA$35,0)),"",IFERROR(R1531*N1531,""))</f>
        <v/>
      </c>
      <c r="U1531" s="232" t="str">
        <f t="shared" si="957"/>
        <v>US$2014 per kg of protein</v>
      </c>
      <c r="V1531" s="28"/>
      <c r="W1531" s="28"/>
      <c r="Y1531" s="91"/>
      <c r="AO1531" s="91"/>
      <c r="AP1531" s="28"/>
      <c r="AQ1531" s="28"/>
      <c r="AR1531" s="237"/>
      <c r="AS1531" s="28"/>
      <c r="AT1531" s="304" t="str">
        <f t="shared" si="958"/>
        <v/>
      </c>
      <c r="AU1531" s="304" t="str">
        <f t="shared" si="958"/>
        <v/>
      </c>
      <c r="AV1531" s="28"/>
      <c r="AW1531" s="304" t="str">
        <f t="shared" si="959"/>
        <v/>
      </c>
      <c r="AX1531" s="304" t="str">
        <f t="shared" si="959"/>
        <v/>
      </c>
      <c r="AY1531" s="28"/>
      <c r="AZ1531" s="304" t="str">
        <f t="shared" si="960"/>
        <v/>
      </c>
      <c r="BA1531" s="304" t="str">
        <f t="shared" si="960"/>
        <v/>
      </c>
      <c r="BB1531" s="28"/>
      <c r="BC1531" s="304" t="str">
        <f t="shared" si="961"/>
        <v/>
      </c>
      <c r="BD1531" s="304" t="str">
        <f t="shared" si="961"/>
        <v/>
      </c>
      <c r="BE1531" s="28"/>
      <c r="BF1531" s="304" t="str">
        <f t="shared" si="962"/>
        <v/>
      </c>
      <c r="BG1531" s="304" t="str">
        <f t="shared" si="962"/>
        <v/>
      </c>
      <c r="BH1531" s="28"/>
      <c r="BI1531" s="304" t="str">
        <f t="shared" si="963"/>
        <v/>
      </c>
      <c r="BJ1531" s="304" t="str">
        <f t="shared" si="963"/>
        <v/>
      </c>
      <c r="BK1531" s="28"/>
      <c r="BL1531" s="304" t="str">
        <f t="shared" si="964"/>
        <v/>
      </c>
      <c r="BM1531" s="304" t="str">
        <f t="shared" si="964"/>
        <v/>
      </c>
      <c r="BN1531" s="28"/>
      <c r="BO1531" s="304" t="str">
        <f t="shared" si="965"/>
        <v/>
      </c>
      <c r="BP1531" s="304" t="str">
        <f t="shared" si="965"/>
        <v/>
      </c>
      <c r="BQ1531" s="28"/>
      <c r="BR1531" s="304" t="str">
        <f t="shared" si="966"/>
        <v/>
      </c>
      <c r="BS1531" s="304" t="str">
        <f t="shared" si="966"/>
        <v/>
      </c>
      <c r="BT1531" s="28"/>
      <c r="BU1531" s="304" t="str">
        <f t="shared" si="967"/>
        <v/>
      </c>
      <c r="BV1531" s="304" t="str">
        <f t="shared" si="967"/>
        <v/>
      </c>
      <c r="BW1531" s="28"/>
      <c r="BX1531" s="91"/>
    </row>
    <row r="1532" spans="1:76" s="55" customFormat="1" x14ac:dyDescent="0.25">
      <c r="A1532" s="195">
        <v>17</v>
      </c>
      <c r="B1532" s="216" t="str">
        <f t="shared" si="955"/>
        <v xml:space="preserve">: </v>
      </c>
      <c r="C1532" s="221"/>
      <c r="D1532" s="221"/>
      <c r="E1532" s="221"/>
      <c r="F1532" s="221"/>
      <c r="G1532" s="240"/>
      <c r="H1532" s="221"/>
      <c r="I1532" s="240"/>
      <c r="J1532" s="241"/>
      <c r="K1532" s="241"/>
      <c r="L1532" s="227"/>
      <c r="M1532" s="335" t="str">
        <f>'[1]Advanced Controls'!$H$99</f>
        <v>US$2014 per kg of protein</v>
      </c>
      <c r="N1532" s="227"/>
      <c r="O1532" s="227"/>
      <c r="P1532" s="122"/>
      <c r="Q1532" s="228"/>
      <c r="R1532" s="231" t="str">
        <f t="shared" si="968"/>
        <v/>
      </c>
      <c r="S1532" s="230" t="str">
        <f t="shared" si="956"/>
        <v/>
      </c>
      <c r="T1532" s="231" t="str">
        <f>IF(OR(Q1532="Y",IFERROR(R1532&gt;R1536+R1540*$AA$35,0),IFERROR(R1532&lt;R1536-R1540*$AA$35,0)),"",IFERROR(R1532*N1532,""))</f>
        <v/>
      </c>
      <c r="U1532" s="232" t="str">
        <f t="shared" si="957"/>
        <v>US$2014 per kg of protein</v>
      </c>
      <c r="V1532" s="28"/>
      <c r="W1532" s="28"/>
      <c r="Y1532" s="91"/>
      <c r="AO1532" s="91"/>
      <c r="AP1532" s="28"/>
      <c r="AQ1532" s="28"/>
      <c r="AR1532" s="237"/>
      <c r="AS1532" s="28"/>
      <c r="AT1532" s="304" t="str">
        <f t="shared" si="958"/>
        <v/>
      </c>
      <c r="AU1532" s="304" t="str">
        <f t="shared" si="958"/>
        <v/>
      </c>
      <c r="AV1532" s="28"/>
      <c r="AW1532" s="304" t="str">
        <f t="shared" si="959"/>
        <v/>
      </c>
      <c r="AX1532" s="304" t="str">
        <f t="shared" si="959"/>
        <v/>
      </c>
      <c r="AY1532" s="28"/>
      <c r="AZ1532" s="304" t="str">
        <f t="shared" si="960"/>
        <v/>
      </c>
      <c r="BA1532" s="304" t="str">
        <f t="shared" si="960"/>
        <v/>
      </c>
      <c r="BB1532" s="28"/>
      <c r="BC1532" s="304" t="str">
        <f t="shared" si="961"/>
        <v/>
      </c>
      <c r="BD1532" s="304" t="str">
        <f t="shared" si="961"/>
        <v/>
      </c>
      <c r="BE1532" s="28"/>
      <c r="BF1532" s="304" t="str">
        <f t="shared" si="962"/>
        <v/>
      </c>
      <c r="BG1532" s="304" t="str">
        <f t="shared" si="962"/>
        <v/>
      </c>
      <c r="BH1532" s="28"/>
      <c r="BI1532" s="304" t="str">
        <f t="shared" si="963"/>
        <v/>
      </c>
      <c r="BJ1532" s="304" t="str">
        <f t="shared" si="963"/>
        <v/>
      </c>
      <c r="BK1532" s="28"/>
      <c r="BL1532" s="304" t="str">
        <f t="shared" si="964"/>
        <v/>
      </c>
      <c r="BM1532" s="304" t="str">
        <f t="shared" si="964"/>
        <v/>
      </c>
      <c r="BN1532" s="28"/>
      <c r="BO1532" s="304" t="str">
        <f t="shared" si="965"/>
        <v/>
      </c>
      <c r="BP1532" s="304" t="str">
        <f t="shared" si="965"/>
        <v/>
      </c>
      <c r="BQ1532" s="28"/>
      <c r="BR1532" s="304" t="str">
        <f t="shared" si="966"/>
        <v/>
      </c>
      <c r="BS1532" s="304" t="str">
        <f t="shared" si="966"/>
        <v/>
      </c>
      <c r="BT1532" s="28"/>
      <c r="BU1532" s="304" t="str">
        <f t="shared" si="967"/>
        <v/>
      </c>
      <c r="BV1532" s="304" t="str">
        <f t="shared" si="967"/>
        <v/>
      </c>
      <c r="BW1532" s="28"/>
      <c r="BX1532" s="91"/>
    </row>
    <row r="1533" spans="1:76" s="55" customFormat="1" x14ac:dyDescent="0.25">
      <c r="A1533" s="195">
        <v>18</v>
      </c>
      <c r="B1533" s="216" t="str">
        <f t="shared" si="955"/>
        <v xml:space="preserve">: </v>
      </c>
      <c r="C1533" s="221"/>
      <c r="D1533" s="221"/>
      <c r="E1533" s="221"/>
      <c r="F1533" s="221"/>
      <c r="G1533" s="240"/>
      <c r="H1533" s="221"/>
      <c r="I1533" s="240"/>
      <c r="J1533" s="241"/>
      <c r="K1533" s="241"/>
      <c r="L1533" s="227"/>
      <c r="M1533" s="335" t="str">
        <f>'[1]Advanced Controls'!$H$99</f>
        <v>US$2014 per kg of protein</v>
      </c>
      <c r="N1533" s="227"/>
      <c r="O1533" s="227"/>
      <c r="P1533" s="122"/>
      <c r="Q1533" s="228"/>
      <c r="R1533" s="231" t="str">
        <f t="shared" si="968"/>
        <v/>
      </c>
      <c r="S1533" s="230" t="str">
        <f t="shared" si="956"/>
        <v/>
      </c>
      <c r="T1533" s="231" t="str">
        <f>IF(OR(Q1533="Y",IFERROR(R1533&gt;R1536+R1540*$AA$35,0),IFERROR(R1533&lt;R1536-R1540*$AA$35,0)),"",IFERROR(R1533*N1533,""))</f>
        <v/>
      </c>
      <c r="U1533" s="232" t="str">
        <f t="shared" si="957"/>
        <v>US$2014 per kg of protein</v>
      </c>
      <c r="V1533" s="28"/>
      <c r="W1533" s="28"/>
      <c r="Y1533" s="91"/>
      <c r="AO1533" s="91"/>
      <c r="AP1533" s="28"/>
      <c r="AQ1533" s="28"/>
      <c r="AR1533" s="237"/>
      <c r="AS1533" s="28"/>
      <c r="AT1533" s="304" t="str">
        <f t="shared" si="958"/>
        <v/>
      </c>
      <c r="AU1533" s="304" t="str">
        <f t="shared" si="958"/>
        <v/>
      </c>
      <c r="AV1533" s="28"/>
      <c r="AW1533" s="304" t="str">
        <f t="shared" si="959"/>
        <v/>
      </c>
      <c r="AX1533" s="304" t="str">
        <f t="shared" si="959"/>
        <v/>
      </c>
      <c r="AY1533" s="28"/>
      <c r="AZ1533" s="304" t="str">
        <f t="shared" si="960"/>
        <v/>
      </c>
      <c r="BA1533" s="304" t="str">
        <f t="shared" si="960"/>
        <v/>
      </c>
      <c r="BB1533" s="28"/>
      <c r="BC1533" s="304" t="str">
        <f t="shared" si="961"/>
        <v/>
      </c>
      <c r="BD1533" s="304" t="str">
        <f t="shared" si="961"/>
        <v/>
      </c>
      <c r="BE1533" s="28"/>
      <c r="BF1533" s="304" t="str">
        <f t="shared" si="962"/>
        <v/>
      </c>
      <c r="BG1533" s="304" t="str">
        <f t="shared" si="962"/>
        <v/>
      </c>
      <c r="BH1533" s="28"/>
      <c r="BI1533" s="304" t="str">
        <f t="shared" si="963"/>
        <v/>
      </c>
      <c r="BJ1533" s="304" t="str">
        <f t="shared" si="963"/>
        <v/>
      </c>
      <c r="BK1533" s="28"/>
      <c r="BL1533" s="304" t="str">
        <f t="shared" si="964"/>
        <v/>
      </c>
      <c r="BM1533" s="304" t="str">
        <f t="shared" si="964"/>
        <v/>
      </c>
      <c r="BN1533" s="28"/>
      <c r="BO1533" s="304" t="str">
        <f t="shared" si="965"/>
        <v/>
      </c>
      <c r="BP1533" s="304" t="str">
        <f t="shared" si="965"/>
        <v/>
      </c>
      <c r="BQ1533" s="28"/>
      <c r="BR1533" s="304" t="str">
        <f t="shared" si="966"/>
        <v/>
      </c>
      <c r="BS1533" s="304" t="str">
        <f t="shared" si="966"/>
        <v/>
      </c>
      <c r="BT1533" s="28"/>
      <c r="BU1533" s="304" t="str">
        <f t="shared" si="967"/>
        <v/>
      </c>
      <c r="BV1533" s="304" t="str">
        <f t="shared" si="967"/>
        <v/>
      </c>
      <c r="BW1533" s="28"/>
      <c r="BX1533" s="91"/>
    </row>
    <row r="1534" spans="1:76" s="55" customFormat="1" x14ac:dyDescent="0.25">
      <c r="A1534" s="195">
        <v>19</v>
      </c>
      <c r="B1534" s="216" t="str">
        <f t="shared" si="955"/>
        <v xml:space="preserve">: </v>
      </c>
      <c r="C1534" s="221"/>
      <c r="D1534" s="221"/>
      <c r="E1534" s="221"/>
      <c r="F1534" s="221"/>
      <c r="G1534" s="240"/>
      <c r="H1534" s="221"/>
      <c r="I1534" s="240"/>
      <c r="J1534" s="241"/>
      <c r="K1534" s="241"/>
      <c r="L1534" s="227"/>
      <c r="M1534" s="335" t="str">
        <f>'[1]Advanced Controls'!$H$99</f>
        <v>US$2014 per kg of protein</v>
      </c>
      <c r="N1534" s="227"/>
      <c r="O1534" s="227"/>
      <c r="P1534" s="122"/>
      <c r="Q1534" s="228"/>
      <c r="R1534" s="231" t="str">
        <f t="shared" si="968"/>
        <v/>
      </c>
      <c r="S1534" s="230" t="str">
        <f t="shared" si="956"/>
        <v/>
      </c>
      <c r="T1534" s="231" t="str">
        <f>IF(OR(Q1534="Y",IFERROR(R1534&gt;R1536+R1540*$AA$35,0),IFERROR(R1534&lt;R1536-R1540*$AA$35,0)),"",IFERROR(R1534*N1534,""))</f>
        <v/>
      </c>
      <c r="U1534" s="232" t="str">
        <f t="shared" si="957"/>
        <v>US$2014 per kg of protein</v>
      </c>
      <c r="V1534" s="28"/>
      <c r="W1534" s="28"/>
      <c r="Y1534" s="91"/>
      <c r="AO1534" s="91"/>
      <c r="AP1534" s="28"/>
      <c r="AQ1534" s="28"/>
      <c r="AR1534" s="237"/>
      <c r="AS1534" s="28"/>
      <c r="AT1534" s="304" t="str">
        <f t="shared" si="958"/>
        <v/>
      </c>
      <c r="AU1534" s="304" t="str">
        <f t="shared" si="958"/>
        <v/>
      </c>
      <c r="AV1534" s="28"/>
      <c r="AW1534" s="304" t="str">
        <f t="shared" si="959"/>
        <v/>
      </c>
      <c r="AX1534" s="304" t="str">
        <f t="shared" si="959"/>
        <v/>
      </c>
      <c r="AY1534" s="28"/>
      <c r="AZ1534" s="304" t="str">
        <f t="shared" si="960"/>
        <v/>
      </c>
      <c r="BA1534" s="304" t="str">
        <f t="shared" si="960"/>
        <v/>
      </c>
      <c r="BB1534" s="28"/>
      <c r="BC1534" s="304" t="str">
        <f t="shared" si="961"/>
        <v/>
      </c>
      <c r="BD1534" s="304" t="str">
        <f t="shared" si="961"/>
        <v/>
      </c>
      <c r="BE1534" s="28"/>
      <c r="BF1534" s="304" t="str">
        <f t="shared" si="962"/>
        <v/>
      </c>
      <c r="BG1534" s="304" t="str">
        <f t="shared" si="962"/>
        <v/>
      </c>
      <c r="BH1534" s="28"/>
      <c r="BI1534" s="304" t="str">
        <f t="shared" si="963"/>
        <v/>
      </c>
      <c r="BJ1534" s="304" t="str">
        <f t="shared" si="963"/>
        <v/>
      </c>
      <c r="BK1534" s="28"/>
      <c r="BL1534" s="304" t="str">
        <f t="shared" si="964"/>
        <v/>
      </c>
      <c r="BM1534" s="304" t="str">
        <f t="shared" si="964"/>
        <v/>
      </c>
      <c r="BN1534" s="28"/>
      <c r="BO1534" s="304" t="str">
        <f t="shared" si="965"/>
        <v/>
      </c>
      <c r="BP1534" s="304" t="str">
        <f t="shared" si="965"/>
        <v/>
      </c>
      <c r="BQ1534" s="28"/>
      <c r="BR1534" s="304" t="str">
        <f t="shared" si="966"/>
        <v/>
      </c>
      <c r="BS1534" s="304" t="str">
        <f t="shared" si="966"/>
        <v/>
      </c>
      <c r="BT1534" s="28"/>
      <c r="BU1534" s="304" t="str">
        <f t="shared" si="967"/>
        <v/>
      </c>
      <c r="BV1534" s="304" t="str">
        <f t="shared" si="967"/>
        <v/>
      </c>
      <c r="BW1534" s="28"/>
      <c r="BX1534" s="91"/>
    </row>
    <row r="1535" spans="1:76" s="55" customFormat="1" x14ac:dyDescent="0.25">
      <c r="A1535" s="195">
        <v>20</v>
      </c>
      <c r="B1535" s="216" t="str">
        <f t="shared" si="955"/>
        <v xml:space="preserve">: </v>
      </c>
      <c r="C1535" s="221"/>
      <c r="D1535" s="221"/>
      <c r="E1535" s="221"/>
      <c r="F1535" s="221"/>
      <c r="G1535" s="240"/>
      <c r="H1535" s="221"/>
      <c r="I1535" s="240"/>
      <c r="J1535" s="241"/>
      <c r="K1535" s="241"/>
      <c r="L1535" s="227"/>
      <c r="M1535" s="335" t="str">
        <f>'[1]Advanced Controls'!$H$99</f>
        <v>US$2014 per kg of protein</v>
      </c>
      <c r="N1535" s="227"/>
      <c r="O1535" s="227"/>
      <c r="P1535" s="122"/>
      <c r="Q1535" s="228"/>
      <c r="R1535" s="231" t="str">
        <f t="shared" si="968"/>
        <v/>
      </c>
      <c r="S1535" s="230" t="str">
        <f t="shared" si="956"/>
        <v/>
      </c>
      <c r="T1535" s="231" t="str">
        <f>IF(OR(Q1535="Y",IFERROR(R1535&gt;R1536+R1540*$AA$35,0),IFERROR(R1535&lt;R1536-R1540*$AA$35,0)),"",IFERROR(R1535*N1535,""))</f>
        <v/>
      </c>
      <c r="U1535" s="232" t="str">
        <f t="shared" si="957"/>
        <v>US$2014 per kg of protein</v>
      </c>
      <c r="V1535" s="28"/>
      <c r="W1535" s="28"/>
      <c r="Y1535" s="91"/>
      <c r="AO1535" s="91"/>
      <c r="AP1535" s="28"/>
      <c r="AQ1535" s="28"/>
      <c r="AR1535" s="237"/>
      <c r="AS1535" s="28"/>
      <c r="AT1535" s="304" t="str">
        <f t="shared" si="958"/>
        <v/>
      </c>
      <c r="AU1535" s="304" t="str">
        <f t="shared" si="958"/>
        <v/>
      </c>
      <c r="AV1535" s="28"/>
      <c r="AW1535" s="304" t="str">
        <f t="shared" si="959"/>
        <v/>
      </c>
      <c r="AX1535" s="304" t="str">
        <f t="shared" si="959"/>
        <v/>
      </c>
      <c r="AY1535" s="28"/>
      <c r="AZ1535" s="304" t="str">
        <f t="shared" si="960"/>
        <v/>
      </c>
      <c r="BA1535" s="304" t="str">
        <f t="shared" si="960"/>
        <v/>
      </c>
      <c r="BB1535" s="28"/>
      <c r="BC1535" s="304" t="str">
        <f t="shared" si="961"/>
        <v/>
      </c>
      <c r="BD1535" s="304" t="str">
        <f t="shared" si="961"/>
        <v/>
      </c>
      <c r="BE1535" s="28"/>
      <c r="BF1535" s="304" t="str">
        <f t="shared" si="962"/>
        <v/>
      </c>
      <c r="BG1535" s="304" t="str">
        <f t="shared" si="962"/>
        <v/>
      </c>
      <c r="BH1535" s="28"/>
      <c r="BI1535" s="304" t="str">
        <f t="shared" si="963"/>
        <v/>
      </c>
      <c r="BJ1535" s="304" t="str">
        <f t="shared" si="963"/>
        <v/>
      </c>
      <c r="BK1535" s="28"/>
      <c r="BL1535" s="304" t="str">
        <f t="shared" si="964"/>
        <v/>
      </c>
      <c r="BM1535" s="304" t="str">
        <f t="shared" si="964"/>
        <v/>
      </c>
      <c r="BN1535" s="28"/>
      <c r="BO1535" s="304" t="str">
        <f t="shared" si="965"/>
        <v/>
      </c>
      <c r="BP1535" s="304" t="str">
        <f t="shared" si="965"/>
        <v/>
      </c>
      <c r="BQ1535" s="28"/>
      <c r="BR1535" s="304" t="str">
        <f t="shared" si="966"/>
        <v/>
      </c>
      <c r="BS1535" s="304" t="str">
        <f t="shared" si="966"/>
        <v/>
      </c>
      <c r="BT1535" s="28"/>
      <c r="BU1535" s="304" t="str">
        <f t="shared" si="967"/>
        <v/>
      </c>
      <c r="BV1535" s="304" t="str">
        <f t="shared" si="967"/>
        <v/>
      </c>
      <c r="BW1535" s="28"/>
      <c r="BX1535" s="91"/>
    </row>
    <row r="1536" spans="1:76" s="55" customFormat="1" x14ac:dyDescent="0.25">
      <c r="A1536" s="195"/>
      <c r="B1536" s="244" t="s">
        <v>163</v>
      </c>
      <c r="C1536" s="199"/>
      <c r="D1536" s="199"/>
      <c r="E1536" s="199"/>
      <c r="F1536" s="199"/>
      <c r="H1536" s="28"/>
      <c r="I1536" s="245"/>
      <c r="J1536" s="122"/>
      <c r="K1536" s="122"/>
      <c r="L1536" s="122" t="s">
        <v>134</v>
      </c>
      <c r="M1536" s="122"/>
      <c r="N1536" s="122"/>
      <c r="O1536" s="122"/>
      <c r="P1536" s="122"/>
      <c r="Q1536" s="305" t="s">
        <v>136</v>
      </c>
      <c r="R1536" s="246" t="e">
        <f>AVERAGE(R1516:R1535)</f>
        <v>#DIV/0!</v>
      </c>
      <c r="S1536" s="247" t="e">
        <f>IF(R1544="Y",SUM(S1516:S1535)/SUMPRODUCT(N1516:N1535,--ISNUMBER(S1516:S1535)),AVERAGE(S1516:S1535))</f>
        <v>#DIV/0!</v>
      </c>
      <c r="T1536" s="248" t="e">
        <f>SUM(T1516:T1535)/SUMPRODUCT(N1516:N1535,--ISNUMBER(T1516:T1535))</f>
        <v>#DIV/0!</v>
      </c>
      <c r="U1536" s="28"/>
      <c r="V1536" s="28"/>
      <c r="W1536" s="28"/>
      <c r="Y1536" s="249"/>
      <c r="AO1536" s="91"/>
      <c r="AP1536" s="28"/>
      <c r="AQ1536" s="28"/>
      <c r="AR1536" s="28"/>
      <c r="AS1536" s="245" t="s">
        <v>136</v>
      </c>
      <c r="AT1536" s="307" t="e">
        <f>AVERAGE(AT1516:AT1535)</f>
        <v>#DIV/0!</v>
      </c>
      <c r="AU1536" s="307" t="e">
        <f>SUM(AU1516:AU1535)/COUNTIF(AU1516:AU1535,"&gt;0")</f>
        <v>#DIV/0!</v>
      </c>
      <c r="AV1536" s="245"/>
      <c r="AW1536" s="307" t="e">
        <f>AVERAGE(AW1516:AW1535)</f>
        <v>#DIV/0!</v>
      </c>
      <c r="AX1536" s="307" t="e">
        <f>SUM(AX1516:AX1535)/COUNTIF(AX1516:AX1535,"&gt;0")</f>
        <v>#DIV/0!</v>
      </c>
      <c r="AY1536" s="28"/>
      <c r="AZ1536" s="307" t="e">
        <f>AVERAGE(AZ1516:AZ1535)</f>
        <v>#DIV/0!</v>
      </c>
      <c r="BA1536" s="307" t="e">
        <f>SUM(BA1516:BA1535)/COUNTIF(BA1516:BA1535,"&gt;0")</f>
        <v>#DIV/0!</v>
      </c>
      <c r="BB1536" s="28"/>
      <c r="BC1536" s="307" t="e">
        <f>AVERAGE(BC1516:BC1535)</f>
        <v>#DIV/0!</v>
      </c>
      <c r="BD1536" s="307" t="e">
        <f>SUM(BD1516:BD1535)/COUNTIF(BD1516:BD1535,"&gt;0")</f>
        <v>#DIV/0!</v>
      </c>
      <c r="BE1536" s="28"/>
      <c r="BF1536" s="307" t="e">
        <f>AVERAGE(BF1516:BF1535)</f>
        <v>#DIV/0!</v>
      </c>
      <c r="BG1536" s="307" t="e">
        <f>SUM(BG1516:BG1535)/COUNTIF(BG1516:BG1535,"&gt;0")</f>
        <v>#DIV/0!</v>
      </c>
      <c r="BH1536" s="28"/>
      <c r="BI1536" s="307" t="e">
        <f>AVERAGE(BI1516:BI1535)</f>
        <v>#DIV/0!</v>
      </c>
      <c r="BJ1536" s="307" t="e">
        <f>SUM(BJ1516:BJ1535)/COUNTIF(BJ1516:BJ1535,"&gt;0")</f>
        <v>#DIV/0!</v>
      </c>
      <c r="BK1536" s="245"/>
      <c r="BL1536" s="307" t="e">
        <f>AVERAGE(BL1516:BL1535)</f>
        <v>#DIV/0!</v>
      </c>
      <c r="BM1536" s="307" t="e">
        <f>SUM(BM1516:BM1535)/COUNTIF(BM1516:BM1535,"&gt;0")</f>
        <v>#DIV/0!</v>
      </c>
      <c r="BN1536" s="28"/>
      <c r="BO1536" s="307" t="e">
        <f>AVERAGE(BO1516:BO1535)</f>
        <v>#DIV/0!</v>
      </c>
      <c r="BP1536" s="307" t="e">
        <f>SUM(BP1516:BP1535)/COUNTIF(BP1516:BP1535,"&gt;0")</f>
        <v>#DIV/0!</v>
      </c>
      <c r="BQ1536" s="28"/>
      <c r="BR1536" s="307" t="e">
        <f>AVERAGE(BR1516:BR1535)</f>
        <v>#DIV/0!</v>
      </c>
      <c r="BS1536" s="307" t="e">
        <f>SUM(BS1516:BS1535)/COUNTIF(BS1516:BS1535,"&gt;0")</f>
        <v>#DIV/0!</v>
      </c>
      <c r="BT1536" s="28"/>
      <c r="BU1536" s="307" t="e">
        <f>AVERAGE(BU1516:BU1535)</f>
        <v>#DIV/0!</v>
      </c>
      <c r="BV1536" s="307" t="e">
        <f>SUM(BV1516:BV1535)/COUNTIF(BV1516:BV1535,"&gt;0")</f>
        <v>#DIV/0!</v>
      </c>
      <c r="BW1536" s="28"/>
      <c r="BX1536" s="91"/>
    </row>
    <row r="1537" spans="1:76" s="55" customFormat="1" x14ac:dyDescent="0.25">
      <c r="A1537" s="195"/>
      <c r="B1537" s="244" t="s">
        <v>164</v>
      </c>
      <c r="C1537" s="199" t="s">
        <v>139</v>
      </c>
      <c r="D1537" s="252"/>
      <c r="E1537" s="253"/>
      <c r="F1537" s="253"/>
      <c r="G1537" s="253"/>
      <c r="H1537" s="253"/>
      <c r="I1537" s="253"/>
      <c r="J1537" s="254"/>
      <c r="K1537" s="122"/>
      <c r="L1537" s="122"/>
      <c r="M1537" s="122"/>
      <c r="N1537" s="122"/>
      <c r="O1537" s="122"/>
      <c r="P1537" s="122"/>
      <c r="Q1537" s="306" t="s">
        <v>144</v>
      </c>
      <c r="R1537" s="257" t="e">
        <f>R1536+U1537*R1540</f>
        <v>#DIV/0!</v>
      </c>
      <c r="S1537" s="257" t="e">
        <f>S1536+U1537*S1540</f>
        <v>#DIV/0!</v>
      </c>
      <c r="T1537" s="257" t="e">
        <f>T1536+U1537*T1540</f>
        <v>#DIV/0!</v>
      </c>
      <c r="U1537" s="258">
        <v>1</v>
      </c>
      <c r="V1537" s="122" t="s">
        <v>142</v>
      </c>
      <c r="W1537" s="28"/>
      <c r="X1537" s="259" t="s">
        <v>143</v>
      </c>
      <c r="Y1537" s="260"/>
      <c r="AO1537" s="91"/>
      <c r="AP1537" s="28"/>
      <c r="AQ1537" s="28"/>
      <c r="AR1537" s="28"/>
      <c r="AS1537" s="256" t="s">
        <v>144</v>
      </c>
      <c r="AT1537" s="261" t="e">
        <f>AT1536+(AT1542*AT1539)</f>
        <v>#DIV/0!</v>
      </c>
      <c r="AU1537" s="261" t="e">
        <f>AU1536+(AU1542*AT1539)</f>
        <v>#DIV/0!</v>
      </c>
      <c r="AV1537" s="256"/>
      <c r="AW1537" s="261" t="e">
        <f>AW1536+(AW1542*AW1539)</f>
        <v>#DIV/0!</v>
      </c>
      <c r="AX1537" s="261" t="e">
        <f>AX1536+(AX1542*AW1539)</f>
        <v>#DIV/0!</v>
      </c>
      <c r="AY1537" s="28"/>
      <c r="AZ1537" s="261" t="e">
        <f>AZ1536+(AZ1542*AZ1539)</f>
        <v>#DIV/0!</v>
      </c>
      <c r="BA1537" s="261" t="e">
        <f>BA1536+(BA1542*AZ1539)</f>
        <v>#DIV/0!</v>
      </c>
      <c r="BB1537" s="28"/>
      <c r="BC1537" s="261" t="e">
        <f>BC1536+(BC1542*BC1539)</f>
        <v>#DIV/0!</v>
      </c>
      <c r="BD1537" s="261" t="e">
        <f>BD1536+(BD1542*BC1539)</f>
        <v>#DIV/0!</v>
      </c>
      <c r="BE1537" s="28"/>
      <c r="BF1537" s="261" t="e">
        <f>BF1536+(BF1542*BF1539)</f>
        <v>#DIV/0!</v>
      </c>
      <c r="BG1537" s="261" t="e">
        <f>BG1536+(BG1542*BF1539)</f>
        <v>#DIV/0!</v>
      </c>
      <c r="BH1537" s="28"/>
      <c r="BI1537" s="261" t="e">
        <f>BI1536+(BI1542*BI1539)</f>
        <v>#DIV/0!</v>
      </c>
      <c r="BJ1537" s="261" t="e">
        <f>BJ1536+(BJ1542*BI1539)</f>
        <v>#DIV/0!</v>
      </c>
      <c r="BK1537" s="256"/>
      <c r="BL1537" s="261" t="e">
        <f>BL1536+(BL1542*BL1539)</f>
        <v>#DIV/0!</v>
      </c>
      <c r="BM1537" s="261" t="e">
        <f>BM1536+(BM1542*BL1539)</f>
        <v>#DIV/0!</v>
      </c>
      <c r="BN1537" s="28"/>
      <c r="BO1537" s="261" t="e">
        <f>BO1536+(BO1542*BO1539)</f>
        <v>#DIV/0!</v>
      </c>
      <c r="BP1537" s="261" t="e">
        <f>BP1536+(BP1542*BO1539)</f>
        <v>#DIV/0!</v>
      </c>
      <c r="BQ1537" s="28"/>
      <c r="BR1537" s="261" t="e">
        <f>BR1536+(BR1542*BR1539)</f>
        <v>#DIV/0!</v>
      </c>
      <c r="BS1537" s="261" t="e">
        <f>BS1536+(BS1542*BR1539)</f>
        <v>#DIV/0!</v>
      </c>
      <c r="BT1537" s="28"/>
      <c r="BU1537" s="261" t="e">
        <f>BU1536+(BU1542*BU1539)</f>
        <v>#DIV/0!</v>
      </c>
      <c r="BV1537" s="261" t="e">
        <f>BV1536+(BV1542*BU1539)</f>
        <v>#DIV/0!</v>
      </c>
      <c r="BW1537" s="28"/>
      <c r="BX1537" s="91"/>
    </row>
    <row r="1538" spans="1:76" s="55" customFormat="1" x14ac:dyDescent="0.25">
      <c r="A1538" s="195"/>
      <c r="B1538" s="244" t="s">
        <v>165</v>
      </c>
      <c r="C1538" s="195"/>
      <c r="D1538" s="263"/>
      <c r="E1538" s="264"/>
      <c r="F1538" s="264"/>
      <c r="G1538" s="264"/>
      <c r="H1538" s="264"/>
      <c r="I1538" s="264"/>
      <c r="J1538" s="265"/>
      <c r="K1538" s="28"/>
      <c r="L1538" s="28"/>
      <c r="M1538" s="122"/>
      <c r="N1538" s="122"/>
      <c r="O1538" s="122"/>
      <c r="P1538" s="122"/>
      <c r="Q1538" s="306" t="s">
        <v>150</v>
      </c>
      <c r="R1538" s="257" t="e">
        <f>IF($X1538="Y",MIN(R1516:R1535),R1536-$U1538*R1540)</f>
        <v>#DIV/0!</v>
      </c>
      <c r="S1538" s="257" t="e">
        <f>IF($X1538="Y",MIN(S1516:S1535),S1536-$U1538*S1540)</f>
        <v>#DIV/0!</v>
      </c>
      <c r="T1538" s="257" t="e">
        <f>IF($X1538="Y",MIN(T1516:T1535),T1536-$U1538*T1540)</f>
        <v>#DIV/0!</v>
      </c>
      <c r="U1538" s="258">
        <v>1</v>
      </c>
      <c r="V1538" s="122" t="s">
        <v>148</v>
      </c>
      <c r="W1538" s="28"/>
      <c r="X1538" s="266" t="s">
        <v>149</v>
      </c>
      <c r="Y1538" s="260"/>
      <c r="AO1538" s="91"/>
      <c r="AP1538" s="28"/>
      <c r="AQ1538" s="28"/>
      <c r="AR1538" s="28"/>
      <c r="AS1538" s="256" t="s">
        <v>150</v>
      </c>
      <c r="AT1538" s="261" t="e">
        <f>AT1536-(AT1542*AT1540)</f>
        <v>#DIV/0!</v>
      </c>
      <c r="AU1538" s="261" t="e">
        <f>AU1536-(AU1542*AT1540)</f>
        <v>#DIV/0!</v>
      </c>
      <c r="AV1538" s="256"/>
      <c r="AW1538" s="261" t="e">
        <f>AW1536-(AW1542*AW1540)</f>
        <v>#DIV/0!</v>
      </c>
      <c r="AX1538" s="261" t="e">
        <f>AX1536-(AX1542*AW1540)</f>
        <v>#DIV/0!</v>
      </c>
      <c r="AY1538" s="28"/>
      <c r="AZ1538" s="261" t="e">
        <f>AZ1536-(AZ1542*AZ1540)</f>
        <v>#DIV/0!</v>
      </c>
      <c r="BA1538" s="261" t="e">
        <f>BA1536-(BA1542*AZ1540)</f>
        <v>#DIV/0!</v>
      </c>
      <c r="BB1538" s="28"/>
      <c r="BC1538" s="261" t="e">
        <f>BC1536-(BC1542*BC1540)</f>
        <v>#DIV/0!</v>
      </c>
      <c r="BD1538" s="261" t="e">
        <f>BD1536-(BD1542*BC1540)</f>
        <v>#DIV/0!</v>
      </c>
      <c r="BE1538" s="28"/>
      <c r="BF1538" s="261" t="e">
        <f>BF1536-(BF1542*BF1540)</f>
        <v>#DIV/0!</v>
      </c>
      <c r="BG1538" s="261" t="e">
        <f>BG1536-(BG1542*BF1540)</f>
        <v>#DIV/0!</v>
      </c>
      <c r="BH1538" s="28"/>
      <c r="BI1538" s="261" t="e">
        <f>BI1536-(BI1542*BI1540)</f>
        <v>#DIV/0!</v>
      </c>
      <c r="BJ1538" s="261" t="e">
        <f>BJ1536-(BJ1542*BI1540)</f>
        <v>#DIV/0!</v>
      </c>
      <c r="BK1538" s="256"/>
      <c r="BL1538" s="261" t="e">
        <f>BL1536-(BL1542*BL1540)</f>
        <v>#DIV/0!</v>
      </c>
      <c r="BM1538" s="261" t="e">
        <f>BM1536-(BM1542*BL1540)</f>
        <v>#DIV/0!</v>
      </c>
      <c r="BN1538" s="28"/>
      <c r="BO1538" s="261" t="e">
        <f>BO1536-(BO1542*BO1540)</f>
        <v>#DIV/0!</v>
      </c>
      <c r="BP1538" s="261" t="e">
        <f>BP1536-(BP1542*BO1540)</f>
        <v>#DIV/0!</v>
      </c>
      <c r="BQ1538" s="28"/>
      <c r="BR1538" s="261" t="e">
        <f>BR1536-(BR1542*BR1540)</f>
        <v>#DIV/0!</v>
      </c>
      <c r="BS1538" s="261" t="e">
        <f>BS1536-(BS1542*BR1540)</f>
        <v>#DIV/0!</v>
      </c>
      <c r="BT1538" s="28"/>
      <c r="BU1538" s="261" t="e">
        <f>BU1536-(BU1542*BU1540)</f>
        <v>#DIV/0!</v>
      </c>
      <c r="BV1538" s="261" t="e">
        <f>BV1536-(BV1542*BU1540)</f>
        <v>#DIV/0!</v>
      </c>
      <c r="BW1538" s="28"/>
      <c r="BX1538" s="91"/>
    </row>
    <row r="1539" spans="1:76" s="55" customFormat="1" ht="14.25" x14ac:dyDescent="0.2">
      <c r="A1539" s="195"/>
      <c r="B1539" s="196"/>
      <c r="C1539" s="195"/>
      <c r="D1539" s="263"/>
      <c r="E1539" s="264"/>
      <c r="F1539" s="264"/>
      <c r="G1539" s="264"/>
      <c r="H1539" s="264"/>
      <c r="I1539" s="264"/>
      <c r="J1539" s="265"/>
      <c r="K1539" s="122"/>
      <c r="L1539" s="122"/>
      <c r="M1539" s="122"/>
      <c r="N1539" s="122"/>
      <c r="O1539" s="122"/>
      <c r="P1539" s="122"/>
      <c r="Q1539" s="306" t="s">
        <v>151</v>
      </c>
      <c r="R1539" s="257" t="e">
        <f>IF((0.67*R1540)&gt;R1536,"no","yes")</f>
        <v>#DIV/0!</v>
      </c>
      <c r="S1539" s="257" t="e">
        <f>IF((0.67*S1540)&gt;S1536,"no","yes")</f>
        <v>#DIV/0!</v>
      </c>
      <c r="T1539" s="257" t="e">
        <f>IF((0.67*T1540)&gt;T1536,"no","yes")</f>
        <v>#DIV/0!</v>
      </c>
      <c r="U1539" s="122"/>
      <c r="V1539" s="122"/>
      <c r="W1539" s="122"/>
      <c r="Y1539" s="260"/>
      <c r="AO1539" s="91"/>
      <c r="AP1539" s="122"/>
      <c r="AQ1539" s="122"/>
      <c r="AR1539" s="267" t="s">
        <v>152</v>
      </c>
      <c r="AS1539" s="268"/>
      <c r="AT1539" s="258">
        <v>1</v>
      </c>
      <c r="AU1539" s="122"/>
      <c r="AV1539" s="308"/>
      <c r="AW1539" s="258">
        <v>1</v>
      </c>
      <c r="AX1539" s="122"/>
      <c r="AY1539" s="122"/>
      <c r="AZ1539" s="258">
        <v>1</v>
      </c>
      <c r="BA1539" s="122"/>
      <c r="BB1539" s="122"/>
      <c r="BC1539" s="258">
        <v>1</v>
      </c>
      <c r="BD1539" s="122"/>
      <c r="BE1539" s="122"/>
      <c r="BF1539" s="258">
        <v>1</v>
      </c>
      <c r="BG1539" s="122"/>
      <c r="BH1539" s="122"/>
      <c r="BI1539" s="258">
        <v>1</v>
      </c>
      <c r="BJ1539" s="122"/>
      <c r="BK1539" s="256"/>
      <c r="BL1539" s="258">
        <v>1</v>
      </c>
      <c r="BM1539" s="122"/>
      <c r="BN1539" s="122"/>
      <c r="BO1539" s="258">
        <v>1</v>
      </c>
      <c r="BP1539" s="122"/>
      <c r="BQ1539" s="122"/>
      <c r="BR1539" s="258">
        <v>1</v>
      </c>
      <c r="BS1539" s="122"/>
      <c r="BT1539" s="122"/>
      <c r="BU1539" s="258">
        <v>1</v>
      </c>
      <c r="BV1539" s="122"/>
      <c r="BW1539" s="122"/>
      <c r="BX1539" s="91"/>
    </row>
    <row r="1540" spans="1:76" s="55" customFormat="1" ht="28.5" x14ac:dyDescent="0.2">
      <c r="A1540" s="195"/>
      <c r="B1540" s="196"/>
      <c r="C1540" s="195"/>
      <c r="D1540" s="263"/>
      <c r="E1540" s="264"/>
      <c r="F1540" s="264"/>
      <c r="G1540" s="264"/>
      <c r="H1540" s="264"/>
      <c r="I1540" s="264"/>
      <c r="J1540" s="265"/>
      <c r="K1540" s="122"/>
      <c r="L1540" s="122"/>
      <c r="M1540" s="122"/>
      <c r="N1540" s="122"/>
      <c r="O1540" s="122"/>
      <c r="P1540" s="122"/>
      <c r="Q1540" s="306" t="s">
        <v>157</v>
      </c>
      <c r="R1540" s="257">
        <f>IF(COUNT(R1516:R1535)&gt;1,_xlfn.STDEV.S(R1516:R1535),0)</f>
        <v>0</v>
      </c>
      <c r="S1540" s="257" t="e">
        <f t="array" ref="S1540">IF(R1544="Y",SQRT(SUM(IFERROR(N1516:N1535*(R1516:R1535-(S1536))^2,0))/((COUNT(S1516:S1535)-1)/COUNT(S1516:S1535)*SUMPRODUCT(N1516:N1535,--ISNUMBER(S1516:S1535)))),_xlfn.STDEV.S(S1516:S1535))</f>
        <v>#DIV/0!</v>
      </c>
      <c r="T1540" s="257" t="e">
        <f t="array" ref="T1540">SQRT(SUM(IFERROR(N1516:N1535*(R1516:R1535-(T1536))^2,0))/((COUNT(T1516:T1535)-1)/COUNT(T1516:T1535)*SUMPRODUCT(N1516:N1535,--ISNUMBER(T1516:T1535))))</f>
        <v>#DIV/0!</v>
      </c>
      <c r="U1540" s="122"/>
      <c r="V1540" s="122"/>
      <c r="W1540" s="122"/>
      <c r="Y1540" s="260"/>
      <c r="AO1540" s="91"/>
      <c r="AP1540" s="122"/>
      <c r="AQ1540" s="122"/>
      <c r="AR1540" s="267"/>
      <c r="AS1540" s="268"/>
      <c r="AT1540" s="258">
        <v>1</v>
      </c>
      <c r="AU1540" s="122"/>
      <c r="AV1540" s="308"/>
      <c r="AW1540" s="258">
        <v>1</v>
      </c>
      <c r="AX1540" s="122"/>
      <c r="AY1540" s="122"/>
      <c r="AZ1540" s="258">
        <v>1</v>
      </c>
      <c r="BA1540" s="122"/>
      <c r="BB1540" s="122"/>
      <c r="BC1540" s="258">
        <v>1</v>
      </c>
      <c r="BD1540" s="122"/>
      <c r="BE1540" s="122"/>
      <c r="BF1540" s="258">
        <v>1</v>
      </c>
      <c r="BG1540" s="122"/>
      <c r="BH1540" s="122"/>
      <c r="BI1540" s="258">
        <v>1</v>
      </c>
      <c r="BJ1540" s="122"/>
      <c r="BK1540" s="256"/>
      <c r="BL1540" s="258">
        <v>1</v>
      </c>
      <c r="BM1540" s="122"/>
      <c r="BN1540" s="122"/>
      <c r="BO1540" s="258">
        <v>1</v>
      </c>
      <c r="BP1540" s="122"/>
      <c r="BQ1540" s="122"/>
      <c r="BR1540" s="258">
        <v>1</v>
      </c>
      <c r="BS1540" s="122"/>
      <c r="BT1540" s="122"/>
      <c r="BU1540" s="258">
        <v>1</v>
      </c>
      <c r="BV1540" s="122"/>
      <c r="BW1540" s="122"/>
      <c r="BX1540" s="91"/>
    </row>
    <row r="1541" spans="1:76" s="55" customFormat="1" ht="15" customHeight="1" x14ac:dyDescent="0.25">
      <c r="A1541" s="122"/>
      <c r="B1541" s="118"/>
      <c r="C1541" s="195"/>
      <c r="D1541" s="263"/>
      <c r="E1541" s="264"/>
      <c r="F1541" s="264"/>
      <c r="G1541" s="264"/>
      <c r="H1541" s="264"/>
      <c r="I1541" s="264"/>
      <c r="J1541" s="265"/>
      <c r="K1541" s="122"/>
      <c r="L1541" s="122"/>
      <c r="M1541" s="122"/>
      <c r="N1541" s="122"/>
      <c r="O1541" s="122"/>
      <c r="P1541" s="122"/>
      <c r="Q1541" s="309" t="s">
        <v>159</v>
      </c>
      <c r="R1541" s="310">
        <f>COUNT(R1516:R1535)</f>
        <v>0</v>
      </c>
      <c r="S1541" s="310">
        <f>COUNT(S1516:S1535)</f>
        <v>0</v>
      </c>
      <c r="T1541" s="118"/>
      <c r="U1541" s="273" t="s">
        <v>155</v>
      </c>
      <c r="V1541" s="122"/>
      <c r="W1541" s="122"/>
      <c r="Y1541" s="91"/>
      <c r="AO1541" s="91"/>
      <c r="AP1541" s="122"/>
      <c r="AQ1541" s="122"/>
      <c r="AR1541" s="122"/>
      <c r="AS1541" s="256" t="s">
        <v>151</v>
      </c>
      <c r="AT1541" s="261" t="e">
        <f>IF((0.67*AT1542)&gt;AT1536,"no","yes")</f>
        <v>#DIV/0!</v>
      </c>
      <c r="AU1541" s="261" t="e">
        <f>IF((0.67*AU1542)&gt;AU1536,"no","yes")</f>
        <v>#DIV/0!</v>
      </c>
      <c r="AV1541" s="256"/>
      <c r="AW1541" s="261" t="e">
        <f>IF((0.67*AW1542)&gt;AW1536,"no","yes")</f>
        <v>#DIV/0!</v>
      </c>
      <c r="AX1541" s="261" t="e">
        <f>IF((0.67*AX1542)&gt;AX1536,"no","yes")</f>
        <v>#DIV/0!</v>
      </c>
      <c r="AY1541" s="122"/>
      <c r="AZ1541" s="261" t="e">
        <f>IF((0.67*AZ1542)&gt;AZ1536,"no","yes")</f>
        <v>#DIV/0!</v>
      </c>
      <c r="BA1541" s="261" t="e">
        <f>IF((0.67*BA1542)&gt;BA1536,"no","yes")</f>
        <v>#DIV/0!</v>
      </c>
      <c r="BB1541" s="122"/>
      <c r="BC1541" s="261" t="e">
        <f>IF((0.67*BC1542)&gt;BC1536,"no","yes")</f>
        <v>#DIV/0!</v>
      </c>
      <c r="BD1541" s="261" t="e">
        <f>IF((0.67*BD1542)&gt;BD1536,"no","yes")</f>
        <v>#DIV/0!</v>
      </c>
      <c r="BE1541" s="122"/>
      <c r="BF1541" s="261" t="e">
        <f>IF((0.67*BF1542)&gt;BF1536,"no","yes")</f>
        <v>#DIV/0!</v>
      </c>
      <c r="BG1541" s="261" t="e">
        <f>IF((0.67*BG1542)&gt;BG1536,"no","yes")</f>
        <v>#DIV/0!</v>
      </c>
      <c r="BH1541" s="122"/>
      <c r="BI1541" s="261" t="e">
        <f>IF((0.67*BI1542)&gt;BI1536,"no","yes")</f>
        <v>#DIV/0!</v>
      </c>
      <c r="BJ1541" s="261" t="e">
        <f>IF((0.67*BJ1542)&gt;BJ1536,"no","yes")</f>
        <v>#DIV/0!</v>
      </c>
      <c r="BK1541" s="133"/>
      <c r="BL1541" s="261" t="e">
        <f>IF((0.67*BL1542)&gt;BL1536,"no","yes")</f>
        <v>#DIV/0!</v>
      </c>
      <c r="BM1541" s="261" t="e">
        <f>IF((0.67*BM1542)&gt;BM1536,"no","yes")</f>
        <v>#DIV/0!</v>
      </c>
      <c r="BN1541" s="122"/>
      <c r="BO1541" s="261" t="e">
        <f>IF((0.67*BO1542)&gt;BO1536,"no","yes")</f>
        <v>#DIV/0!</v>
      </c>
      <c r="BP1541" s="261" t="e">
        <f>IF((0.67*BP1542)&gt;BP1536,"no","yes")</f>
        <v>#DIV/0!</v>
      </c>
      <c r="BQ1541" s="122"/>
      <c r="BR1541" s="261" t="e">
        <f>IF((0.67*BR1542)&gt;BR1536,"no","yes")</f>
        <v>#DIV/0!</v>
      </c>
      <c r="BS1541" s="261" t="e">
        <f>IF((0.67*BS1542)&gt;BS1536,"no","yes")</f>
        <v>#DIV/0!</v>
      </c>
      <c r="BT1541" s="122"/>
      <c r="BU1541" s="261" t="e">
        <f>IF((0.67*BU1542)&gt;BU1536,"no","yes")</f>
        <v>#DIV/0!</v>
      </c>
      <c r="BV1541" s="261" t="e">
        <f>IF((0.67*BV1542)&gt;BV1536,"no","yes")</f>
        <v>#DIV/0!</v>
      </c>
      <c r="BW1541" s="122"/>
      <c r="BX1541" s="91"/>
    </row>
    <row r="1542" spans="1:76" s="55" customFormat="1" ht="14.25" x14ac:dyDescent="0.2">
      <c r="B1542" s="23"/>
      <c r="C1542" s="195"/>
      <c r="D1542" s="263"/>
      <c r="E1542" s="264"/>
      <c r="F1542" s="264"/>
      <c r="G1542" s="264"/>
      <c r="H1542" s="264"/>
      <c r="I1542" s="264"/>
      <c r="J1542" s="265"/>
      <c r="K1542" s="122"/>
      <c r="L1542" s="122"/>
      <c r="M1542" s="122"/>
      <c r="N1542" s="122"/>
      <c r="O1542" s="122"/>
      <c r="P1542" s="122"/>
      <c r="Q1542" s="311"/>
      <c r="R1542" s="389"/>
      <c r="S1542" s="118"/>
      <c r="T1542" s="118"/>
      <c r="U1542" s="274"/>
      <c r="V1542" s="275"/>
      <c r="W1542" s="276"/>
      <c r="Y1542" s="91"/>
      <c r="AO1542" s="91"/>
      <c r="AP1542" s="122"/>
      <c r="AQ1542" s="122"/>
      <c r="AR1542" s="122"/>
      <c r="AS1542" s="256" t="s">
        <v>157</v>
      </c>
      <c r="AT1542" s="261">
        <f>IF(AT1543&gt;1,_xlfn.STDEV.S(AT1516:AT1535),0)</f>
        <v>0</v>
      </c>
      <c r="AU1542" s="261">
        <f>IF(AU1543&gt;1,_xlfn.STDEV.S(AU1516:AU1535),0)</f>
        <v>0</v>
      </c>
      <c r="AV1542" s="122"/>
      <c r="AW1542" s="261">
        <f t="shared" ref="AW1542:AX1542" si="969">IF(AW1543&gt;1,_xlfn.STDEV.S(AW1516:AW1535),0)</f>
        <v>0</v>
      </c>
      <c r="AX1542" s="261">
        <f t="shared" si="969"/>
        <v>0</v>
      </c>
      <c r="AY1542" s="122"/>
      <c r="AZ1542" s="261">
        <f t="shared" ref="AZ1542:BA1542" si="970">IF(AZ1543&gt;1,_xlfn.STDEV.S(AZ1516:AZ1535),0)</f>
        <v>0</v>
      </c>
      <c r="BA1542" s="261">
        <f t="shared" si="970"/>
        <v>0</v>
      </c>
      <c r="BB1542" s="122"/>
      <c r="BC1542" s="261">
        <f t="shared" ref="BC1542:BD1542" si="971">IF(BC1543&gt;1,_xlfn.STDEV.S(BC1516:BC1535),0)</f>
        <v>0</v>
      </c>
      <c r="BD1542" s="261">
        <f t="shared" si="971"/>
        <v>0</v>
      </c>
      <c r="BE1542" s="122"/>
      <c r="BF1542" s="261">
        <f t="shared" ref="BF1542:BG1542" si="972">IF(BF1543&gt;1,_xlfn.STDEV.S(BF1516:BF1535),0)</f>
        <v>0</v>
      </c>
      <c r="BG1542" s="261">
        <f t="shared" si="972"/>
        <v>0</v>
      </c>
      <c r="BH1542" s="122"/>
      <c r="BI1542" s="261">
        <f t="shared" ref="BI1542:BJ1542" si="973">IF(BI1543&gt;1,_xlfn.STDEV.S(BI1516:BI1535),0)</f>
        <v>0</v>
      </c>
      <c r="BJ1542" s="261">
        <f t="shared" si="973"/>
        <v>0</v>
      </c>
      <c r="BK1542" s="122"/>
      <c r="BL1542" s="261">
        <f t="shared" ref="BL1542:BM1542" si="974">IF(BL1543&gt;1,_xlfn.STDEV.S(BL1516:BL1535),0)</f>
        <v>0</v>
      </c>
      <c r="BM1542" s="261">
        <f t="shared" si="974"/>
        <v>0</v>
      </c>
      <c r="BN1542" s="122"/>
      <c r="BO1542" s="261">
        <f t="shared" ref="BO1542:BP1542" si="975">IF(BO1543&gt;1,_xlfn.STDEV.S(BO1516:BO1535),0)</f>
        <v>0</v>
      </c>
      <c r="BP1542" s="261">
        <f t="shared" si="975"/>
        <v>0</v>
      </c>
      <c r="BQ1542" s="122"/>
      <c r="BR1542" s="261">
        <f t="shared" ref="BR1542:BS1542" si="976">IF(BR1543&gt;1,_xlfn.STDEV.S(BR1516:BR1535),0)</f>
        <v>0</v>
      </c>
      <c r="BS1542" s="261">
        <f t="shared" si="976"/>
        <v>0</v>
      </c>
      <c r="BT1542" s="122"/>
      <c r="BU1542" s="261">
        <f t="shared" ref="BU1542:BV1542" si="977">IF(BU1543&gt;1,_xlfn.STDEV.S(BU1516:BU1535),0)</f>
        <v>0</v>
      </c>
      <c r="BV1542" s="261">
        <f t="shared" si="977"/>
        <v>0</v>
      </c>
      <c r="BW1542" s="122"/>
      <c r="BX1542" s="91"/>
    </row>
    <row r="1543" spans="1:76" s="55" customFormat="1" x14ac:dyDescent="0.2">
      <c r="B1543" s="23"/>
      <c r="C1543" s="195"/>
      <c r="D1543" s="277"/>
      <c r="E1543" s="278"/>
      <c r="F1543" s="278"/>
      <c r="G1543" s="278"/>
      <c r="H1543" s="278"/>
      <c r="I1543" s="278"/>
      <c r="J1543" s="279"/>
      <c r="K1543" s="122"/>
      <c r="L1543" s="122"/>
      <c r="M1543" s="122"/>
      <c r="N1543" s="122"/>
      <c r="O1543" s="122"/>
      <c r="P1543" s="122"/>
      <c r="Q1543" s="311"/>
      <c r="R1543" s="362" t="s">
        <v>158</v>
      </c>
      <c r="S1543" s="122"/>
      <c r="T1543" s="122"/>
      <c r="U1543" s="281"/>
      <c r="V1543" s="282"/>
      <c r="W1543" s="283"/>
      <c r="Y1543" s="91"/>
      <c r="AO1543" s="91"/>
      <c r="AP1543" s="122"/>
      <c r="AQ1543" s="122"/>
      <c r="AR1543" s="122"/>
      <c r="AS1543" s="133" t="s">
        <v>159</v>
      </c>
      <c r="AT1543" s="284">
        <f>COUNT(AT1516:AT1535)</f>
        <v>0</v>
      </c>
      <c r="AU1543" s="284">
        <f>COUNT(AU1516:AU1535)</f>
        <v>0</v>
      </c>
      <c r="AV1543" s="122"/>
      <c r="AW1543" s="284">
        <f t="shared" ref="AW1543:AX1543" si="978">COUNT(AW1516:AW1535)</f>
        <v>0</v>
      </c>
      <c r="AX1543" s="284">
        <f t="shared" si="978"/>
        <v>0</v>
      </c>
      <c r="AY1543" s="122"/>
      <c r="AZ1543" s="284">
        <f t="shared" ref="AZ1543:BA1543" si="979">COUNT(AZ1516:AZ1535)</f>
        <v>0</v>
      </c>
      <c r="BA1543" s="284">
        <f t="shared" si="979"/>
        <v>0</v>
      </c>
      <c r="BB1543" s="122"/>
      <c r="BC1543" s="284">
        <f t="shared" ref="BC1543:BD1543" si="980">COUNT(BC1516:BC1535)</f>
        <v>0</v>
      </c>
      <c r="BD1543" s="284">
        <f t="shared" si="980"/>
        <v>0</v>
      </c>
      <c r="BE1543" s="122"/>
      <c r="BF1543" s="284">
        <f t="shared" ref="BF1543:BG1543" si="981">COUNT(BF1516:BF1535)</f>
        <v>0</v>
      </c>
      <c r="BG1543" s="284">
        <f t="shared" si="981"/>
        <v>0</v>
      </c>
      <c r="BH1543" s="122"/>
      <c r="BI1543" s="284">
        <f t="shared" ref="BI1543:BJ1543" si="982">COUNT(BI1516:BI1535)</f>
        <v>0</v>
      </c>
      <c r="BJ1543" s="284">
        <f t="shared" si="982"/>
        <v>0</v>
      </c>
      <c r="BK1543" s="122"/>
      <c r="BL1543" s="284">
        <f t="shared" ref="BL1543:BM1543" si="983">COUNT(BL1516:BL1535)</f>
        <v>0</v>
      </c>
      <c r="BM1543" s="284">
        <f t="shared" si="983"/>
        <v>0</v>
      </c>
      <c r="BN1543" s="122"/>
      <c r="BO1543" s="284">
        <f t="shared" ref="BO1543:BP1543" si="984">COUNT(BO1516:BO1535)</f>
        <v>0</v>
      </c>
      <c r="BP1543" s="284">
        <f t="shared" si="984"/>
        <v>0</v>
      </c>
      <c r="BQ1543" s="122"/>
      <c r="BR1543" s="284">
        <f t="shared" ref="BR1543:BS1543" si="985">COUNT(BR1516:BR1535)</f>
        <v>0</v>
      </c>
      <c r="BS1543" s="284">
        <f t="shared" si="985"/>
        <v>0</v>
      </c>
      <c r="BT1543" s="122"/>
      <c r="BU1543" s="284">
        <f t="shared" ref="BU1543:BV1543" si="986">COUNT(BU1516:BU1535)</f>
        <v>0</v>
      </c>
      <c r="BV1543" s="284">
        <f t="shared" si="986"/>
        <v>0</v>
      </c>
      <c r="BW1543" s="122"/>
      <c r="BX1543" s="91"/>
    </row>
    <row r="1544" spans="1:76" s="55" customFormat="1" ht="14.25" x14ac:dyDescent="0.2">
      <c r="B1544" s="23"/>
      <c r="C1544" s="122"/>
      <c r="D1544" s="122"/>
      <c r="E1544" s="122"/>
      <c r="F1544" s="122"/>
      <c r="G1544" s="122"/>
      <c r="H1544" s="122"/>
      <c r="I1544" s="122"/>
      <c r="J1544" s="122"/>
      <c r="K1544" s="122"/>
      <c r="L1544" s="122"/>
      <c r="M1544" s="122"/>
      <c r="N1544" s="122"/>
      <c r="O1544" s="122"/>
      <c r="P1544" s="122"/>
      <c r="Q1544" s="311"/>
      <c r="R1544" s="287" t="s">
        <v>149</v>
      </c>
      <c r="S1544" s="122"/>
      <c r="T1544" s="122"/>
      <c r="U1544" s="281"/>
      <c r="V1544" s="282"/>
      <c r="W1544" s="283"/>
      <c r="Y1544" s="91"/>
      <c r="AO1544" s="91"/>
      <c r="BX1544" s="91"/>
    </row>
    <row r="1545" spans="1:76" s="55" customFormat="1" ht="14.25" x14ac:dyDescent="0.2">
      <c r="B1545" s="23"/>
      <c r="C1545" s="122"/>
      <c r="D1545" s="122"/>
      <c r="E1545" s="122"/>
      <c r="F1545" s="122"/>
      <c r="G1545" s="122"/>
      <c r="H1545" s="122"/>
      <c r="I1545" s="122"/>
      <c r="J1545" s="122"/>
      <c r="K1545" s="122"/>
      <c r="L1545" s="122"/>
      <c r="M1545" s="122"/>
      <c r="N1545" s="122"/>
      <c r="O1545" s="122"/>
      <c r="P1545" s="122"/>
      <c r="Q1545" s="311"/>
      <c r="R1545" s="122"/>
      <c r="S1545" s="122"/>
      <c r="T1545" s="122"/>
      <c r="U1545" s="288"/>
      <c r="V1545" s="289"/>
      <c r="W1545" s="290"/>
      <c r="Y1545" s="91"/>
      <c r="AO1545" s="91"/>
      <c r="BX1545" s="91"/>
    </row>
    <row r="1546" spans="1:76" s="55" customFormat="1" ht="18" x14ac:dyDescent="0.25">
      <c r="A1546" s="270" t="e">
        <f ca="1">HYPERLINK("#"&amp;"'"&amp;A$1&amp;"'!a1","Back to top")</f>
        <v>#VALUE!</v>
      </c>
      <c r="B1546" s="271"/>
      <c r="Q1546" s="81"/>
      <c r="T1546" s="122"/>
      <c r="U1546" s="122"/>
      <c r="V1546" s="122"/>
      <c r="W1546" s="122"/>
      <c r="Y1546" s="91"/>
      <c r="AO1546" s="296"/>
      <c r="AP1546" s="345"/>
      <c r="AQ1546" s="345"/>
      <c r="AR1546" s="346"/>
      <c r="AS1546" s="346"/>
      <c r="AT1546" s="346"/>
      <c r="AU1546" s="346"/>
      <c r="AV1546" s="346"/>
      <c r="AW1546" s="346"/>
      <c r="AX1546" s="346"/>
      <c r="AY1546" s="346"/>
      <c r="AZ1546" s="346"/>
      <c r="BA1546" s="346"/>
      <c r="BB1546" s="346"/>
      <c r="BC1546" s="346"/>
      <c r="BD1546" s="346"/>
      <c r="BE1546" s="346"/>
      <c r="BF1546" s="346"/>
      <c r="BG1546" s="346"/>
      <c r="BH1546" s="346"/>
      <c r="BI1546" s="346"/>
      <c r="BJ1546" s="346"/>
      <c r="BK1546" s="346"/>
      <c r="BL1546" s="346"/>
      <c r="BM1546" s="346"/>
      <c r="BN1546" s="346"/>
      <c r="BO1546" s="346"/>
      <c r="BP1546" s="346"/>
      <c r="BQ1546" s="346"/>
      <c r="BR1546" s="346"/>
      <c r="BS1546" s="346"/>
      <c r="BT1546" s="346"/>
      <c r="BU1546" s="346"/>
      <c r="BV1546" s="346"/>
      <c r="BW1546" s="346"/>
      <c r="BX1546" s="296"/>
    </row>
    <row r="1547" spans="1:76" s="55" customFormat="1" ht="14.25" x14ac:dyDescent="0.2">
      <c r="B1547" s="23"/>
      <c r="Q1547" s="81"/>
      <c r="Y1547" s="91"/>
      <c r="AO1547" s="91"/>
      <c r="BX1547" s="91"/>
    </row>
    <row r="1548" spans="1:76" s="55" customFormat="1" ht="14.25" x14ac:dyDescent="0.2">
      <c r="B1548" s="23"/>
      <c r="Q1548" s="81"/>
      <c r="Y1548" s="91"/>
      <c r="AO1548" s="91"/>
      <c r="BX1548" s="91"/>
    </row>
    <row r="1551" spans="1:76" s="9" customFormat="1" ht="18" x14ac:dyDescent="0.25">
      <c r="A1551" s="188">
        <f>A1513+1</f>
        <v>25</v>
      </c>
      <c r="B1551" s="189"/>
      <c r="C1551" s="293" t="s">
        <v>764</v>
      </c>
      <c r="D1551" s="191"/>
      <c r="E1551" s="191"/>
      <c r="F1551" s="191"/>
      <c r="G1551" s="191"/>
      <c r="J1551" s="191"/>
      <c r="K1551" s="191"/>
      <c r="L1551" s="192"/>
      <c r="M1551" s="192"/>
      <c r="N1551" s="192"/>
      <c r="Q1551" s="193"/>
      <c r="R1551" s="194" t="s">
        <v>93</v>
      </c>
      <c r="S1551" s="194"/>
      <c r="T1551" s="194"/>
      <c r="U1551" s="194"/>
      <c r="AP1551" s="175">
        <f>A1551</f>
        <v>25</v>
      </c>
      <c r="AQ1551" s="175" t="str">
        <f>C1551</f>
        <v>CONVENTIONAL Milk Yield</v>
      </c>
    </row>
    <row r="1552" spans="1:76" s="55" customFormat="1" x14ac:dyDescent="0.25">
      <c r="A1552" s="195"/>
      <c r="B1552" s="196"/>
      <c r="C1552" s="195"/>
      <c r="D1552" s="120"/>
      <c r="E1552" s="120"/>
      <c r="F1552" s="120"/>
      <c r="G1552" s="120"/>
      <c r="J1552" s="120"/>
      <c r="K1552" s="120"/>
      <c r="L1552" s="122"/>
      <c r="M1552" s="122"/>
      <c r="N1552" s="122"/>
      <c r="Q1552" s="81"/>
      <c r="R1552" s="23"/>
      <c r="S1552" s="23"/>
      <c r="T1552" s="23"/>
      <c r="Y1552" s="91"/>
      <c r="AO1552" s="91"/>
      <c r="AP1552" s="28"/>
      <c r="AQ1552" s="28"/>
      <c r="AR1552" s="28"/>
      <c r="AS1552" s="28"/>
      <c r="AT1552" s="198" t="s">
        <v>171</v>
      </c>
      <c r="AU1552" s="198"/>
      <c r="AV1552" s="28"/>
      <c r="AW1552" s="198" t="s">
        <v>96</v>
      </c>
      <c r="AX1552" s="198"/>
      <c r="AY1552" s="28"/>
      <c r="AZ1552" s="198" t="s">
        <v>97</v>
      </c>
      <c r="BA1552" s="198"/>
      <c r="BB1552" s="28"/>
      <c r="BC1552" s="198" t="s">
        <v>98</v>
      </c>
      <c r="BD1552" s="198"/>
      <c r="BE1552" s="28"/>
      <c r="BF1552" s="198" t="s">
        <v>99</v>
      </c>
      <c r="BG1552" s="198"/>
      <c r="BH1552" s="28"/>
      <c r="BI1552" s="198" t="s">
        <v>100</v>
      </c>
      <c r="BJ1552" s="198"/>
      <c r="BK1552" s="28"/>
      <c r="BL1552" s="198" t="s">
        <v>101</v>
      </c>
      <c r="BM1552" s="198"/>
      <c r="BN1552" s="28"/>
      <c r="BO1552" s="198" t="s">
        <v>102</v>
      </c>
      <c r="BP1552" s="198"/>
      <c r="BQ1552" s="28"/>
      <c r="BR1552" s="198" t="s">
        <v>103</v>
      </c>
      <c r="BS1552" s="198"/>
      <c r="BT1552" s="28"/>
      <c r="BU1552" s="198" t="s">
        <v>104</v>
      </c>
      <c r="BV1552" s="198"/>
      <c r="BW1552" s="28"/>
      <c r="BX1552" s="91"/>
    </row>
    <row r="1553" spans="1:76" s="55" customFormat="1" ht="30.75" thickBot="1" x14ac:dyDescent="0.3">
      <c r="A1553" s="199" t="s">
        <v>105</v>
      </c>
      <c r="B1553" s="200" t="s">
        <v>106</v>
      </c>
      <c r="C1553" s="201" t="s">
        <v>107</v>
      </c>
      <c r="D1553" s="202" t="s">
        <v>108</v>
      </c>
      <c r="E1553" s="202" t="s">
        <v>109</v>
      </c>
      <c r="F1553" s="201" t="s">
        <v>110</v>
      </c>
      <c r="G1553" s="201" t="s">
        <v>111</v>
      </c>
      <c r="H1553" s="202" t="s">
        <v>112</v>
      </c>
      <c r="I1553" s="203" t="s">
        <v>113</v>
      </c>
      <c r="J1553" s="204" t="s">
        <v>114</v>
      </c>
      <c r="K1553" s="205" t="s">
        <v>115</v>
      </c>
      <c r="L1553" s="206" t="s">
        <v>116</v>
      </c>
      <c r="M1553" s="207" t="s">
        <v>117</v>
      </c>
      <c r="N1553" s="208" t="s">
        <v>118</v>
      </c>
      <c r="O1553" s="207" t="s">
        <v>119</v>
      </c>
      <c r="P1553" s="210"/>
      <c r="Q1553" s="211" t="s">
        <v>120</v>
      </c>
      <c r="R1553" s="212" t="s">
        <v>121</v>
      </c>
      <c r="S1553" s="212" t="s">
        <v>122</v>
      </c>
      <c r="T1553" s="212" t="s">
        <v>123</v>
      </c>
      <c r="U1553" s="213" t="s">
        <v>124</v>
      </c>
      <c r="V1553" s="210"/>
      <c r="W1553" s="210"/>
      <c r="Y1553" s="91"/>
      <c r="AO1553" s="91"/>
      <c r="AP1553" s="210"/>
      <c r="AQ1553" s="210"/>
      <c r="AR1553" s="213" t="s">
        <v>125</v>
      </c>
      <c r="AS1553" s="210"/>
      <c r="AT1553" s="215" t="s">
        <v>121</v>
      </c>
      <c r="AU1553" s="215" t="s">
        <v>122</v>
      </c>
      <c r="AV1553" s="210"/>
      <c r="AW1553" s="215" t="s">
        <v>121</v>
      </c>
      <c r="AX1553" s="215" t="s">
        <v>122</v>
      </c>
      <c r="AY1553" s="210"/>
      <c r="AZ1553" s="215" t="s">
        <v>121</v>
      </c>
      <c r="BA1553" s="215" t="s">
        <v>122</v>
      </c>
      <c r="BB1553" s="210"/>
      <c r="BC1553" s="215" t="s">
        <v>121</v>
      </c>
      <c r="BD1553" s="215" t="s">
        <v>122</v>
      </c>
      <c r="BE1553" s="210"/>
      <c r="BF1553" s="215" t="s">
        <v>121</v>
      </c>
      <c r="BG1553" s="215" t="s">
        <v>122</v>
      </c>
      <c r="BH1553" s="210"/>
      <c r="BI1553" s="215" t="s">
        <v>121</v>
      </c>
      <c r="BJ1553" s="215" t="s">
        <v>122</v>
      </c>
      <c r="BK1553" s="210"/>
      <c r="BL1553" s="215" t="s">
        <v>121</v>
      </c>
      <c r="BM1553" s="215" t="s">
        <v>122</v>
      </c>
      <c r="BN1553" s="210"/>
      <c r="BO1553" s="215" t="s">
        <v>121</v>
      </c>
      <c r="BP1553" s="215" t="s">
        <v>122</v>
      </c>
      <c r="BQ1553" s="210"/>
      <c r="BR1553" s="215" t="s">
        <v>121</v>
      </c>
      <c r="BS1553" s="215" t="s">
        <v>122</v>
      </c>
      <c r="BT1553" s="210"/>
      <c r="BU1553" s="215" t="s">
        <v>121</v>
      </c>
      <c r="BV1553" s="215" t="s">
        <v>122</v>
      </c>
      <c r="BW1553" s="210"/>
      <c r="BX1553" s="91"/>
    </row>
    <row r="1554" spans="1:76" s="55" customFormat="1" x14ac:dyDescent="0.25">
      <c r="A1554" s="195">
        <v>1</v>
      </c>
      <c r="B1554" s="216" t="str">
        <f t="shared" ref="B1554:B1573" si="987">CONCATENATE(E1554,": ",C1554)</f>
        <v>OECD90: Santos et al. 2010. Effects of an addition of an essential oil complex to the diet of lactating dairy cows on whole tract digestion of nutrients and productive performance</v>
      </c>
      <c r="C1554" s="221" t="s">
        <v>322</v>
      </c>
      <c r="D1554" s="221" t="s">
        <v>323</v>
      </c>
      <c r="E1554" s="221" t="s">
        <v>96</v>
      </c>
      <c r="F1554" s="221" t="s">
        <v>324</v>
      </c>
      <c r="G1554" s="240" t="s">
        <v>24</v>
      </c>
      <c r="H1554" s="221">
        <v>2009</v>
      </c>
      <c r="I1554" s="220"/>
      <c r="J1554" s="222">
        <v>49.18</v>
      </c>
      <c r="K1554" s="223" t="s">
        <v>765</v>
      </c>
      <c r="L1554" s="236">
        <f>J1554*365</f>
        <v>17950.7</v>
      </c>
      <c r="M1554" s="217" t="s">
        <v>325</v>
      </c>
      <c r="N1554" s="227"/>
      <c r="O1554" s="242" t="s">
        <v>766</v>
      </c>
      <c r="P1554" s="122"/>
      <c r="Q1554" s="228"/>
      <c r="R1554" s="231">
        <f>IF(Q1554="Y","",IF(AND(L1554="",J1554=""),"",IF(L1554="",J1554,L1554)))</f>
        <v>17950.7</v>
      </c>
      <c r="S1554" s="230">
        <f t="shared" ref="S1554:S1573" si="988">IF(R1554="","",IF($R$1582="Y",T1554,IF(R1554&gt;=$R$1574-$AA$35*$R$1578,IF(R1554&lt;=$R$1574+$AA$35*$R$1578,R1554,""),"")))</f>
        <v>17950.7</v>
      </c>
      <c r="T1554" s="231">
        <f>IF(OR(Q1554="Y",IFERROR(R1554&gt;R1574+R1578*$AA$35,0),IFERROR(R1554&lt;R1574-R1578*$AA$35,0)),"",IFERROR(R1554*N1554,""))</f>
        <v>0</v>
      </c>
      <c r="U1554" s="232" t="str">
        <f t="shared" ref="U1554:U1573" si="989">IF(AND(M1554="",K1554=""),"",IF(M1554="",K1554,M1554))</f>
        <v>kg milk/cow/year</v>
      </c>
      <c r="V1554" s="28"/>
      <c r="W1554" s="28"/>
      <c r="Y1554" s="91"/>
      <c r="AO1554" s="91"/>
      <c r="AP1554" s="28"/>
      <c r="AQ1554" s="28"/>
      <c r="AR1554" s="233" t="str">
        <f>$U1554</f>
        <v>kg milk/cow/year</v>
      </c>
      <c r="AS1554" s="28"/>
      <c r="AT1554" s="304" t="str">
        <f>IF($E1554=$AT$47,R1554,"")</f>
        <v/>
      </c>
      <c r="AU1554" s="304" t="str">
        <f>IF($E1554=$AT$47,S1554,"")</f>
        <v/>
      </c>
      <c r="AV1554" s="28"/>
      <c r="AW1554" s="304">
        <f t="shared" ref="AW1554:AX1573" si="990">IF($E1554=$AW$83,R1554,"")</f>
        <v>17950.7</v>
      </c>
      <c r="AX1554" s="304">
        <f t="shared" si="990"/>
        <v>17950.7</v>
      </c>
      <c r="AY1554" s="28"/>
      <c r="AZ1554" s="304" t="str">
        <f t="shared" ref="AZ1554:BA1573" si="991">IF($E1554=$AZ$83,R1554,"")</f>
        <v/>
      </c>
      <c r="BA1554" s="304" t="str">
        <f t="shared" si="991"/>
        <v/>
      </c>
      <c r="BB1554" s="28"/>
      <c r="BC1554" s="304" t="str">
        <f t="shared" ref="BC1554:BD1573" si="992">IF($E1554=$BC$83,R1554,"")</f>
        <v/>
      </c>
      <c r="BD1554" s="304" t="str">
        <f t="shared" si="992"/>
        <v/>
      </c>
      <c r="BE1554" s="28"/>
      <c r="BF1554" s="304" t="str">
        <f t="shared" ref="BF1554:BG1573" si="993">IF($E1554=$BF$83,R1554,"")</f>
        <v/>
      </c>
      <c r="BG1554" s="304" t="str">
        <f t="shared" si="993"/>
        <v/>
      </c>
      <c r="BH1554" s="28"/>
      <c r="BI1554" s="304" t="str">
        <f t="shared" ref="BI1554:BJ1573" si="994">IF($E1554=$BI$83,R1554,"")</f>
        <v/>
      </c>
      <c r="BJ1554" s="304" t="str">
        <f t="shared" si="994"/>
        <v/>
      </c>
      <c r="BK1554" s="28"/>
      <c r="BL1554" s="304" t="str">
        <f t="shared" ref="BL1554:BM1573" si="995">IF($E1554=$BL$83,R1554,"")</f>
        <v/>
      </c>
      <c r="BM1554" s="304" t="str">
        <f t="shared" si="995"/>
        <v/>
      </c>
      <c r="BN1554" s="28"/>
      <c r="BO1554" s="304" t="str">
        <f t="shared" ref="BO1554:BP1573" si="996">IF($E1554=$BO$83,R1554,"")</f>
        <v/>
      </c>
      <c r="BP1554" s="304" t="str">
        <f t="shared" si="996"/>
        <v/>
      </c>
      <c r="BQ1554" s="28"/>
      <c r="BR1554" s="304" t="str">
        <f t="shared" ref="BR1554:BS1573" si="997">IF($E1554=$BR$83,R1554,"")</f>
        <v/>
      </c>
      <c r="BS1554" s="304" t="str">
        <f t="shared" si="997"/>
        <v/>
      </c>
      <c r="BT1554" s="28"/>
      <c r="BU1554" s="304" t="str">
        <f t="shared" ref="BU1554:BV1573" si="998">IF($E1554=$BU$83,R1554,"")</f>
        <v/>
      </c>
      <c r="BV1554" s="304" t="str">
        <f t="shared" si="998"/>
        <v/>
      </c>
      <c r="BW1554" s="28"/>
      <c r="BX1554" s="91"/>
    </row>
    <row r="1555" spans="1:76" s="55" customFormat="1" x14ac:dyDescent="0.25">
      <c r="A1555" s="195">
        <v>2</v>
      </c>
      <c r="B1555" s="216" t="str">
        <f t="shared" si="987"/>
        <v>OECD90: Hart et atl. 2019. An Essential Oil Blend Decreases Methane Emissions and Increases Milk Yield in Dairy Cows</v>
      </c>
      <c r="C1555" s="219" t="s">
        <v>328</v>
      </c>
      <c r="D1555" s="219" t="s">
        <v>329</v>
      </c>
      <c r="E1555" s="219" t="s">
        <v>96</v>
      </c>
      <c r="F1555" s="219" t="s">
        <v>330</v>
      </c>
      <c r="G1555" s="240" t="s">
        <v>24</v>
      </c>
      <c r="H1555" s="221">
        <v>2019</v>
      </c>
      <c r="I1555" s="220"/>
      <c r="J1555" s="222">
        <v>28.3</v>
      </c>
      <c r="K1555" s="333" t="s">
        <v>765</v>
      </c>
      <c r="L1555" s="236">
        <f t="shared" ref="L1555:L1559" si="999">J1555*365</f>
        <v>10329.5</v>
      </c>
      <c r="M1555" s="217" t="s">
        <v>325</v>
      </c>
      <c r="N1555" s="227"/>
      <c r="O1555" s="242" t="s">
        <v>766</v>
      </c>
      <c r="P1555" s="122"/>
      <c r="Q1555" s="228"/>
      <c r="R1555" s="231">
        <f t="shared" ref="R1555:R1573" si="1000">IF(Q1555="Y","",IF(AND(L1555="",J1555=""),"",IF(L1555="",J1555,L1555)))</f>
        <v>10329.5</v>
      </c>
      <c r="S1555" s="230">
        <f t="shared" si="988"/>
        <v>10329.5</v>
      </c>
      <c r="T1555" s="231">
        <f>IF(OR(Q1555="Y",IFERROR(R1555&gt;R1574+R1578*$AA$35,0),IFERROR(R1555&lt;R1574-R1578*$AA$35,0)),"",IFERROR(R1555*N1555,""))</f>
        <v>0</v>
      </c>
      <c r="U1555" s="232" t="str">
        <f t="shared" si="989"/>
        <v>kg milk/cow/year</v>
      </c>
      <c r="V1555" s="28"/>
      <c r="W1555" s="28"/>
      <c r="Y1555" s="91"/>
      <c r="AO1555" s="91"/>
      <c r="AP1555" s="28"/>
      <c r="AQ1555" s="28"/>
      <c r="AR1555" s="237"/>
      <c r="AS1555" s="28"/>
      <c r="AT1555" s="304" t="str">
        <f t="shared" ref="AT1555:AU1573" si="1001">IF($E1555=$AT$47,R1555,"")</f>
        <v/>
      </c>
      <c r="AU1555" s="304" t="str">
        <f t="shared" si="1001"/>
        <v/>
      </c>
      <c r="AV1555" s="28"/>
      <c r="AW1555" s="304">
        <f t="shared" si="990"/>
        <v>10329.5</v>
      </c>
      <c r="AX1555" s="304">
        <f t="shared" si="990"/>
        <v>10329.5</v>
      </c>
      <c r="AY1555" s="28"/>
      <c r="AZ1555" s="304" t="str">
        <f t="shared" si="991"/>
        <v/>
      </c>
      <c r="BA1555" s="304" t="str">
        <f t="shared" si="991"/>
        <v/>
      </c>
      <c r="BB1555" s="28"/>
      <c r="BC1555" s="304" t="str">
        <f t="shared" si="992"/>
        <v/>
      </c>
      <c r="BD1555" s="304" t="str">
        <f t="shared" si="992"/>
        <v/>
      </c>
      <c r="BE1555" s="28"/>
      <c r="BF1555" s="304" t="str">
        <f t="shared" si="993"/>
        <v/>
      </c>
      <c r="BG1555" s="304" t="str">
        <f t="shared" si="993"/>
        <v/>
      </c>
      <c r="BH1555" s="28"/>
      <c r="BI1555" s="304" t="str">
        <f t="shared" si="994"/>
        <v/>
      </c>
      <c r="BJ1555" s="304" t="str">
        <f t="shared" si="994"/>
        <v/>
      </c>
      <c r="BK1555" s="28"/>
      <c r="BL1555" s="304" t="str">
        <f t="shared" si="995"/>
        <v/>
      </c>
      <c r="BM1555" s="304" t="str">
        <f t="shared" si="995"/>
        <v/>
      </c>
      <c r="BN1555" s="28"/>
      <c r="BO1555" s="304" t="str">
        <f t="shared" si="996"/>
        <v/>
      </c>
      <c r="BP1555" s="304" t="str">
        <f t="shared" si="996"/>
        <v/>
      </c>
      <c r="BQ1555" s="28"/>
      <c r="BR1555" s="304" t="str">
        <f t="shared" si="997"/>
        <v/>
      </c>
      <c r="BS1555" s="304" t="str">
        <f t="shared" si="997"/>
        <v/>
      </c>
      <c r="BT1555" s="28"/>
      <c r="BU1555" s="304" t="str">
        <f t="shared" si="998"/>
        <v/>
      </c>
      <c r="BV1555" s="304" t="str">
        <f t="shared" si="998"/>
        <v/>
      </c>
      <c r="BW1555" s="28"/>
      <c r="BX1555" s="91"/>
    </row>
    <row r="1556" spans="1:76" s="55" customFormat="1" x14ac:dyDescent="0.25">
      <c r="A1556" s="195">
        <v>3</v>
      </c>
      <c r="B1556" s="216" t="str">
        <f>CONCATENATE(E1556,": ",C1556)</f>
        <v>OECD90: Klop et al. 2016. Changes in in vitro gas and methane production from rumen fluid from dairy cows during adaptation to feed addditives</v>
      </c>
      <c r="C1556" s="221" t="s">
        <v>332</v>
      </c>
      <c r="D1556" s="221" t="s">
        <v>333</v>
      </c>
      <c r="E1556" s="221" t="s">
        <v>96</v>
      </c>
      <c r="F1556" s="221" t="s">
        <v>334</v>
      </c>
      <c r="G1556" s="240" t="s">
        <v>24</v>
      </c>
      <c r="H1556" s="221">
        <v>2016</v>
      </c>
      <c r="I1556" s="240"/>
      <c r="J1556" s="338">
        <v>30</v>
      </c>
      <c r="K1556" s="333" t="s">
        <v>765</v>
      </c>
      <c r="L1556" s="236">
        <f t="shared" si="999"/>
        <v>10950</v>
      </c>
      <c r="M1556" s="217" t="s">
        <v>325</v>
      </c>
      <c r="N1556" s="227"/>
      <c r="O1556" s="242" t="s">
        <v>766</v>
      </c>
      <c r="P1556" s="122"/>
      <c r="Q1556" s="228"/>
      <c r="R1556" s="231">
        <f t="shared" si="1000"/>
        <v>10950</v>
      </c>
      <c r="S1556" s="230">
        <f t="shared" si="988"/>
        <v>10950</v>
      </c>
      <c r="T1556" s="231">
        <f>IF(OR(Q1556="Y",IFERROR(R1556&gt;R1574+R1578*$AA$35,0),IFERROR(R1556&lt;R1574-R1578*$AA$35,0)),"",IFERROR(R1556*N1556,""))</f>
        <v>0</v>
      </c>
      <c r="U1556" s="232" t="str">
        <f t="shared" si="989"/>
        <v>kg milk/cow/year</v>
      </c>
      <c r="V1556" s="28"/>
      <c r="W1556" s="28"/>
      <c r="Y1556" s="91"/>
      <c r="AO1556" s="91"/>
      <c r="AP1556" s="28"/>
      <c r="AQ1556" s="28"/>
      <c r="AR1556" s="237"/>
      <c r="AS1556" s="28"/>
      <c r="AT1556" s="304" t="str">
        <f t="shared" si="1001"/>
        <v/>
      </c>
      <c r="AU1556" s="304" t="str">
        <f t="shared" si="1001"/>
        <v/>
      </c>
      <c r="AV1556" s="28"/>
      <c r="AW1556" s="304">
        <f t="shared" si="990"/>
        <v>10950</v>
      </c>
      <c r="AX1556" s="304">
        <f t="shared" si="990"/>
        <v>10950</v>
      </c>
      <c r="AY1556" s="28"/>
      <c r="AZ1556" s="304" t="str">
        <f t="shared" si="991"/>
        <v/>
      </c>
      <c r="BA1556" s="304" t="str">
        <f t="shared" si="991"/>
        <v/>
      </c>
      <c r="BB1556" s="28"/>
      <c r="BC1556" s="304" t="str">
        <f t="shared" si="992"/>
        <v/>
      </c>
      <c r="BD1556" s="304" t="str">
        <f t="shared" si="992"/>
        <v/>
      </c>
      <c r="BE1556" s="28"/>
      <c r="BF1556" s="304" t="str">
        <f t="shared" si="993"/>
        <v/>
      </c>
      <c r="BG1556" s="304" t="str">
        <f t="shared" si="993"/>
        <v/>
      </c>
      <c r="BH1556" s="28"/>
      <c r="BI1556" s="304" t="str">
        <f t="shared" si="994"/>
        <v/>
      </c>
      <c r="BJ1556" s="304" t="str">
        <f t="shared" si="994"/>
        <v/>
      </c>
      <c r="BK1556" s="28"/>
      <c r="BL1556" s="304" t="str">
        <f t="shared" si="995"/>
        <v/>
      </c>
      <c r="BM1556" s="304" t="str">
        <f t="shared" si="995"/>
        <v/>
      </c>
      <c r="BN1556" s="28"/>
      <c r="BO1556" s="304" t="str">
        <f t="shared" si="996"/>
        <v/>
      </c>
      <c r="BP1556" s="304" t="str">
        <f t="shared" si="996"/>
        <v/>
      </c>
      <c r="BQ1556" s="28"/>
      <c r="BR1556" s="304" t="str">
        <f t="shared" si="997"/>
        <v/>
      </c>
      <c r="BS1556" s="304" t="str">
        <f t="shared" si="997"/>
        <v/>
      </c>
      <c r="BT1556" s="28"/>
      <c r="BU1556" s="304" t="str">
        <f t="shared" si="998"/>
        <v/>
      </c>
      <c r="BV1556" s="304" t="str">
        <f t="shared" si="998"/>
        <v/>
      </c>
      <c r="BW1556" s="28"/>
      <c r="BX1556" s="91"/>
    </row>
    <row r="1557" spans="1:76" s="55" customFormat="1" x14ac:dyDescent="0.25">
      <c r="A1557" s="195">
        <v>4</v>
      </c>
      <c r="B1557" s="216" t="str">
        <f t="shared" si="987"/>
        <v>OECD90: Elcoso et al. Effects of a blend of essential oils on milk yield and feed efficiency of lactating dairy cows</v>
      </c>
      <c r="C1557" s="221" t="s">
        <v>335</v>
      </c>
      <c r="D1557" s="221" t="s">
        <v>336</v>
      </c>
      <c r="E1557" s="221" t="s">
        <v>96</v>
      </c>
      <c r="F1557" s="221" t="s">
        <v>337</v>
      </c>
      <c r="G1557" s="240" t="s">
        <v>24</v>
      </c>
      <c r="H1557" s="221">
        <v>2019</v>
      </c>
      <c r="I1557" s="240"/>
      <c r="J1557" s="338">
        <v>31.8</v>
      </c>
      <c r="K1557" s="333" t="s">
        <v>765</v>
      </c>
      <c r="L1557" s="236">
        <f t="shared" si="999"/>
        <v>11607</v>
      </c>
      <c r="M1557" s="217" t="s">
        <v>325</v>
      </c>
      <c r="N1557" s="227"/>
      <c r="O1557" s="242" t="s">
        <v>766</v>
      </c>
      <c r="P1557" s="122"/>
      <c r="Q1557" s="228"/>
      <c r="R1557" s="231">
        <f t="shared" si="1000"/>
        <v>11607</v>
      </c>
      <c r="S1557" s="230">
        <f t="shared" si="988"/>
        <v>11607</v>
      </c>
      <c r="T1557" s="231">
        <f>IF(OR(Q1557="Y",IFERROR(R1557&gt;R1574+R1578*$AA$35,0),IFERROR(R1557&lt;R1574-R1578*$AA$35,0)),"",IFERROR(R1557*N1557,""))</f>
        <v>0</v>
      </c>
      <c r="U1557" s="232" t="str">
        <f t="shared" si="989"/>
        <v>kg milk/cow/year</v>
      </c>
      <c r="V1557" s="28"/>
      <c r="W1557" s="28"/>
      <c r="Y1557" s="91"/>
      <c r="AO1557" s="91"/>
      <c r="AP1557" s="28"/>
      <c r="AQ1557" s="28"/>
      <c r="AR1557" s="237"/>
      <c r="AS1557" s="28"/>
      <c r="AT1557" s="304" t="str">
        <f t="shared" si="1001"/>
        <v/>
      </c>
      <c r="AU1557" s="304" t="str">
        <f t="shared" si="1001"/>
        <v/>
      </c>
      <c r="AV1557" s="28"/>
      <c r="AW1557" s="304">
        <f t="shared" si="990"/>
        <v>11607</v>
      </c>
      <c r="AX1557" s="304">
        <f t="shared" si="990"/>
        <v>11607</v>
      </c>
      <c r="AY1557" s="28"/>
      <c r="AZ1557" s="304" t="str">
        <f t="shared" si="991"/>
        <v/>
      </c>
      <c r="BA1557" s="304" t="str">
        <f t="shared" si="991"/>
        <v/>
      </c>
      <c r="BB1557" s="28"/>
      <c r="BC1557" s="304" t="str">
        <f t="shared" si="992"/>
        <v/>
      </c>
      <c r="BD1557" s="304" t="str">
        <f t="shared" si="992"/>
        <v/>
      </c>
      <c r="BE1557" s="28"/>
      <c r="BF1557" s="304" t="str">
        <f t="shared" si="993"/>
        <v/>
      </c>
      <c r="BG1557" s="304" t="str">
        <f t="shared" si="993"/>
        <v/>
      </c>
      <c r="BH1557" s="28"/>
      <c r="BI1557" s="304" t="str">
        <f t="shared" si="994"/>
        <v/>
      </c>
      <c r="BJ1557" s="304" t="str">
        <f t="shared" si="994"/>
        <v/>
      </c>
      <c r="BK1557" s="28"/>
      <c r="BL1557" s="304" t="str">
        <f t="shared" si="995"/>
        <v/>
      </c>
      <c r="BM1557" s="304" t="str">
        <f t="shared" si="995"/>
        <v/>
      </c>
      <c r="BN1557" s="28"/>
      <c r="BO1557" s="304" t="str">
        <f t="shared" si="996"/>
        <v/>
      </c>
      <c r="BP1557" s="304" t="str">
        <f t="shared" si="996"/>
        <v/>
      </c>
      <c r="BQ1557" s="28"/>
      <c r="BR1557" s="304" t="str">
        <f t="shared" si="997"/>
        <v/>
      </c>
      <c r="BS1557" s="304" t="str">
        <f t="shared" si="997"/>
        <v/>
      </c>
      <c r="BT1557" s="28"/>
      <c r="BU1557" s="304" t="str">
        <f t="shared" si="998"/>
        <v/>
      </c>
      <c r="BV1557" s="304" t="str">
        <f t="shared" si="998"/>
        <v/>
      </c>
      <c r="BW1557" s="28"/>
      <c r="BX1557" s="91"/>
    </row>
    <row r="1558" spans="1:76" s="55" customFormat="1" x14ac:dyDescent="0.25">
      <c r="A1558" s="195">
        <v>5</v>
      </c>
      <c r="B1558" s="216" t="str">
        <f t="shared" si="987"/>
        <v>OECD90: Guasch et al. 2016. Effects of a blend of essential oils on milk yield and feed efficiency of lactating cows</v>
      </c>
      <c r="C1558" s="221" t="s">
        <v>338</v>
      </c>
      <c r="D1558" s="221" t="s">
        <v>339</v>
      </c>
      <c r="E1558" s="221" t="s">
        <v>96</v>
      </c>
      <c r="F1558" s="221" t="s">
        <v>337</v>
      </c>
      <c r="G1558" s="240" t="s">
        <v>24</v>
      </c>
      <c r="H1558" s="221">
        <v>2016</v>
      </c>
      <c r="I1558" s="240"/>
      <c r="J1558" s="338">
        <v>29.7</v>
      </c>
      <c r="K1558" s="333" t="s">
        <v>765</v>
      </c>
      <c r="L1558" s="236">
        <f t="shared" si="999"/>
        <v>10840.5</v>
      </c>
      <c r="M1558" s="217" t="s">
        <v>325</v>
      </c>
      <c r="N1558" s="227"/>
      <c r="O1558" s="242" t="s">
        <v>766</v>
      </c>
      <c r="P1558" s="122"/>
      <c r="Q1558" s="228"/>
      <c r="R1558" s="231">
        <f t="shared" si="1000"/>
        <v>10840.5</v>
      </c>
      <c r="S1558" s="230">
        <f t="shared" si="988"/>
        <v>10840.5</v>
      </c>
      <c r="T1558" s="231">
        <f>IF(OR(Q1558="Y",IFERROR(R1558&gt;R1574+R1578*$AA$35,0),IFERROR(R1558&lt;R1574-R1578*$AA$35,0)),"",IFERROR(R1558*N1558,""))</f>
        <v>0</v>
      </c>
      <c r="U1558" s="232" t="str">
        <f t="shared" si="989"/>
        <v>kg milk/cow/year</v>
      </c>
      <c r="V1558" s="28"/>
      <c r="W1558" s="28"/>
      <c r="Y1558" s="91"/>
      <c r="AO1558" s="91"/>
      <c r="AP1558" s="28"/>
      <c r="AQ1558" s="28"/>
      <c r="AR1558" s="237"/>
      <c r="AS1558" s="28"/>
      <c r="AT1558" s="304" t="str">
        <f t="shared" si="1001"/>
        <v/>
      </c>
      <c r="AU1558" s="304" t="str">
        <f t="shared" si="1001"/>
        <v/>
      </c>
      <c r="AV1558" s="28"/>
      <c r="AW1558" s="304">
        <f t="shared" si="990"/>
        <v>10840.5</v>
      </c>
      <c r="AX1558" s="304">
        <f t="shared" si="990"/>
        <v>10840.5</v>
      </c>
      <c r="AY1558" s="28"/>
      <c r="AZ1558" s="304" t="str">
        <f t="shared" si="991"/>
        <v/>
      </c>
      <c r="BA1558" s="304" t="str">
        <f t="shared" si="991"/>
        <v/>
      </c>
      <c r="BB1558" s="28"/>
      <c r="BC1558" s="304" t="str">
        <f t="shared" si="992"/>
        <v/>
      </c>
      <c r="BD1558" s="304" t="str">
        <f t="shared" si="992"/>
        <v/>
      </c>
      <c r="BE1558" s="28"/>
      <c r="BF1558" s="304" t="str">
        <f t="shared" si="993"/>
        <v/>
      </c>
      <c r="BG1558" s="304" t="str">
        <f t="shared" si="993"/>
        <v/>
      </c>
      <c r="BH1558" s="28"/>
      <c r="BI1558" s="304" t="str">
        <f t="shared" si="994"/>
        <v/>
      </c>
      <c r="BJ1558" s="304" t="str">
        <f t="shared" si="994"/>
        <v/>
      </c>
      <c r="BK1558" s="28"/>
      <c r="BL1558" s="304" t="str">
        <f t="shared" si="995"/>
        <v/>
      </c>
      <c r="BM1558" s="304" t="str">
        <f t="shared" si="995"/>
        <v/>
      </c>
      <c r="BN1558" s="28"/>
      <c r="BO1558" s="304" t="str">
        <f t="shared" si="996"/>
        <v/>
      </c>
      <c r="BP1558" s="304" t="str">
        <f t="shared" si="996"/>
        <v/>
      </c>
      <c r="BQ1558" s="28"/>
      <c r="BR1558" s="304" t="str">
        <f t="shared" si="997"/>
        <v/>
      </c>
      <c r="BS1558" s="304" t="str">
        <f t="shared" si="997"/>
        <v/>
      </c>
      <c r="BT1558" s="28"/>
      <c r="BU1558" s="304" t="str">
        <f t="shared" si="998"/>
        <v/>
      </c>
      <c r="BV1558" s="304" t="str">
        <f t="shared" si="998"/>
        <v/>
      </c>
      <c r="BW1558" s="28"/>
      <c r="BX1558" s="91"/>
    </row>
    <row r="1559" spans="1:76" s="55" customFormat="1" ht="15.75" x14ac:dyDescent="0.25">
      <c r="A1559" s="195">
        <v>6</v>
      </c>
      <c r="B1559" s="216" t="str">
        <f t="shared" si="987"/>
        <v>OECD90: Castro-Montoya et al. 2015. In vivo and in vitro effects of a blend of essential oils on rumen methane mitigation</v>
      </c>
      <c r="C1559" s="221" t="s">
        <v>341</v>
      </c>
      <c r="D1559" s="351" t="s">
        <v>342</v>
      </c>
      <c r="E1559" s="221" t="s">
        <v>96</v>
      </c>
      <c r="F1559" s="221" t="s">
        <v>343</v>
      </c>
      <c r="G1559" s="240" t="s">
        <v>24</v>
      </c>
      <c r="H1559" s="221">
        <v>2015</v>
      </c>
      <c r="I1559" s="240"/>
      <c r="J1559" s="338">
        <v>19.5</v>
      </c>
      <c r="K1559" s="333" t="s">
        <v>765</v>
      </c>
      <c r="L1559" s="236">
        <f t="shared" si="999"/>
        <v>7117.5</v>
      </c>
      <c r="M1559" s="217" t="s">
        <v>325</v>
      </c>
      <c r="N1559" s="227"/>
      <c r="O1559" s="242" t="s">
        <v>766</v>
      </c>
      <c r="P1559" s="122"/>
      <c r="Q1559" s="228"/>
      <c r="R1559" s="231">
        <f t="shared" si="1000"/>
        <v>7117.5</v>
      </c>
      <c r="S1559" s="230">
        <f t="shared" si="988"/>
        <v>7117.5</v>
      </c>
      <c r="T1559" s="231">
        <f>IF(OR(Q1559="Y",IFERROR(R1559&gt;R1574+R1578*$AA$35,0),IFERROR(R1559&lt;R1574-R1578*$AA$35,0)),"",IFERROR(R1559*N1559,""))</f>
        <v>0</v>
      </c>
      <c r="U1559" s="232" t="str">
        <f t="shared" si="989"/>
        <v>kg milk/cow/year</v>
      </c>
      <c r="V1559" s="28"/>
      <c r="W1559" s="28"/>
      <c r="Y1559" s="91"/>
      <c r="AO1559" s="91"/>
      <c r="AP1559" s="28"/>
      <c r="AQ1559" s="28"/>
      <c r="AR1559" s="237"/>
      <c r="AS1559" s="28"/>
      <c r="AT1559" s="304" t="str">
        <f t="shared" si="1001"/>
        <v/>
      </c>
      <c r="AU1559" s="304" t="str">
        <f t="shared" si="1001"/>
        <v/>
      </c>
      <c r="AV1559" s="28"/>
      <c r="AW1559" s="304">
        <f t="shared" si="990"/>
        <v>7117.5</v>
      </c>
      <c r="AX1559" s="304">
        <f t="shared" si="990"/>
        <v>7117.5</v>
      </c>
      <c r="AY1559" s="28"/>
      <c r="AZ1559" s="304" t="str">
        <f t="shared" si="991"/>
        <v/>
      </c>
      <c r="BA1559" s="304" t="str">
        <f t="shared" si="991"/>
        <v/>
      </c>
      <c r="BB1559" s="28"/>
      <c r="BC1559" s="304" t="str">
        <f t="shared" si="992"/>
        <v/>
      </c>
      <c r="BD1559" s="304" t="str">
        <f t="shared" si="992"/>
        <v/>
      </c>
      <c r="BE1559" s="28"/>
      <c r="BF1559" s="304" t="str">
        <f t="shared" si="993"/>
        <v/>
      </c>
      <c r="BG1559" s="304" t="str">
        <f t="shared" si="993"/>
        <v/>
      </c>
      <c r="BH1559" s="28"/>
      <c r="BI1559" s="304" t="str">
        <f t="shared" si="994"/>
        <v/>
      </c>
      <c r="BJ1559" s="304" t="str">
        <f t="shared" si="994"/>
        <v/>
      </c>
      <c r="BK1559" s="28"/>
      <c r="BL1559" s="304" t="str">
        <f t="shared" si="995"/>
        <v/>
      </c>
      <c r="BM1559" s="304" t="str">
        <f t="shared" si="995"/>
        <v/>
      </c>
      <c r="BN1559" s="28"/>
      <c r="BO1559" s="304" t="str">
        <f t="shared" si="996"/>
        <v/>
      </c>
      <c r="BP1559" s="304" t="str">
        <f t="shared" si="996"/>
        <v/>
      </c>
      <c r="BQ1559" s="28"/>
      <c r="BR1559" s="304" t="str">
        <f t="shared" si="997"/>
        <v/>
      </c>
      <c r="BS1559" s="304" t="str">
        <f t="shared" si="997"/>
        <v/>
      </c>
      <c r="BT1559" s="28"/>
      <c r="BU1559" s="304" t="str">
        <f t="shared" si="998"/>
        <v/>
      </c>
      <c r="BV1559" s="304" t="str">
        <f t="shared" si="998"/>
        <v/>
      </c>
      <c r="BW1559" s="28"/>
      <c r="BX1559" s="91"/>
    </row>
    <row r="1560" spans="1:76" s="55" customFormat="1" x14ac:dyDescent="0.25">
      <c r="A1560" s="195">
        <v>7</v>
      </c>
      <c r="B1560" s="216" t="str">
        <f t="shared" si="987"/>
        <v>OECD90: Veltman et al. 2018, A quantitative assessment of Beneficial Management Practices to reduce carbon and reactive nitrogen footprints and phosphorus losses on dairy farms in the US Great Lakes region</v>
      </c>
      <c r="C1560" s="219" t="s">
        <v>345</v>
      </c>
      <c r="D1560" s="352" t="s">
        <v>346</v>
      </c>
      <c r="E1560" s="219" t="s">
        <v>96</v>
      </c>
      <c r="F1560" s="352" t="s">
        <v>347</v>
      </c>
      <c r="G1560" s="220" t="s">
        <v>24</v>
      </c>
      <c r="H1560" s="221">
        <v>2018</v>
      </c>
      <c r="I1560" s="240"/>
      <c r="J1560" s="369">
        <v>9527</v>
      </c>
      <c r="K1560" s="382" t="s">
        <v>325</v>
      </c>
      <c r="L1560" s="236"/>
      <c r="M1560" s="217" t="s">
        <v>325</v>
      </c>
      <c r="N1560" s="227"/>
      <c r="O1560" s="242" t="s">
        <v>767</v>
      </c>
      <c r="P1560" s="122"/>
      <c r="Q1560" s="228"/>
      <c r="R1560" s="231">
        <f t="shared" si="1000"/>
        <v>9527</v>
      </c>
      <c r="S1560" s="230">
        <f t="shared" si="988"/>
        <v>9527</v>
      </c>
      <c r="T1560" s="231">
        <f>IF(OR(Q1560="Y",IFERROR(R1560&gt;R1574+R1578*$AA$35,0),IFERROR(R1560&lt;R1574-R1578*$AA$35,0)),"",IFERROR(R1560*N1560,""))</f>
        <v>0</v>
      </c>
      <c r="U1560" s="232" t="str">
        <f t="shared" si="989"/>
        <v>kg milk/cow/year</v>
      </c>
      <c r="V1560" s="28"/>
      <c r="W1560" s="28"/>
      <c r="Y1560" s="91"/>
      <c r="AO1560" s="91"/>
      <c r="AP1560" s="28"/>
      <c r="AQ1560" s="28"/>
      <c r="AR1560" s="237"/>
      <c r="AS1560" s="28"/>
      <c r="AT1560" s="304" t="str">
        <f t="shared" si="1001"/>
        <v/>
      </c>
      <c r="AU1560" s="304" t="str">
        <f t="shared" si="1001"/>
        <v/>
      </c>
      <c r="AV1560" s="28"/>
      <c r="AW1560" s="304">
        <f t="shared" si="990"/>
        <v>9527</v>
      </c>
      <c r="AX1560" s="304">
        <f t="shared" si="990"/>
        <v>9527</v>
      </c>
      <c r="AY1560" s="28"/>
      <c r="AZ1560" s="304" t="str">
        <f t="shared" si="991"/>
        <v/>
      </c>
      <c r="BA1560" s="304" t="str">
        <f t="shared" si="991"/>
        <v/>
      </c>
      <c r="BB1560" s="28"/>
      <c r="BC1560" s="304" t="str">
        <f t="shared" si="992"/>
        <v/>
      </c>
      <c r="BD1560" s="304" t="str">
        <f t="shared" si="992"/>
        <v/>
      </c>
      <c r="BE1560" s="28"/>
      <c r="BF1560" s="304" t="str">
        <f t="shared" si="993"/>
        <v/>
      </c>
      <c r="BG1560" s="304" t="str">
        <f t="shared" si="993"/>
        <v/>
      </c>
      <c r="BH1560" s="28"/>
      <c r="BI1560" s="304" t="str">
        <f t="shared" si="994"/>
        <v/>
      </c>
      <c r="BJ1560" s="304" t="str">
        <f t="shared" si="994"/>
        <v/>
      </c>
      <c r="BK1560" s="28"/>
      <c r="BL1560" s="304" t="str">
        <f t="shared" si="995"/>
        <v/>
      </c>
      <c r="BM1560" s="304" t="str">
        <f t="shared" si="995"/>
        <v/>
      </c>
      <c r="BN1560" s="28"/>
      <c r="BO1560" s="304" t="str">
        <f t="shared" si="996"/>
        <v/>
      </c>
      <c r="BP1560" s="304" t="str">
        <f t="shared" si="996"/>
        <v/>
      </c>
      <c r="BQ1560" s="28"/>
      <c r="BR1560" s="304" t="str">
        <f t="shared" si="997"/>
        <v/>
      </c>
      <c r="BS1560" s="304" t="str">
        <f t="shared" si="997"/>
        <v/>
      </c>
      <c r="BT1560" s="28"/>
      <c r="BU1560" s="304" t="str">
        <f t="shared" si="998"/>
        <v/>
      </c>
      <c r="BV1560" s="304" t="str">
        <f t="shared" si="998"/>
        <v/>
      </c>
      <c r="BW1560" s="28"/>
      <c r="BX1560" s="91"/>
    </row>
    <row r="1561" spans="1:76" s="55" customFormat="1" x14ac:dyDescent="0.25">
      <c r="A1561" s="195">
        <v>8</v>
      </c>
      <c r="B1561" s="216" t="str">
        <f t="shared" si="987"/>
        <v>OECD90: Veltman et al. 2018, A quantitative assessment of Beneficial Management Practices to reduce carbon and reactive nitrogen footprints and phosphorus losses on dairy farms in the US Great Lakes region</v>
      </c>
      <c r="C1561" s="219" t="s">
        <v>345</v>
      </c>
      <c r="D1561" s="352" t="s">
        <v>346</v>
      </c>
      <c r="E1561" s="219" t="s">
        <v>96</v>
      </c>
      <c r="F1561" s="352" t="s">
        <v>354</v>
      </c>
      <c r="G1561" s="220" t="s">
        <v>24</v>
      </c>
      <c r="H1561" s="221">
        <v>2018</v>
      </c>
      <c r="I1561" s="240"/>
      <c r="J1561" s="369">
        <v>10134</v>
      </c>
      <c r="K1561" s="382" t="s">
        <v>325</v>
      </c>
      <c r="L1561" s="236"/>
      <c r="M1561" s="217" t="s">
        <v>325</v>
      </c>
      <c r="N1561" s="227"/>
      <c r="O1561" s="242" t="s">
        <v>768</v>
      </c>
      <c r="P1561" s="122"/>
      <c r="Q1561" s="228"/>
      <c r="R1561" s="231">
        <f t="shared" si="1000"/>
        <v>10134</v>
      </c>
      <c r="S1561" s="230">
        <f t="shared" si="988"/>
        <v>10134</v>
      </c>
      <c r="T1561" s="231">
        <f>IF(OR(Q1561="Y",IFERROR(R1561&gt;R1574+R1578*$AA$35,0),IFERROR(R1561&lt;R1574-R1578*$AA$35,0)),"",IFERROR(R1561*N1561,""))</f>
        <v>0</v>
      </c>
      <c r="U1561" s="232" t="str">
        <f t="shared" si="989"/>
        <v>kg milk/cow/year</v>
      </c>
      <c r="V1561" s="28"/>
      <c r="W1561" s="28"/>
      <c r="Y1561" s="91"/>
      <c r="AO1561" s="91"/>
      <c r="AP1561" s="28"/>
      <c r="AQ1561" s="28"/>
      <c r="AR1561" s="237"/>
      <c r="AS1561" s="28"/>
      <c r="AT1561" s="304" t="str">
        <f t="shared" si="1001"/>
        <v/>
      </c>
      <c r="AU1561" s="304" t="str">
        <f t="shared" si="1001"/>
        <v/>
      </c>
      <c r="AV1561" s="28"/>
      <c r="AW1561" s="304">
        <f t="shared" si="990"/>
        <v>10134</v>
      </c>
      <c r="AX1561" s="304">
        <f t="shared" si="990"/>
        <v>10134</v>
      </c>
      <c r="AY1561" s="28"/>
      <c r="AZ1561" s="304" t="str">
        <f t="shared" si="991"/>
        <v/>
      </c>
      <c r="BA1561" s="304" t="str">
        <f t="shared" si="991"/>
        <v/>
      </c>
      <c r="BB1561" s="28"/>
      <c r="BC1561" s="304" t="str">
        <f t="shared" si="992"/>
        <v/>
      </c>
      <c r="BD1561" s="304" t="str">
        <f t="shared" si="992"/>
        <v/>
      </c>
      <c r="BE1561" s="28"/>
      <c r="BF1561" s="304" t="str">
        <f t="shared" si="993"/>
        <v/>
      </c>
      <c r="BG1561" s="304" t="str">
        <f t="shared" si="993"/>
        <v/>
      </c>
      <c r="BH1561" s="28"/>
      <c r="BI1561" s="304" t="str">
        <f t="shared" si="994"/>
        <v/>
      </c>
      <c r="BJ1561" s="304" t="str">
        <f t="shared" si="994"/>
        <v/>
      </c>
      <c r="BK1561" s="28"/>
      <c r="BL1561" s="304" t="str">
        <f t="shared" si="995"/>
        <v/>
      </c>
      <c r="BM1561" s="304" t="str">
        <f t="shared" si="995"/>
        <v/>
      </c>
      <c r="BN1561" s="28"/>
      <c r="BO1561" s="304" t="str">
        <f t="shared" si="996"/>
        <v/>
      </c>
      <c r="BP1561" s="304" t="str">
        <f t="shared" si="996"/>
        <v/>
      </c>
      <c r="BQ1561" s="28"/>
      <c r="BR1561" s="304" t="str">
        <f t="shared" si="997"/>
        <v/>
      </c>
      <c r="BS1561" s="304" t="str">
        <f t="shared" si="997"/>
        <v/>
      </c>
      <c r="BT1561" s="28"/>
      <c r="BU1561" s="304" t="str">
        <f t="shared" si="998"/>
        <v/>
      </c>
      <c r="BV1561" s="304" t="str">
        <f t="shared" si="998"/>
        <v/>
      </c>
      <c r="BW1561" s="28"/>
      <c r="BX1561" s="91"/>
    </row>
    <row r="1562" spans="1:76" s="55" customFormat="1" x14ac:dyDescent="0.25">
      <c r="A1562" s="195">
        <v>9</v>
      </c>
      <c r="B1562" s="216" t="str">
        <f t="shared" si="987"/>
        <v xml:space="preserve">: </v>
      </c>
      <c r="C1562" s="221"/>
      <c r="D1562" s="221"/>
      <c r="E1562" s="221"/>
      <c r="F1562" s="221"/>
      <c r="G1562" s="240"/>
      <c r="H1562" s="221"/>
      <c r="I1562" s="240"/>
      <c r="J1562" s="241"/>
      <c r="K1562" s="241"/>
      <c r="L1562" s="227"/>
      <c r="M1562" s="227"/>
      <c r="N1562" s="227"/>
      <c r="O1562" s="227"/>
      <c r="P1562" s="122"/>
      <c r="Q1562" s="228"/>
      <c r="R1562" s="231" t="str">
        <f t="shared" si="1000"/>
        <v/>
      </c>
      <c r="S1562" s="230" t="str">
        <f t="shared" si="988"/>
        <v/>
      </c>
      <c r="T1562" s="231" t="str">
        <f>IF(OR(Q1562="Y",IFERROR(R1562&gt;R1574+R1578*$AA$35,0),IFERROR(R1562&lt;R1574-R1578*$AA$35,0)),"",IFERROR(R1562*N1562,""))</f>
        <v/>
      </c>
      <c r="U1562" s="232" t="str">
        <f t="shared" si="989"/>
        <v/>
      </c>
      <c r="V1562" s="28"/>
      <c r="W1562" s="28"/>
      <c r="Y1562" s="91"/>
      <c r="AO1562" s="91"/>
      <c r="AP1562" s="28"/>
      <c r="AQ1562" s="28"/>
      <c r="AR1562" s="237"/>
      <c r="AS1562" s="28"/>
      <c r="AT1562" s="304" t="str">
        <f t="shared" si="1001"/>
        <v/>
      </c>
      <c r="AU1562" s="304" t="str">
        <f t="shared" si="1001"/>
        <v/>
      </c>
      <c r="AV1562" s="28"/>
      <c r="AW1562" s="304" t="str">
        <f t="shared" si="990"/>
        <v/>
      </c>
      <c r="AX1562" s="304" t="str">
        <f t="shared" si="990"/>
        <v/>
      </c>
      <c r="AY1562" s="28"/>
      <c r="AZ1562" s="304" t="str">
        <f t="shared" si="991"/>
        <v/>
      </c>
      <c r="BA1562" s="304" t="str">
        <f t="shared" si="991"/>
        <v/>
      </c>
      <c r="BB1562" s="28"/>
      <c r="BC1562" s="304" t="str">
        <f t="shared" si="992"/>
        <v/>
      </c>
      <c r="BD1562" s="304" t="str">
        <f t="shared" si="992"/>
        <v/>
      </c>
      <c r="BE1562" s="28"/>
      <c r="BF1562" s="304" t="str">
        <f t="shared" si="993"/>
        <v/>
      </c>
      <c r="BG1562" s="304" t="str">
        <f t="shared" si="993"/>
        <v/>
      </c>
      <c r="BH1562" s="28"/>
      <c r="BI1562" s="304" t="str">
        <f t="shared" si="994"/>
        <v/>
      </c>
      <c r="BJ1562" s="304" t="str">
        <f t="shared" si="994"/>
        <v/>
      </c>
      <c r="BK1562" s="28"/>
      <c r="BL1562" s="304" t="str">
        <f t="shared" si="995"/>
        <v/>
      </c>
      <c r="BM1562" s="304" t="str">
        <f t="shared" si="995"/>
        <v/>
      </c>
      <c r="BN1562" s="28"/>
      <c r="BO1562" s="304" t="str">
        <f t="shared" si="996"/>
        <v/>
      </c>
      <c r="BP1562" s="304" t="str">
        <f t="shared" si="996"/>
        <v/>
      </c>
      <c r="BQ1562" s="28"/>
      <c r="BR1562" s="304" t="str">
        <f t="shared" si="997"/>
        <v/>
      </c>
      <c r="BS1562" s="304" t="str">
        <f t="shared" si="997"/>
        <v/>
      </c>
      <c r="BT1562" s="28"/>
      <c r="BU1562" s="304" t="str">
        <f t="shared" si="998"/>
        <v/>
      </c>
      <c r="BV1562" s="304" t="str">
        <f t="shared" si="998"/>
        <v/>
      </c>
      <c r="BW1562" s="28"/>
      <c r="BX1562" s="91"/>
    </row>
    <row r="1563" spans="1:76" s="55" customFormat="1" x14ac:dyDescent="0.25">
      <c r="A1563" s="195">
        <v>10</v>
      </c>
      <c r="B1563" s="216" t="str">
        <f t="shared" si="987"/>
        <v xml:space="preserve">: </v>
      </c>
      <c r="C1563" s="221"/>
      <c r="D1563" s="221"/>
      <c r="E1563" s="221"/>
      <c r="F1563" s="221"/>
      <c r="G1563" s="240"/>
      <c r="H1563" s="221"/>
      <c r="I1563" s="240"/>
      <c r="J1563" s="241"/>
      <c r="K1563" s="241"/>
      <c r="L1563" s="227"/>
      <c r="M1563" s="227"/>
      <c r="N1563" s="227"/>
      <c r="O1563" s="227"/>
      <c r="P1563" s="122"/>
      <c r="Q1563" s="228"/>
      <c r="R1563" s="231" t="str">
        <f t="shared" si="1000"/>
        <v/>
      </c>
      <c r="S1563" s="230" t="str">
        <f t="shared" si="988"/>
        <v/>
      </c>
      <c r="T1563" s="231" t="str">
        <f>IF(OR(Q1563="Y",IFERROR(R1563&gt;R1574+R1578*$AA$35,0),IFERROR(R1563&lt;R1574-R1578*$AA$35,0)),"",IFERROR(R1563*N1563,""))</f>
        <v/>
      </c>
      <c r="U1563" s="232" t="str">
        <f t="shared" si="989"/>
        <v/>
      </c>
      <c r="V1563" s="28"/>
      <c r="W1563" s="28"/>
      <c r="Y1563" s="91"/>
      <c r="AO1563" s="91"/>
      <c r="AP1563" s="28"/>
      <c r="AQ1563" s="28"/>
      <c r="AR1563" s="237"/>
      <c r="AS1563" s="28"/>
      <c r="AT1563" s="304" t="str">
        <f t="shared" si="1001"/>
        <v/>
      </c>
      <c r="AU1563" s="304" t="str">
        <f t="shared" si="1001"/>
        <v/>
      </c>
      <c r="AV1563" s="28"/>
      <c r="AW1563" s="304" t="str">
        <f t="shared" si="990"/>
        <v/>
      </c>
      <c r="AX1563" s="304" t="str">
        <f t="shared" si="990"/>
        <v/>
      </c>
      <c r="AY1563" s="28"/>
      <c r="AZ1563" s="304" t="str">
        <f t="shared" si="991"/>
        <v/>
      </c>
      <c r="BA1563" s="304" t="str">
        <f t="shared" si="991"/>
        <v/>
      </c>
      <c r="BB1563" s="28"/>
      <c r="BC1563" s="304" t="str">
        <f t="shared" si="992"/>
        <v/>
      </c>
      <c r="BD1563" s="304" t="str">
        <f t="shared" si="992"/>
        <v/>
      </c>
      <c r="BE1563" s="28"/>
      <c r="BF1563" s="304" t="str">
        <f t="shared" si="993"/>
        <v/>
      </c>
      <c r="BG1563" s="304" t="str">
        <f t="shared" si="993"/>
        <v/>
      </c>
      <c r="BH1563" s="28"/>
      <c r="BI1563" s="304" t="str">
        <f t="shared" si="994"/>
        <v/>
      </c>
      <c r="BJ1563" s="304" t="str">
        <f t="shared" si="994"/>
        <v/>
      </c>
      <c r="BK1563" s="28"/>
      <c r="BL1563" s="304" t="str">
        <f t="shared" si="995"/>
        <v/>
      </c>
      <c r="BM1563" s="304" t="str">
        <f t="shared" si="995"/>
        <v/>
      </c>
      <c r="BN1563" s="28"/>
      <c r="BO1563" s="304" t="str">
        <f t="shared" si="996"/>
        <v/>
      </c>
      <c r="BP1563" s="304" t="str">
        <f t="shared" si="996"/>
        <v/>
      </c>
      <c r="BQ1563" s="28"/>
      <c r="BR1563" s="304" t="str">
        <f t="shared" si="997"/>
        <v/>
      </c>
      <c r="BS1563" s="304" t="str">
        <f t="shared" si="997"/>
        <v/>
      </c>
      <c r="BT1563" s="28"/>
      <c r="BU1563" s="304" t="str">
        <f t="shared" si="998"/>
        <v/>
      </c>
      <c r="BV1563" s="304" t="str">
        <f t="shared" si="998"/>
        <v/>
      </c>
      <c r="BW1563" s="28"/>
      <c r="BX1563" s="91"/>
    </row>
    <row r="1564" spans="1:76" s="55" customFormat="1" x14ac:dyDescent="0.25">
      <c r="A1564" s="195">
        <v>11</v>
      </c>
      <c r="B1564" s="216" t="str">
        <f t="shared" si="987"/>
        <v xml:space="preserve">: </v>
      </c>
      <c r="C1564" s="221"/>
      <c r="D1564" s="221"/>
      <c r="E1564" s="221"/>
      <c r="F1564" s="221"/>
      <c r="G1564" s="240"/>
      <c r="H1564" s="221"/>
      <c r="I1564" s="240"/>
      <c r="J1564" s="241"/>
      <c r="K1564" s="241"/>
      <c r="L1564" s="227"/>
      <c r="M1564" s="227"/>
      <c r="N1564" s="227"/>
      <c r="O1564" s="227"/>
      <c r="P1564" s="122"/>
      <c r="Q1564" s="228"/>
      <c r="R1564" s="231" t="str">
        <f t="shared" si="1000"/>
        <v/>
      </c>
      <c r="S1564" s="230" t="str">
        <f t="shared" si="988"/>
        <v/>
      </c>
      <c r="T1564" s="231" t="str">
        <f>IF(OR(Q1564="Y",IFERROR(R1564&gt;R1574+R1578*$AA$35,0),IFERROR(R1564&lt;R1574-R1578*$AA$35,0)),"",IFERROR(R1564*N1564,""))</f>
        <v/>
      </c>
      <c r="U1564" s="232" t="str">
        <f t="shared" si="989"/>
        <v/>
      </c>
      <c r="V1564" s="28"/>
      <c r="W1564" s="28"/>
      <c r="Y1564" s="91"/>
      <c r="AO1564" s="91"/>
      <c r="AP1564" s="28"/>
      <c r="AQ1564" s="28"/>
      <c r="AR1564" s="237"/>
      <c r="AS1564" s="28"/>
      <c r="AT1564" s="304" t="str">
        <f t="shared" si="1001"/>
        <v/>
      </c>
      <c r="AU1564" s="304" t="str">
        <f t="shared" si="1001"/>
        <v/>
      </c>
      <c r="AV1564" s="28"/>
      <c r="AW1564" s="304" t="str">
        <f t="shared" si="990"/>
        <v/>
      </c>
      <c r="AX1564" s="304" t="str">
        <f t="shared" si="990"/>
        <v/>
      </c>
      <c r="AY1564" s="28"/>
      <c r="AZ1564" s="304" t="str">
        <f t="shared" si="991"/>
        <v/>
      </c>
      <c r="BA1564" s="304" t="str">
        <f t="shared" si="991"/>
        <v/>
      </c>
      <c r="BB1564" s="28"/>
      <c r="BC1564" s="304" t="str">
        <f t="shared" si="992"/>
        <v/>
      </c>
      <c r="BD1564" s="304" t="str">
        <f t="shared" si="992"/>
        <v/>
      </c>
      <c r="BE1564" s="28"/>
      <c r="BF1564" s="304" t="str">
        <f t="shared" si="993"/>
        <v/>
      </c>
      <c r="BG1564" s="304" t="str">
        <f t="shared" si="993"/>
        <v/>
      </c>
      <c r="BH1564" s="28"/>
      <c r="BI1564" s="304" t="str">
        <f t="shared" si="994"/>
        <v/>
      </c>
      <c r="BJ1564" s="304" t="str">
        <f t="shared" si="994"/>
        <v/>
      </c>
      <c r="BK1564" s="28"/>
      <c r="BL1564" s="304" t="str">
        <f t="shared" si="995"/>
        <v/>
      </c>
      <c r="BM1564" s="304" t="str">
        <f t="shared" si="995"/>
        <v/>
      </c>
      <c r="BN1564" s="28"/>
      <c r="BO1564" s="304" t="str">
        <f t="shared" si="996"/>
        <v/>
      </c>
      <c r="BP1564" s="304" t="str">
        <f t="shared" si="996"/>
        <v/>
      </c>
      <c r="BQ1564" s="28"/>
      <c r="BR1564" s="304" t="str">
        <f t="shared" si="997"/>
        <v/>
      </c>
      <c r="BS1564" s="304" t="str">
        <f t="shared" si="997"/>
        <v/>
      </c>
      <c r="BT1564" s="28"/>
      <c r="BU1564" s="304" t="str">
        <f t="shared" si="998"/>
        <v/>
      </c>
      <c r="BV1564" s="304" t="str">
        <f t="shared" si="998"/>
        <v/>
      </c>
      <c r="BW1564" s="28"/>
      <c r="BX1564" s="91"/>
    </row>
    <row r="1565" spans="1:76" s="55" customFormat="1" x14ac:dyDescent="0.25">
      <c r="A1565" s="195">
        <v>12</v>
      </c>
      <c r="B1565" s="216" t="str">
        <f t="shared" si="987"/>
        <v xml:space="preserve">: </v>
      </c>
      <c r="C1565" s="221"/>
      <c r="D1565" s="221"/>
      <c r="E1565" s="221"/>
      <c r="F1565" s="221"/>
      <c r="G1565" s="240"/>
      <c r="H1565" s="221"/>
      <c r="I1565" s="240"/>
      <c r="J1565" s="241"/>
      <c r="K1565" s="241"/>
      <c r="L1565" s="227"/>
      <c r="M1565" s="227"/>
      <c r="N1565" s="227"/>
      <c r="O1565" s="227"/>
      <c r="P1565" s="122"/>
      <c r="Q1565" s="228"/>
      <c r="R1565" s="231" t="str">
        <f t="shared" si="1000"/>
        <v/>
      </c>
      <c r="S1565" s="230" t="str">
        <f t="shared" si="988"/>
        <v/>
      </c>
      <c r="T1565" s="231" t="str">
        <f>IF(OR(Q1565="Y",IFERROR(R1565&gt;R1574+R1578*$AA$35,0),IFERROR(R1565&lt;R1574-R1578*$AA$35,0)),"",IFERROR(R1565*N1565,""))</f>
        <v/>
      </c>
      <c r="U1565" s="232" t="str">
        <f t="shared" si="989"/>
        <v/>
      </c>
      <c r="V1565" s="28"/>
      <c r="W1565" s="28"/>
      <c r="Y1565" s="91"/>
      <c r="AO1565" s="91"/>
      <c r="AP1565" s="28"/>
      <c r="AQ1565" s="28"/>
      <c r="AR1565" s="237"/>
      <c r="AS1565" s="28"/>
      <c r="AT1565" s="304" t="str">
        <f t="shared" si="1001"/>
        <v/>
      </c>
      <c r="AU1565" s="304" t="str">
        <f t="shared" si="1001"/>
        <v/>
      </c>
      <c r="AV1565" s="28"/>
      <c r="AW1565" s="304" t="str">
        <f t="shared" si="990"/>
        <v/>
      </c>
      <c r="AX1565" s="304" t="str">
        <f t="shared" si="990"/>
        <v/>
      </c>
      <c r="AY1565" s="28"/>
      <c r="AZ1565" s="304" t="str">
        <f t="shared" si="991"/>
        <v/>
      </c>
      <c r="BA1565" s="304" t="str">
        <f t="shared" si="991"/>
        <v/>
      </c>
      <c r="BB1565" s="28"/>
      <c r="BC1565" s="304" t="str">
        <f t="shared" si="992"/>
        <v/>
      </c>
      <c r="BD1565" s="304" t="str">
        <f t="shared" si="992"/>
        <v/>
      </c>
      <c r="BE1565" s="28"/>
      <c r="BF1565" s="304" t="str">
        <f t="shared" si="993"/>
        <v/>
      </c>
      <c r="BG1565" s="304" t="str">
        <f t="shared" si="993"/>
        <v/>
      </c>
      <c r="BH1565" s="28"/>
      <c r="BI1565" s="304" t="str">
        <f t="shared" si="994"/>
        <v/>
      </c>
      <c r="BJ1565" s="304" t="str">
        <f t="shared" si="994"/>
        <v/>
      </c>
      <c r="BK1565" s="28"/>
      <c r="BL1565" s="304" t="str">
        <f t="shared" si="995"/>
        <v/>
      </c>
      <c r="BM1565" s="304" t="str">
        <f t="shared" si="995"/>
        <v/>
      </c>
      <c r="BN1565" s="28"/>
      <c r="BO1565" s="304" t="str">
        <f t="shared" si="996"/>
        <v/>
      </c>
      <c r="BP1565" s="304" t="str">
        <f t="shared" si="996"/>
        <v/>
      </c>
      <c r="BQ1565" s="28"/>
      <c r="BR1565" s="304" t="str">
        <f t="shared" si="997"/>
        <v/>
      </c>
      <c r="BS1565" s="304" t="str">
        <f t="shared" si="997"/>
        <v/>
      </c>
      <c r="BT1565" s="28"/>
      <c r="BU1565" s="304" t="str">
        <f t="shared" si="998"/>
        <v/>
      </c>
      <c r="BV1565" s="304" t="str">
        <f t="shared" si="998"/>
        <v/>
      </c>
      <c r="BW1565" s="28"/>
      <c r="BX1565" s="91"/>
    </row>
    <row r="1566" spans="1:76" s="55" customFormat="1" x14ac:dyDescent="0.25">
      <c r="A1566" s="195">
        <v>13</v>
      </c>
      <c r="B1566" s="216" t="str">
        <f t="shared" si="987"/>
        <v xml:space="preserve">: </v>
      </c>
      <c r="C1566" s="221"/>
      <c r="D1566" s="221"/>
      <c r="E1566" s="221"/>
      <c r="F1566" s="221"/>
      <c r="G1566" s="240"/>
      <c r="H1566" s="221"/>
      <c r="I1566" s="240"/>
      <c r="J1566" s="241"/>
      <c r="K1566" s="241"/>
      <c r="L1566" s="227"/>
      <c r="M1566" s="227"/>
      <c r="N1566" s="227"/>
      <c r="O1566" s="227"/>
      <c r="P1566" s="122"/>
      <c r="Q1566" s="228"/>
      <c r="R1566" s="231" t="str">
        <f t="shared" si="1000"/>
        <v/>
      </c>
      <c r="S1566" s="230" t="str">
        <f t="shared" si="988"/>
        <v/>
      </c>
      <c r="T1566" s="231" t="str">
        <f>IF(OR(Q1566="Y",IFERROR(R1566&gt;R1574+R1578*$AA$35,0),IFERROR(R1566&lt;R1574-R1578*$AA$35,0)),"",IFERROR(R1566*N1566,""))</f>
        <v/>
      </c>
      <c r="U1566" s="232" t="str">
        <f t="shared" si="989"/>
        <v/>
      </c>
      <c r="V1566" s="28"/>
      <c r="W1566" s="28"/>
      <c r="Y1566" s="91"/>
      <c r="AO1566" s="91"/>
      <c r="AP1566" s="28"/>
      <c r="AQ1566" s="28"/>
      <c r="AR1566" s="237"/>
      <c r="AS1566" s="28"/>
      <c r="AT1566" s="304" t="str">
        <f t="shared" si="1001"/>
        <v/>
      </c>
      <c r="AU1566" s="304" t="str">
        <f t="shared" si="1001"/>
        <v/>
      </c>
      <c r="AV1566" s="28"/>
      <c r="AW1566" s="304" t="str">
        <f t="shared" si="990"/>
        <v/>
      </c>
      <c r="AX1566" s="304" t="str">
        <f t="shared" si="990"/>
        <v/>
      </c>
      <c r="AY1566" s="28"/>
      <c r="AZ1566" s="304" t="str">
        <f t="shared" si="991"/>
        <v/>
      </c>
      <c r="BA1566" s="304" t="str">
        <f t="shared" si="991"/>
        <v/>
      </c>
      <c r="BB1566" s="28"/>
      <c r="BC1566" s="304" t="str">
        <f t="shared" si="992"/>
        <v/>
      </c>
      <c r="BD1566" s="304" t="str">
        <f t="shared" si="992"/>
        <v/>
      </c>
      <c r="BE1566" s="28"/>
      <c r="BF1566" s="304" t="str">
        <f t="shared" si="993"/>
        <v/>
      </c>
      <c r="BG1566" s="304" t="str">
        <f t="shared" si="993"/>
        <v/>
      </c>
      <c r="BH1566" s="28"/>
      <c r="BI1566" s="304" t="str">
        <f t="shared" si="994"/>
        <v/>
      </c>
      <c r="BJ1566" s="304" t="str">
        <f t="shared" si="994"/>
        <v/>
      </c>
      <c r="BK1566" s="28"/>
      <c r="BL1566" s="304" t="str">
        <f t="shared" si="995"/>
        <v/>
      </c>
      <c r="BM1566" s="304" t="str">
        <f t="shared" si="995"/>
        <v/>
      </c>
      <c r="BN1566" s="28"/>
      <c r="BO1566" s="304" t="str">
        <f t="shared" si="996"/>
        <v/>
      </c>
      <c r="BP1566" s="304" t="str">
        <f t="shared" si="996"/>
        <v/>
      </c>
      <c r="BQ1566" s="28"/>
      <c r="BR1566" s="304" t="str">
        <f t="shared" si="997"/>
        <v/>
      </c>
      <c r="BS1566" s="304" t="str">
        <f t="shared" si="997"/>
        <v/>
      </c>
      <c r="BT1566" s="28"/>
      <c r="BU1566" s="304" t="str">
        <f t="shared" si="998"/>
        <v/>
      </c>
      <c r="BV1566" s="304" t="str">
        <f t="shared" si="998"/>
        <v/>
      </c>
      <c r="BW1566" s="28"/>
      <c r="BX1566" s="91"/>
    </row>
    <row r="1567" spans="1:76" s="55" customFormat="1" x14ac:dyDescent="0.25">
      <c r="A1567" s="195">
        <v>14</v>
      </c>
      <c r="B1567" s="216" t="str">
        <f t="shared" si="987"/>
        <v xml:space="preserve">: </v>
      </c>
      <c r="C1567" s="221"/>
      <c r="D1567" s="221"/>
      <c r="E1567" s="221"/>
      <c r="F1567" s="221"/>
      <c r="G1567" s="240"/>
      <c r="H1567" s="221"/>
      <c r="I1567" s="240"/>
      <c r="J1567" s="241"/>
      <c r="K1567" s="241"/>
      <c r="L1567" s="227"/>
      <c r="M1567" s="227"/>
      <c r="N1567" s="227"/>
      <c r="O1567" s="227"/>
      <c r="P1567" s="122"/>
      <c r="Q1567" s="228"/>
      <c r="R1567" s="231" t="str">
        <f t="shared" si="1000"/>
        <v/>
      </c>
      <c r="S1567" s="230" t="str">
        <f t="shared" si="988"/>
        <v/>
      </c>
      <c r="T1567" s="231" t="str">
        <f>IF(OR(Q1567="Y",IFERROR(R1567&gt;R1574+R1578*$AA$35,0),IFERROR(R1567&lt;R1574-R1578*$AA$35,0)),"",IFERROR(R1567*N1567,""))</f>
        <v/>
      </c>
      <c r="U1567" s="232" t="str">
        <f t="shared" si="989"/>
        <v/>
      </c>
      <c r="V1567" s="28"/>
      <c r="W1567" s="28"/>
      <c r="Y1567" s="91"/>
      <c r="AO1567" s="91"/>
      <c r="AP1567" s="28"/>
      <c r="AQ1567" s="28"/>
      <c r="AR1567" s="237"/>
      <c r="AS1567" s="28"/>
      <c r="AT1567" s="304" t="str">
        <f t="shared" si="1001"/>
        <v/>
      </c>
      <c r="AU1567" s="304" t="str">
        <f t="shared" si="1001"/>
        <v/>
      </c>
      <c r="AV1567" s="28"/>
      <c r="AW1567" s="304" t="str">
        <f t="shared" si="990"/>
        <v/>
      </c>
      <c r="AX1567" s="304" t="str">
        <f t="shared" si="990"/>
        <v/>
      </c>
      <c r="AY1567" s="28"/>
      <c r="AZ1567" s="304" t="str">
        <f t="shared" si="991"/>
        <v/>
      </c>
      <c r="BA1567" s="304" t="str">
        <f t="shared" si="991"/>
        <v/>
      </c>
      <c r="BB1567" s="28"/>
      <c r="BC1567" s="304" t="str">
        <f t="shared" si="992"/>
        <v/>
      </c>
      <c r="BD1567" s="304" t="str">
        <f t="shared" si="992"/>
        <v/>
      </c>
      <c r="BE1567" s="28"/>
      <c r="BF1567" s="304" t="str">
        <f t="shared" si="993"/>
        <v/>
      </c>
      <c r="BG1567" s="304" t="str">
        <f t="shared" si="993"/>
        <v/>
      </c>
      <c r="BH1567" s="28"/>
      <c r="BI1567" s="304" t="str">
        <f t="shared" si="994"/>
        <v/>
      </c>
      <c r="BJ1567" s="304" t="str">
        <f t="shared" si="994"/>
        <v/>
      </c>
      <c r="BK1567" s="28"/>
      <c r="BL1567" s="304" t="str">
        <f t="shared" si="995"/>
        <v/>
      </c>
      <c r="BM1567" s="304" t="str">
        <f t="shared" si="995"/>
        <v/>
      </c>
      <c r="BN1567" s="28"/>
      <c r="BO1567" s="304" t="str">
        <f t="shared" si="996"/>
        <v/>
      </c>
      <c r="BP1567" s="304" t="str">
        <f t="shared" si="996"/>
        <v/>
      </c>
      <c r="BQ1567" s="28"/>
      <c r="BR1567" s="304" t="str">
        <f t="shared" si="997"/>
        <v/>
      </c>
      <c r="BS1567" s="304" t="str">
        <f t="shared" si="997"/>
        <v/>
      </c>
      <c r="BT1567" s="28"/>
      <c r="BU1567" s="304" t="str">
        <f t="shared" si="998"/>
        <v/>
      </c>
      <c r="BV1567" s="304" t="str">
        <f t="shared" si="998"/>
        <v/>
      </c>
      <c r="BW1567" s="28"/>
      <c r="BX1567" s="91"/>
    </row>
    <row r="1568" spans="1:76" s="55" customFormat="1" x14ac:dyDescent="0.25">
      <c r="A1568" s="195">
        <v>15</v>
      </c>
      <c r="B1568" s="216" t="str">
        <f t="shared" si="987"/>
        <v xml:space="preserve">: </v>
      </c>
      <c r="C1568" s="221"/>
      <c r="D1568" s="221"/>
      <c r="E1568" s="221"/>
      <c r="F1568" s="221"/>
      <c r="G1568" s="240"/>
      <c r="H1568" s="221"/>
      <c r="I1568" s="240"/>
      <c r="J1568" s="241"/>
      <c r="K1568" s="241"/>
      <c r="L1568" s="227"/>
      <c r="M1568" s="227"/>
      <c r="N1568" s="227"/>
      <c r="O1568" s="227"/>
      <c r="P1568" s="122"/>
      <c r="Q1568" s="228"/>
      <c r="R1568" s="231" t="str">
        <f t="shared" si="1000"/>
        <v/>
      </c>
      <c r="S1568" s="230" t="str">
        <f t="shared" si="988"/>
        <v/>
      </c>
      <c r="T1568" s="231" t="str">
        <f>IF(OR(Q1568="Y",IFERROR(R1568&gt;R1574+R1578*$AA$35,0),IFERROR(R1568&lt;R1574-R1578*$AA$35,0)),"",IFERROR(R1568*N1568,""))</f>
        <v/>
      </c>
      <c r="U1568" s="232" t="str">
        <f t="shared" si="989"/>
        <v/>
      </c>
      <c r="V1568" s="28"/>
      <c r="W1568" s="28"/>
      <c r="Y1568" s="91"/>
      <c r="AO1568" s="91"/>
      <c r="AP1568" s="28"/>
      <c r="AQ1568" s="28"/>
      <c r="AR1568" s="237"/>
      <c r="AS1568" s="28"/>
      <c r="AT1568" s="304" t="str">
        <f t="shared" si="1001"/>
        <v/>
      </c>
      <c r="AU1568" s="304" t="str">
        <f t="shared" si="1001"/>
        <v/>
      </c>
      <c r="AV1568" s="28"/>
      <c r="AW1568" s="304" t="str">
        <f t="shared" si="990"/>
        <v/>
      </c>
      <c r="AX1568" s="304" t="str">
        <f t="shared" si="990"/>
        <v/>
      </c>
      <c r="AY1568" s="28"/>
      <c r="AZ1568" s="304" t="str">
        <f t="shared" si="991"/>
        <v/>
      </c>
      <c r="BA1568" s="304" t="str">
        <f t="shared" si="991"/>
        <v/>
      </c>
      <c r="BB1568" s="28"/>
      <c r="BC1568" s="304" t="str">
        <f t="shared" si="992"/>
        <v/>
      </c>
      <c r="BD1568" s="304" t="str">
        <f t="shared" si="992"/>
        <v/>
      </c>
      <c r="BE1568" s="28"/>
      <c r="BF1568" s="304" t="str">
        <f t="shared" si="993"/>
        <v/>
      </c>
      <c r="BG1568" s="304" t="str">
        <f t="shared" si="993"/>
        <v/>
      </c>
      <c r="BH1568" s="28"/>
      <c r="BI1568" s="304" t="str">
        <f t="shared" si="994"/>
        <v/>
      </c>
      <c r="BJ1568" s="304" t="str">
        <f t="shared" si="994"/>
        <v/>
      </c>
      <c r="BK1568" s="28"/>
      <c r="BL1568" s="304" t="str">
        <f t="shared" si="995"/>
        <v/>
      </c>
      <c r="BM1568" s="304" t="str">
        <f t="shared" si="995"/>
        <v/>
      </c>
      <c r="BN1568" s="28"/>
      <c r="BO1568" s="304" t="str">
        <f t="shared" si="996"/>
        <v/>
      </c>
      <c r="BP1568" s="304" t="str">
        <f t="shared" si="996"/>
        <v/>
      </c>
      <c r="BQ1568" s="28"/>
      <c r="BR1568" s="304" t="str">
        <f t="shared" si="997"/>
        <v/>
      </c>
      <c r="BS1568" s="304" t="str">
        <f t="shared" si="997"/>
        <v/>
      </c>
      <c r="BT1568" s="28"/>
      <c r="BU1568" s="304" t="str">
        <f t="shared" si="998"/>
        <v/>
      </c>
      <c r="BV1568" s="304" t="str">
        <f t="shared" si="998"/>
        <v/>
      </c>
      <c r="BW1568" s="28"/>
      <c r="BX1568" s="91"/>
    </row>
    <row r="1569" spans="1:76" s="55" customFormat="1" x14ac:dyDescent="0.25">
      <c r="A1569" s="195">
        <v>16</v>
      </c>
      <c r="B1569" s="216" t="str">
        <f t="shared" si="987"/>
        <v xml:space="preserve">: </v>
      </c>
      <c r="C1569" s="221"/>
      <c r="D1569" s="221"/>
      <c r="E1569" s="221"/>
      <c r="F1569" s="221"/>
      <c r="G1569" s="240"/>
      <c r="H1569" s="221"/>
      <c r="I1569" s="240"/>
      <c r="J1569" s="241"/>
      <c r="K1569" s="241"/>
      <c r="L1569" s="227"/>
      <c r="M1569" s="227"/>
      <c r="N1569" s="227"/>
      <c r="O1569" s="227"/>
      <c r="P1569" s="122"/>
      <c r="Q1569" s="228"/>
      <c r="R1569" s="231" t="str">
        <f t="shared" si="1000"/>
        <v/>
      </c>
      <c r="S1569" s="230" t="str">
        <f t="shared" si="988"/>
        <v/>
      </c>
      <c r="T1569" s="231" t="str">
        <f>IF(OR(Q1569="Y",IFERROR(R1569&gt;R1574+R1578*$AA$35,0),IFERROR(R1569&lt;R1574-R1578*$AA$35,0)),"",IFERROR(R1569*N1569,""))</f>
        <v/>
      </c>
      <c r="U1569" s="232" t="str">
        <f t="shared" si="989"/>
        <v/>
      </c>
      <c r="V1569" s="28"/>
      <c r="W1569" s="28"/>
      <c r="Y1569" s="91"/>
      <c r="AO1569" s="91"/>
      <c r="AP1569" s="28"/>
      <c r="AQ1569" s="28"/>
      <c r="AR1569" s="237"/>
      <c r="AS1569" s="28"/>
      <c r="AT1569" s="304" t="str">
        <f t="shared" si="1001"/>
        <v/>
      </c>
      <c r="AU1569" s="304" t="str">
        <f t="shared" si="1001"/>
        <v/>
      </c>
      <c r="AV1569" s="28"/>
      <c r="AW1569" s="304" t="str">
        <f t="shared" si="990"/>
        <v/>
      </c>
      <c r="AX1569" s="304" t="str">
        <f t="shared" si="990"/>
        <v/>
      </c>
      <c r="AY1569" s="28"/>
      <c r="AZ1569" s="304" t="str">
        <f t="shared" si="991"/>
        <v/>
      </c>
      <c r="BA1569" s="304" t="str">
        <f t="shared" si="991"/>
        <v/>
      </c>
      <c r="BB1569" s="28"/>
      <c r="BC1569" s="304" t="str">
        <f t="shared" si="992"/>
        <v/>
      </c>
      <c r="BD1569" s="304" t="str">
        <f t="shared" si="992"/>
        <v/>
      </c>
      <c r="BE1569" s="28"/>
      <c r="BF1569" s="304" t="str">
        <f t="shared" si="993"/>
        <v/>
      </c>
      <c r="BG1569" s="304" t="str">
        <f t="shared" si="993"/>
        <v/>
      </c>
      <c r="BH1569" s="28"/>
      <c r="BI1569" s="304" t="str">
        <f t="shared" si="994"/>
        <v/>
      </c>
      <c r="BJ1569" s="304" t="str">
        <f t="shared" si="994"/>
        <v/>
      </c>
      <c r="BK1569" s="28"/>
      <c r="BL1569" s="304" t="str">
        <f t="shared" si="995"/>
        <v/>
      </c>
      <c r="BM1569" s="304" t="str">
        <f t="shared" si="995"/>
        <v/>
      </c>
      <c r="BN1569" s="28"/>
      <c r="BO1569" s="304" t="str">
        <f t="shared" si="996"/>
        <v/>
      </c>
      <c r="BP1569" s="304" t="str">
        <f t="shared" si="996"/>
        <v/>
      </c>
      <c r="BQ1569" s="28"/>
      <c r="BR1569" s="304" t="str">
        <f t="shared" si="997"/>
        <v/>
      </c>
      <c r="BS1569" s="304" t="str">
        <f t="shared" si="997"/>
        <v/>
      </c>
      <c r="BT1569" s="28"/>
      <c r="BU1569" s="304" t="str">
        <f t="shared" si="998"/>
        <v/>
      </c>
      <c r="BV1569" s="304" t="str">
        <f t="shared" si="998"/>
        <v/>
      </c>
      <c r="BW1569" s="28"/>
      <c r="BX1569" s="91"/>
    </row>
    <row r="1570" spans="1:76" s="55" customFormat="1" x14ac:dyDescent="0.25">
      <c r="A1570" s="195">
        <v>17</v>
      </c>
      <c r="B1570" s="216" t="str">
        <f t="shared" si="987"/>
        <v xml:space="preserve">: </v>
      </c>
      <c r="C1570" s="221"/>
      <c r="D1570" s="221"/>
      <c r="E1570" s="221"/>
      <c r="F1570" s="221"/>
      <c r="G1570" s="240"/>
      <c r="H1570" s="221"/>
      <c r="I1570" s="240"/>
      <c r="J1570" s="241"/>
      <c r="K1570" s="241"/>
      <c r="L1570" s="227"/>
      <c r="M1570" s="227"/>
      <c r="N1570" s="227"/>
      <c r="O1570" s="227"/>
      <c r="P1570" s="122"/>
      <c r="Q1570" s="228"/>
      <c r="R1570" s="231" t="str">
        <f t="shared" si="1000"/>
        <v/>
      </c>
      <c r="S1570" s="230" t="str">
        <f t="shared" si="988"/>
        <v/>
      </c>
      <c r="T1570" s="231" t="str">
        <f>IF(OR(Q1570="Y",IFERROR(R1570&gt;R1574+R1578*$AA$35,0),IFERROR(R1570&lt;R1574-R1578*$AA$35,0)),"",IFERROR(R1570*N1570,""))</f>
        <v/>
      </c>
      <c r="U1570" s="232" t="str">
        <f t="shared" si="989"/>
        <v/>
      </c>
      <c r="V1570" s="28"/>
      <c r="W1570" s="28"/>
      <c r="Y1570" s="91"/>
      <c r="AO1570" s="91"/>
      <c r="AP1570" s="28"/>
      <c r="AQ1570" s="28"/>
      <c r="AR1570" s="237"/>
      <c r="AS1570" s="28"/>
      <c r="AT1570" s="304" t="str">
        <f t="shared" si="1001"/>
        <v/>
      </c>
      <c r="AU1570" s="304" t="str">
        <f t="shared" si="1001"/>
        <v/>
      </c>
      <c r="AV1570" s="28"/>
      <c r="AW1570" s="304" t="str">
        <f t="shared" si="990"/>
        <v/>
      </c>
      <c r="AX1570" s="304" t="str">
        <f t="shared" si="990"/>
        <v/>
      </c>
      <c r="AY1570" s="28"/>
      <c r="AZ1570" s="304" t="str">
        <f t="shared" si="991"/>
        <v/>
      </c>
      <c r="BA1570" s="304" t="str">
        <f t="shared" si="991"/>
        <v/>
      </c>
      <c r="BB1570" s="28"/>
      <c r="BC1570" s="304" t="str">
        <f t="shared" si="992"/>
        <v/>
      </c>
      <c r="BD1570" s="304" t="str">
        <f t="shared" si="992"/>
        <v/>
      </c>
      <c r="BE1570" s="28"/>
      <c r="BF1570" s="304" t="str">
        <f t="shared" si="993"/>
        <v/>
      </c>
      <c r="BG1570" s="304" t="str">
        <f t="shared" si="993"/>
        <v/>
      </c>
      <c r="BH1570" s="28"/>
      <c r="BI1570" s="304" t="str">
        <f t="shared" si="994"/>
        <v/>
      </c>
      <c r="BJ1570" s="304" t="str">
        <f t="shared" si="994"/>
        <v/>
      </c>
      <c r="BK1570" s="28"/>
      <c r="BL1570" s="304" t="str">
        <f t="shared" si="995"/>
        <v/>
      </c>
      <c r="BM1570" s="304" t="str">
        <f t="shared" si="995"/>
        <v/>
      </c>
      <c r="BN1570" s="28"/>
      <c r="BO1570" s="304" t="str">
        <f t="shared" si="996"/>
        <v/>
      </c>
      <c r="BP1570" s="304" t="str">
        <f t="shared" si="996"/>
        <v/>
      </c>
      <c r="BQ1570" s="28"/>
      <c r="BR1570" s="304" t="str">
        <f t="shared" si="997"/>
        <v/>
      </c>
      <c r="BS1570" s="304" t="str">
        <f t="shared" si="997"/>
        <v/>
      </c>
      <c r="BT1570" s="28"/>
      <c r="BU1570" s="304" t="str">
        <f t="shared" si="998"/>
        <v/>
      </c>
      <c r="BV1570" s="304" t="str">
        <f t="shared" si="998"/>
        <v/>
      </c>
      <c r="BW1570" s="28"/>
      <c r="BX1570" s="91"/>
    </row>
    <row r="1571" spans="1:76" s="55" customFormat="1" x14ac:dyDescent="0.25">
      <c r="A1571" s="195">
        <v>18</v>
      </c>
      <c r="B1571" s="216" t="str">
        <f t="shared" si="987"/>
        <v xml:space="preserve">: </v>
      </c>
      <c r="C1571" s="221"/>
      <c r="D1571" s="221"/>
      <c r="E1571" s="221"/>
      <c r="F1571" s="221"/>
      <c r="G1571" s="240"/>
      <c r="H1571" s="221"/>
      <c r="I1571" s="240"/>
      <c r="J1571" s="241"/>
      <c r="K1571" s="241"/>
      <c r="L1571" s="227"/>
      <c r="M1571" s="227"/>
      <c r="N1571" s="227"/>
      <c r="O1571" s="227"/>
      <c r="P1571" s="122"/>
      <c r="Q1571" s="228"/>
      <c r="R1571" s="231" t="str">
        <f t="shared" si="1000"/>
        <v/>
      </c>
      <c r="S1571" s="230" t="str">
        <f t="shared" si="988"/>
        <v/>
      </c>
      <c r="T1571" s="231" t="str">
        <f>IF(OR(Q1571="Y",IFERROR(R1571&gt;R1574+R1578*$AA$35,0),IFERROR(R1571&lt;R1574-R1578*$AA$35,0)),"",IFERROR(R1571*N1571,""))</f>
        <v/>
      </c>
      <c r="U1571" s="232" t="str">
        <f t="shared" si="989"/>
        <v/>
      </c>
      <c r="V1571" s="28"/>
      <c r="W1571" s="28"/>
      <c r="Y1571" s="91"/>
      <c r="AO1571" s="91"/>
      <c r="AP1571" s="28"/>
      <c r="AQ1571" s="28"/>
      <c r="AR1571" s="237"/>
      <c r="AS1571" s="28"/>
      <c r="AT1571" s="304" t="str">
        <f t="shared" si="1001"/>
        <v/>
      </c>
      <c r="AU1571" s="304" t="str">
        <f t="shared" si="1001"/>
        <v/>
      </c>
      <c r="AV1571" s="28"/>
      <c r="AW1571" s="304" t="str">
        <f t="shared" si="990"/>
        <v/>
      </c>
      <c r="AX1571" s="304" t="str">
        <f t="shared" si="990"/>
        <v/>
      </c>
      <c r="AY1571" s="28"/>
      <c r="AZ1571" s="304" t="str">
        <f t="shared" si="991"/>
        <v/>
      </c>
      <c r="BA1571" s="304" t="str">
        <f t="shared" si="991"/>
        <v/>
      </c>
      <c r="BB1571" s="28"/>
      <c r="BC1571" s="304" t="str">
        <f t="shared" si="992"/>
        <v/>
      </c>
      <c r="BD1571" s="304" t="str">
        <f t="shared" si="992"/>
        <v/>
      </c>
      <c r="BE1571" s="28"/>
      <c r="BF1571" s="304" t="str">
        <f t="shared" si="993"/>
        <v/>
      </c>
      <c r="BG1571" s="304" t="str">
        <f t="shared" si="993"/>
        <v/>
      </c>
      <c r="BH1571" s="28"/>
      <c r="BI1571" s="304" t="str">
        <f t="shared" si="994"/>
        <v/>
      </c>
      <c r="BJ1571" s="304" t="str">
        <f t="shared" si="994"/>
        <v/>
      </c>
      <c r="BK1571" s="28"/>
      <c r="BL1571" s="304" t="str">
        <f t="shared" si="995"/>
        <v/>
      </c>
      <c r="BM1571" s="304" t="str">
        <f t="shared" si="995"/>
        <v/>
      </c>
      <c r="BN1571" s="28"/>
      <c r="BO1571" s="304" t="str">
        <f t="shared" si="996"/>
        <v/>
      </c>
      <c r="BP1571" s="304" t="str">
        <f t="shared" si="996"/>
        <v/>
      </c>
      <c r="BQ1571" s="28"/>
      <c r="BR1571" s="304" t="str">
        <f t="shared" si="997"/>
        <v/>
      </c>
      <c r="BS1571" s="304" t="str">
        <f t="shared" si="997"/>
        <v/>
      </c>
      <c r="BT1571" s="28"/>
      <c r="BU1571" s="304" t="str">
        <f t="shared" si="998"/>
        <v/>
      </c>
      <c r="BV1571" s="304" t="str">
        <f t="shared" si="998"/>
        <v/>
      </c>
      <c r="BW1571" s="28"/>
      <c r="BX1571" s="91"/>
    </row>
    <row r="1572" spans="1:76" s="55" customFormat="1" x14ac:dyDescent="0.25">
      <c r="A1572" s="195">
        <v>19</v>
      </c>
      <c r="B1572" s="216" t="str">
        <f t="shared" si="987"/>
        <v xml:space="preserve">: </v>
      </c>
      <c r="C1572" s="221"/>
      <c r="D1572" s="221"/>
      <c r="E1572" s="221"/>
      <c r="F1572" s="221"/>
      <c r="G1572" s="240"/>
      <c r="H1572" s="221"/>
      <c r="I1572" s="240"/>
      <c r="J1572" s="241"/>
      <c r="K1572" s="241"/>
      <c r="L1572" s="227"/>
      <c r="M1572" s="227"/>
      <c r="N1572" s="227"/>
      <c r="O1572" s="227"/>
      <c r="P1572" s="122"/>
      <c r="Q1572" s="228"/>
      <c r="R1572" s="231" t="str">
        <f t="shared" si="1000"/>
        <v/>
      </c>
      <c r="S1572" s="230" t="str">
        <f t="shared" si="988"/>
        <v/>
      </c>
      <c r="T1572" s="231" t="str">
        <f>IF(OR(Q1572="Y",IFERROR(R1572&gt;R1574+R1578*$AA$35,0),IFERROR(R1572&lt;R1574-R1578*$AA$35,0)),"",IFERROR(R1572*N1572,""))</f>
        <v/>
      </c>
      <c r="U1572" s="232" t="str">
        <f t="shared" si="989"/>
        <v/>
      </c>
      <c r="V1572" s="28"/>
      <c r="W1572" s="28"/>
      <c r="Y1572" s="91"/>
      <c r="AO1572" s="91"/>
      <c r="AP1572" s="28"/>
      <c r="AQ1572" s="28"/>
      <c r="AR1572" s="237"/>
      <c r="AS1572" s="28"/>
      <c r="AT1572" s="304" t="str">
        <f t="shared" si="1001"/>
        <v/>
      </c>
      <c r="AU1572" s="304" t="str">
        <f t="shared" si="1001"/>
        <v/>
      </c>
      <c r="AV1572" s="28"/>
      <c r="AW1572" s="304" t="str">
        <f t="shared" si="990"/>
        <v/>
      </c>
      <c r="AX1572" s="304" t="str">
        <f t="shared" si="990"/>
        <v/>
      </c>
      <c r="AY1572" s="28"/>
      <c r="AZ1572" s="304" t="str">
        <f t="shared" si="991"/>
        <v/>
      </c>
      <c r="BA1572" s="304" t="str">
        <f t="shared" si="991"/>
        <v/>
      </c>
      <c r="BB1572" s="28"/>
      <c r="BC1572" s="304" t="str">
        <f t="shared" si="992"/>
        <v/>
      </c>
      <c r="BD1572" s="304" t="str">
        <f t="shared" si="992"/>
        <v/>
      </c>
      <c r="BE1572" s="28"/>
      <c r="BF1572" s="304" t="str">
        <f t="shared" si="993"/>
        <v/>
      </c>
      <c r="BG1572" s="304" t="str">
        <f t="shared" si="993"/>
        <v/>
      </c>
      <c r="BH1572" s="28"/>
      <c r="BI1572" s="304" t="str">
        <f t="shared" si="994"/>
        <v/>
      </c>
      <c r="BJ1572" s="304" t="str">
        <f t="shared" si="994"/>
        <v/>
      </c>
      <c r="BK1572" s="28"/>
      <c r="BL1572" s="304" t="str">
        <f t="shared" si="995"/>
        <v/>
      </c>
      <c r="BM1572" s="304" t="str">
        <f t="shared" si="995"/>
        <v/>
      </c>
      <c r="BN1572" s="28"/>
      <c r="BO1572" s="304" t="str">
        <f t="shared" si="996"/>
        <v/>
      </c>
      <c r="BP1572" s="304" t="str">
        <f t="shared" si="996"/>
        <v/>
      </c>
      <c r="BQ1572" s="28"/>
      <c r="BR1572" s="304" t="str">
        <f t="shared" si="997"/>
        <v/>
      </c>
      <c r="BS1572" s="304" t="str">
        <f t="shared" si="997"/>
        <v/>
      </c>
      <c r="BT1572" s="28"/>
      <c r="BU1572" s="304" t="str">
        <f t="shared" si="998"/>
        <v/>
      </c>
      <c r="BV1572" s="304" t="str">
        <f t="shared" si="998"/>
        <v/>
      </c>
      <c r="BW1572" s="28"/>
      <c r="BX1572" s="91"/>
    </row>
    <row r="1573" spans="1:76" s="55" customFormat="1" x14ac:dyDescent="0.25">
      <c r="A1573" s="195">
        <v>20</v>
      </c>
      <c r="B1573" s="216" t="str">
        <f t="shared" si="987"/>
        <v xml:space="preserve">: </v>
      </c>
      <c r="C1573" s="221"/>
      <c r="D1573" s="221"/>
      <c r="E1573" s="221"/>
      <c r="F1573" s="221"/>
      <c r="G1573" s="240"/>
      <c r="H1573" s="221"/>
      <c r="I1573" s="240"/>
      <c r="J1573" s="241"/>
      <c r="K1573" s="241"/>
      <c r="L1573" s="227"/>
      <c r="M1573" s="227"/>
      <c r="N1573" s="227"/>
      <c r="O1573" s="227"/>
      <c r="P1573" s="122"/>
      <c r="Q1573" s="228"/>
      <c r="R1573" s="231" t="str">
        <f t="shared" si="1000"/>
        <v/>
      </c>
      <c r="S1573" s="230" t="str">
        <f t="shared" si="988"/>
        <v/>
      </c>
      <c r="T1573" s="231" t="str">
        <f>IF(OR(Q1573="Y",IFERROR(R1573&gt;R1574+R1578*$AA$35,0),IFERROR(R1573&lt;R1574-R1578*$AA$35,0)),"",IFERROR(R1573*N1573,""))</f>
        <v/>
      </c>
      <c r="U1573" s="232" t="str">
        <f t="shared" si="989"/>
        <v/>
      </c>
      <c r="V1573" s="28"/>
      <c r="W1573" s="28"/>
      <c r="Y1573" s="91"/>
      <c r="AO1573" s="91"/>
      <c r="AP1573" s="28"/>
      <c r="AQ1573" s="28"/>
      <c r="AR1573" s="237"/>
      <c r="AS1573" s="28"/>
      <c r="AT1573" s="304" t="str">
        <f t="shared" si="1001"/>
        <v/>
      </c>
      <c r="AU1573" s="304" t="str">
        <f t="shared" si="1001"/>
        <v/>
      </c>
      <c r="AV1573" s="28"/>
      <c r="AW1573" s="304" t="str">
        <f t="shared" si="990"/>
        <v/>
      </c>
      <c r="AX1573" s="304" t="str">
        <f t="shared" si="990"/>
        <v/>
      </c>
      <c r="AY1573" s="28"/>
      <c r="AZ1573" s="304" t="str">
        <f t="shared" si="991"/>
        <v/>
      </c>
      <c r="BA1573" s="304" t="str">
        <f t="shared" si="991"/>
        <v/>
      </c>
      <c r="BB1573" s="28"/>
      <c r="BC1573" s="304" t="str">
        <f t="shared" si="992"/>
        <v/>
      </c>
      <c r="BD1573" s="304" t="str">
        <f t="shared" si="992"/>
        <v/>
      </c>
      <c r="BE1573" s="28"/>
      <c r="BF1573" s="304" t="str">
        <f t="shared" si="993"/>
        <v/>
      </c>
      <c r="BG1573" s="304" t="str">
        <f t="shared" si="993"/>
        <v/>
      </c>
      <c r="BH1573" s="28"/>
      <c r="BI1573" s="304" t="str">
        <f t="shared" si="994"/>
        <v/>
      </c>
      <c r="BJ1573" s="304" t="str">
        <f t="shared" si="994"/>
        <v/>
      </c>
      <c r="BK1573" s="28"/>
      <c r="BL1573" s="304" t="str">
        <f t="shared" si="995"/>
        <v/>
      </c>
      <c r="BM1573" s="304" t="str">
        <f t="shared" si="995"/>
        <v/>
      </c>
      <c r="BN1573" s="28"/>
      <c r="BO1573" s="304" t="str">
        <f t="shared" si="996"/>
        <v/>
      </c>
      <c r="BP1573" s="304" t="str">
        <f t="shared" si="996"/>
        <v/>
      </c>
      <c r="BQ1573" s="28"/>
      <c r="BR1573" s="304" t="str">
        <f t="shared" si="997"/>
        <v/>
      </c>
      <c r="BS1573" s="304" t="str">
        <f t="shared" si="997"/>
        <v/>
      </c>
      <c r="BT1573" s="28"/>
      <c r="BU1573" s="304" t="str">
        <f t="shared" si="998"/>
        <v/>
      </c>
      <c r="BV1573" s="304" t="str">
        <f t="shared" si="998"/>
        <v/>
      </c>
      <c r="BW1573" s="28"/>
      <c r="BX1573" s="91"/>
    </row>
    <row r="1574" spans="1:76" s="55" customFormat="1" x14ac:dyDescent="0.25">
      <c r="A1574" s="195"/>
      <c r="B1574" s="244" t="s">
        <v>163</v>
      </c>
      <c r="C1574" s="199"/>
      <c r="D1574" s="199"/>
      <c r="E1574" s="199"/>
      <c r="F1574" s="199"/>
      <c r="H1574" s="28"/>
      <c r="I1574" s="245"/>
      <c r="J1574" s="122"/>
      <c r="K1574" s="122"/>
      <c r="L1574" s="122" t="s">
        <v>134</v>
      </c>
      <c r="M1574" s="122"/>
      <c r="N1574" s="122"/>
      <c r="O1574" s="122"/>
      <c r="P1574" s="122"/>
      <c r="Q1574" s="305" t="s">
        <v>136</v>
      </c>
      <c r="R1574" s="246">
        <f>AVERAGE(R1554:R1573)</f>
        <v>11057.025</v>
      </c>
      <c r="S1574" s="247">
        <f>IF(R1582="Y",SUM(S1554:S1573)/SUMPRODUCT(N1554:N1573,--ISNUMBER(S1554:S1573)),AVERAGE(S1554:S1573))</f>
        <v>11057.025</v>
      </c>
      <c r="T1574" s="248" t="e">
        <f>SUM(T1554:T1573)/SUMPRODUCT(N1554:N1573,--ISNUMBER(T1554:T1573))</f>
        <v>#DIV/0!</v>
      </c>
      <c r="U1574" s="28"/>
      <c r="V1574" s="28"/>
      <c r="W1574" s="28"/>
      <c r="Y1574" s="249"/>
      <c r="AO1574" s="91"/>
      <c r="AP1574" s="28"/>
      <c r="AQ1574" s="28"/>
      <c r="AR1574" s="28"/>
      <c r="AS1574" s="245" t="s">
        <v>136</v>
      </c>
      <c r="AT1574" s="307" t="e">
        <f>AVERAGE(AT1554:AT1573)</f>
        <v>#DIV/0!</v>
      </c>
      <c r="AU1574" s="307" t="e">
        <f>SUM(AU1554:AU1573)/COUNTIF(AU1554:AU1573,"&gt;0")</f>
        <v>#DIV/0!</v>
      </c>
      <c r="AV1574" s="245"/>
      <c r="AW1574" s="307">
        <f>AVERAGE(AW1554:AW1573)</f>
        <v>11057.025</v>
      </c>
      <c r="AX1574" s="307">
        <f>SUM(AX1554:AX1573)/COUNTIF(AX1554:AX1573,"&gt;0")</f>
        <v>11057.025</v>
      </c>
      <c r="AY1574" s="28"/>
      <c r="AZ1574" s="307" t="e">
        <f>AVERAGE(AZ1554:AZ1573)</f>
        <v>#DIV/0!</v>
      </c>
      <c r="BA1574" s="307" t="e">
        <f>SUM(BA1554:BA1573)/COUNTIF(BA1554:BA1573,"&gt;0")</f>
        <v>#DIV/0!</v>
      </c>
      <c r="BB1574" s="28"/>
      <c r="BC1574" s="307" t="e">
        <f>AVERAGE(BC1554:BC1573)</f>
        <v>#DIV/0!</v>
      </c>
      <c r="BD1574" s="307" t="e">
        <f>SUM(BD1554:BD1573)/COUNTIF(BD1554:BD1573,"&gt;0")</f>
        <v>#DIV/0!</v>
      </c>
      <c r="BE1574" s="28"/>
      <c r="BF1574" s="307" t="e">
        <f>AVERAGE(BF1554:BF1573)</f>
        <v>#DIV/0!</v>
      </c>
      <c r="BG1574" s="307" t="e">
        <f>SUM(BG1554:BG1573)/COUNTIF(BG1554:BG1573,"&gt;0")</f>
        <v>#DIV/0!</v>
      </c>
      <c r="BH1574" s="28"/>
      <c r="BI1574" s="307" t="e">
        <f>AVERAGE(BI1554:BI1573)</f>
        <v>#DIV/0!</v>
      </c>
      <c r="BJ1574" s="307" t="e">
        <f>SUM(BJ1554:BJ1573)/COUNTIF(BJ1554:BJ1573,"&gt;0")</f>
        <v>#DIV/0!</v>
      </c>
      <c r="BK1574" s="245"/>
      <c r="BL1574" s="307" t="e">
        <f>AVERAGE(BL1554:BL1573)</f>
        <v>#DIV/0!</v>
      </c>
      <c r="BM1574" s="307" t="e">
        <f>SUM(BM1554:BM1573)/COUNTIF(BM1554:BM1573,"&gt;0")</f>
        <v>#DIV/0!</v>
      </c>
      <c r="BN1574" s="28"/>
      <c r="BO1574" s="307" t="e">
        <f>AVERAGE(BO1554:BO1573)</f>
        <v>#DIV/0!</v>
      </c>
      <c r="BP1574" s="307" t="e">
        <f>SUM(BP1554:BP1573)/COUNTIF(BP1554:BP1573,"&gt;0")</f>
        <v>#DIV/0!</v>
      </c>
      <c r="BQ1574" s="28"/>
      <c r="BR1574" s="307" t="e">
        <f>AVERAGE(BR1554:BR1573)</f>
        <v>#DIV/0!</v>
      </c>
      <c r="BS1574" s="307" t="e">
        <f>SUM(BS1554:BS1573)/COUNTIF(BS1554:BS1573,"&gt;0")</f>
        <v>#DIV/0!</v>
      </c>
      <c r="BT1574" s="28"/>
      <c r="BU1574" s="307" t="e">
        <f>AVERAGE(BU1554:BU1573)</f>
        <v>#DIV/0!</v>
      </c>
      <c r="BV1574" s="307" t="e">
        <f>SUM(BV1554:BV1573)/COUNTIF(BV1554:BV1573,"&gt;0")</f>
        <v>#DIV/0!</v>
      </c>
      <c r="BW1574" s="28"/>
      <c r="BX1574" s="91"/>
    </row>
    <row r="1575" spans="1:76" s="55" customFormat="1" x14ac:dyDescent="0.25">
      <c r="A1575" s="195"/>
      <c r="B1575" s="244" t="s">
        <v>164</v>
      </c>
      <c r="C1575" s="199" t="s">
        <v>139</v>
      </c>
      <c r="D1575" s="252"/>
      <c r="E1575" s="253"/>
      <c r="F1575" s="253"/>
      <c r="G1575" s="253"/>
      <c r="H1575" s="253"/>
      <c r="I1575" s="253"/>
      <c r="J1575" s="254"/>
      <c r="K1575" s="122"/>
      <c r="L1575" s="122"/>
      <c r="M1575" s="122"/>
      <c r="N1575" s="122"/>
      <c r="O1575" s="122"/>
      <c r="P1575" s="122"/>
      <c r="Q1575" s="306" t="s">
        <v>144</v>
      </c>
      <c r="R1575" s="257">
        <f>R1574+U1575*R1578</f>
        <v>14153.697556032639</v>
      </c>
      <c r="S1575" s="257">
        <f>S1574+U1575*S1578</f>
        <v>14153.697556032639</v>
      </c>
      <c r="T1575" s="257" t="e">
        <f>T1574+U1575*T1578</f>
        <v>#DIV/0!</v>
      </c>
      <c r="U1575" s="258">
        <v>1</v>
      </c>
      <c r="V1575" s="122" t="s">
        <v>142</v>
      </c>
      <c r="W1575" s="28"/>
      <c r="X1575" s="259" t="s">
        <v>143</v>
      </c>
      <c r="Y1575" s="260"/>
      <c r="AO1575" s="91"/>
      <c r="AP1575" s="28"/>
      <c r="AQ1575" s="28"/>
      <c r="AR1575" s="28"/>
      <c r="AS1575" s="256" t="s">
        <v>144</v>
      </c>
      <c r="AT1575" s="261" t="e">
        <f>AT1574+(AT1580*AT1577)</f>
        <v>#DIV/0!</v>
      </c>
      <c r="AU1575" s="261" t="e">
        <f>AU1574+(AU1580*AT1577)</f>
        <v>#DIV/0!</v>
      </c>
      <c r="AV1575" s="256"/>
      <c r="AW1575" s="261">
        <f>AW1574+(AW1580*AW1577)</f>
        <v>14153.697556032639</v>
      </c>
      <c r="AX1575" s="261">
        <f>AX1574+(AX1580*AW1577)</f>
        <v>14153.697556032639</v>
      </c>
      <c r="AY1575" s="28"/>
      <c r="AZ1575" s="261" t="e">
        <f>AZ1574+(AZ1580*AZ1577)</f>
        <v>#DIV/0!</v>
      </c>
      <c r="BA1575" s="261" t="e">
        <f>BA1574+(BA1580*AZ1577)</f>
        <v>#DIV/0!</v>
      </c>
      <c r="BB1575" s="28"/>
      <c r="BC1575" s="261" t="e">
        <f>BC1574+(BC1580*BC1577)</f>
        <v>#DIV/0!</v>
      </c>
      <c r="BD1575" s="261" t="e">
        <f>BD1574+(BD1580*BC1577)</f>
        <v>#DIV/0!</v>
      </c>
      <c r="BE1575" s="28"/>
      <c r="BF1575" s="261" t="e">
        <f>BF1574+(BF1580*BF1577)</f>
        <v>#DIV/0!</v>
      </c>
      <c r="BG1575" s="261" t="e">
        <f>BG1574+(BG1580*BF1577)</f>
        <v>#DIV/0!</v>
      </c>
      <c r="BH1575" s="28"/>
      <c r="BI1575" s="261" t="e">
        <f>BI1574+(BI1580*BI1577)</f>
        <v>#DIV/0!</v>
      </c>
      <c r="BJ1575" s="261" t="e">
        <f>BJ1574+(BJ1580*BI1577)</f>
        <v>#DIV/0!</v>
      </c>
      <c r="BK1575" s="256"/>
      <c r="BL1575" s="261" t="e">
        <f>BL1574+(BL1580*BL1577)</f>
        <v>#DIV/0!</v>
      </c>
      <c r="BM1575" s="261" t="e">
        <f>BM1574+(BM1580*BL1577)</f>
        <v>#DIV/0!</v>
      </c>
      <c r="BN1575" s="28"/>
      <c r="BO1575" s="261" t="e">
        <f>BO1574+(BO1580*BO1577)</f>
        <v>#DIV/0!</v>
      </c>
      <c r="BP1575" s="261" t="e">
        <f>BP1574+(BP1580*BO1577)</f>
        <v>#DIV/0!</v>
      </c>
      <c r="BQ1575" s="28"/>
      <c r="BR1575" s="261" t="e">
        <f>BR1574+(BR1580*BR1577)</f>
        <v>#DIV/0!</v>
      </c>
      <c r="BS1575" s="261" t="e">
        <f>BS1574+(BS1580*BR1577)</f>
        <v>#DIV/0!</v>
      </c>
      <c r="BT1575" s="28"/>
      <c r="BU1575" s="261" t="e">
        <f>BU1574+(BU1580*BU1577)</f>
        <v>#DIV/0!</v>
      </c>
      <c r="BV1575" s="261" t="e">
        <f>BV1574+(BV1580*BU1577)</f>
        <v>#DIV/0!</v>
      </c>
      <c r="BW1575" s="28"/>
      <c r="BX1575" s="91"/>
    </row>
    <row r="1576" spans="1:76" s="55" customFormat="1" x14ac:dyDescent="0.25">
      <c r="A1576" s="195"/>
      <c r="B1576" s="244" t="s">
        <v>165</v>
      </c>
      <c r="C1576" s="195"/>
      <c r="D1576" s="263"/>
      <c r="E1576" s="264"/>
      <c r="F1576" s="264"/>
      <c r="G1576" s="264"/>
      <c r="H1576" s="264"/>
      <c r="I1576" s="264"/>
      <c r="J1576" s="265"/>
      <c r="K1576" s="28"/>
      <c r="L1576" s="28"/>
      <c r="M1576" s="122"/>
      <c r="N1576" s="122"/>
      <c r="O1576" s="122"/>
      <c r="P1576" s="122"/>
      <c r="Q1576" s="306" t="s">
        <v>150</v>
      </c>
      <c r="R1576" s="257">
        <f>IF($X1576="Y",MIN(R1554:R1573),R1574-$U1576*R1578)</f>
        <v>7960.3524439673602</v>
      </c>
      <c r="S1576" s="257">
        <f>IF($X1576="Y",MIN(S1554:S1573),S1574-$U1576*S1578)</f>
        <v>7960.3524439673602</v>
      </c>
      <c r="T1576" s="257" t="e">
        <f>IF($X1576="Y",MIN(T1554:T1573),T1574-$U1576*T1578)</f>
        <v>#DIV/0!</v>
      </c>
      <c r="U1576" s="258">
        <v>1</v>
      </c>
      <c r="V1576" s="122" t="s">
        <v>148</v>
      </c>
      <c r="W1576" s="28"/>
      <c r="X1576" s="266" t="s">
        <v>149</v>
      </c>
      <c r="Y1576" s="260"/>
      <c r="AO1576" s="91"/>
      <c r="AP1576" s="28"/>
      <c r="AQ1576" s="28"/>
      <c r="AR1576" s="28"/>
      <c r="AS1576" s="256" t="s">
        <v>150</v>
      </c>
      <c r="AT1576" s="261" t="e">
        <f>AT1574-(AT1580*AT1578)</f>
        <v>#DIV/0!</v>
      </c>
      <c r="AU1576" s="261" t="e">
        <f>AU1574-(AU1580*AT1578)</f>
        <v>#DIV/0!</v>
      </c>
      <c r="AV1576" s="256"/>
      <c r="AW1576" s="261">
        <f>AW1574-(AW1580*AW1578)</f>
        <v>7960.3524439673602</v>
      </c>
      <c r="AX1576" s="261">
        <f>AX1574-(AX1580*AW1578)</f>
        <v>7960.3524439673602</v>
      </c>
      <c r="AY1576" s="28"/>
      <c r="AZ1576" s="261" t="e">
        <f>AZ1574-(AZ1580*AZ1578)</f>
        <v>#DIV/0!</v>
      </c>
      <c r="BA1576" s="261" t="e">
        <f>BA1574-(BA1580*AZ1578)</f>
        <v>#DIV/0!</v>
      </c>
      <c r="BB1576" s="28"/>
      <c r="BC1576" s="261" t="e">
        <f>BC1574-(BC1580*BC1578)</f>
        <v>#DIV/0!</v>
      </c>
      <c r="BD1576" s="261" t="e">
        <f>BD1574-(BD1580*BC1578)</f>
        <v>#DIV/0!</v>
      </c>
      <c r="BE1576" s="28"/>
      <c r="BF1576" s="261" t="e">
        <f>BF1574-(BF1580*BF1578)</f>
        <v>#DIV/0!</v>
      </c>
      <c r="BG1576" s="261" t="e">
        <f>BG1574-(BG1580*BF1578)</f>
        <v>#DIV/0!</v>
      </c>
      <c r="BH1576" s="28"/>
      <c r="BI1576" s="261" t="e">
        <f>BI1574-(BI1580*BI1578)</f>
        <v>#DIV/0!</v>
      </c>
      <c r="BJ1576" s="261" t="e">
        <f>BJ1574-(BJ1580*BI1578)</f>
        <v>#DIV/0!</v>
      </c>
      <c r="BK1576" s="256"/>
      <c r="BL1576" s="261" t="e">
        <f>BL1574-(BL1580*BL1578)</f>
        <v>#DIV/0!</v>
      </c>
      <c r="BM1576" s="261" t="e">
        <f>BM1574-(BM1580*BL1578)</f>
        <v>#DIV/0!</v>
      </c>
      <c r="BN1576" s="28"/>
      <c r="BO1576" s="261" t="e">
        <f>BO1574-(BO1580*BO1578)</f>
        <v>#DIV/0!</v>
      </c>
      <c r="BP1576" s="261" t="e">
        <f>BP1574-(BP1580*BO1578)</f>
        <v>#DIV/0!</v>
      </c>
      <c r="BQ1576" s="28"/>
      <c r="BR1576" s="261" t="e">
        <f>BR1574-(BR1580*BR1578)</f>
        <v>#DIV/0!</v>
      </c>
      <c r="BS1576" s="261" t="e">
        <f>BS1574-(BS1580*BR1578)</f>
        <v>#DIV/0!</v>
      </c>
      <c r="BT1576" s="28"/>
      <c r="BU1576" s="261" t="e">
        <f>BU1574-(BU1580*BU1578)</f>
        <v>#DIV/0!</v>
      </c>
      <c r="BV1576" s="261" t="e">
        <f>BV1574-(BV1580*BU1578)</f>
        <v>#DIV/0!</v>
      </c>
      <c r="BW1576" s="28"/>
      <c r="BX1576" s="91"/>
    </row>
    <row r="1577" spans="1:76" s="55" customFormat="1" ht="14.25" x14ac:dyDescent="0.2">
      <c r="A1577" s="195"/>
      <c r="B1577" s="196"/>
      <c r="C1577" s="195"/>
      <c r="D1577" s="263"/>
      <c r="E1577" s="264"/>
      <c r="F1577" s="264"/>
      <c r="G1577" s="264"/>
      <c r="H1577" s="264"/>
      <c r="I1577" s="264"/>
      <c r="J1577" s="265"/>
      <c r="K1577" s="122"/>
      <c r="L1577" s="122"/>
      <c r="M1577" s="122"/>
      <c r="N1577" s="122"/>
      <c r="O1577" s="122"/>
      <c r="P1577" s="122"/>
      <c r="Q1577" s="306" t="s">
        <v>151</v>
      </c>
      <c r="R1577" s="257" t="str">
        <f>IF((0.67*R1578)&gt;R1574,"no","yes")</f>
        <v>yes</v>
      </c>
      <c r="S1577" s="257" t="str">
        <f>IF((0.67*S1578)&gt;S1574,"no","yes")</f>
        <v>yes</v>
      </c>
      <c r="T1577" s="257" t="e">
        <f>IF((0.67*T1578)&gt;T1574,"no","yes")</f>
        <v>#DIV/0!</v>
      </c>
      <c r="U1577" s="122"/>
      <c r="V1577" s="122"/>
      <c r="W1577" s="122"/>
      <c r="Y1577" s="260"/>
      <c r="AO1577" s="91"/>
      <c r="AP1577" s="122"/>
      <c r="AQ1577" s="122"/>
      <c r="AR1577" s="267" t="s">
        <v>152</v>
      </c>
      <c r="AS1577" s="268"/>
      <c r="AT1577" s="258">
        <v>1</v>
      </c>
      <c r="AU1577" s="122"/>
      <c r="AV1577" s="308"/>
      <c r="AW1577" s="258">
        <v>1</v>
      </c>
      <c r="AX1577" s="122"/>
      <c r="AY1577" s="122"/>
      <c r="AZ1577" s="258">
        <v>1</v>
      </c>
      <c r="BA1577" s="122"/>
      <c r="BB1577" s="122"/>
      <c r="BC1577" s="258">
        <v>1</v>
      </c>
      <c r="BD1577" s="122"/>
      <c r="BE1577" s="122"/>
      <c r="BF1577" s="258">
        <v>1</v>
      </c>
      <c r="BG1577" s="122"/>
      <c r="BH1577" s="122"/>
      <c r="BI1577" s="258">
        <v>1</v>
      </c>
      <c r="BJ1577" s="122"/>
      <c r="BK1577" s="256"/>
      <c r="BL1577" s="258">
        <v>1</v>
      </c>
      <c r="BM1577" s="122"/>
      <c r="BN1577" s="122"/>
      <c r="BO1577" s="258">
        <v>1</v>
      </c>
      <c r="BP1577" s="122"/>
      <c r="BQ1577" s="122"/>
      <c r="BR1577" s="258">
        <v>1</v>
      </c>
      <c r="BS1577" s="122"/>
      <c r="BT1577" s="122"/>
      <c r="BU1577" s="258">
        <v>1</v>
      </c>
      <c r="BV1577" s="122"/>
      <c r="BW1577" s="122"/>
      <c r="BX1577" s="91"/>
    </row>
    <row r="1578" spans="1:76" s="55" customFormat="1" ht="28.5" x14ac:dyDescent="0.2">
      <c r="A1578" s="195"/>
      <c r="B1578" s="196"/>
      <c r="C1578" s="195"/>
      <c r="D1578" s="263"/>
      <c r="E1578" s="264"/>
      <c r="F1578" s="264"/>
      <c r="G1578" s="264"/>
      <c r="H1578" s="264"/>
      <c r="I1578" s="264"/>
      <c r="J1578" s="265"/>
      <c r="K1578" s="122"/>
      <c r="L1578" s="122"/>
      <c r="M1578" s="122"/>
      <c r="N1578" s="122"/>
      <c r="O1578" s="122"/>
      <c r="P1578" s="122"/>
      <c r="Q1578" s="306" t="s">
        <v>157</v>
      </c>
      <c r="R1578" s="257">
        <f>IF(COUNT(R1554:R1573)&gt;1,_xlfn.STDEV.S(R1554:R1573),0)</f>
        <v>3096.6725560326399</v>
      </c>
      <c r="S1578" s="257">
        <f t="array" ref="S1578">IF(R1582="Y",SQRT(SUM(IFERROR(N1554:N1573*(R1554:R1573-(S1574))^2,0))/((COUNT(S1554:S1573)-1)/COUNT(S1554:S1573)*SUMPRODUCT(N1554:N1573,--ISNUMBER(S1554:S1573)))),_xlfn.STDEV.S(S1554:S1573))</f>
        <v>3096.6725560326399</v>
      </c>
      <c r="T1578" s="257" t="e">
        <f t="array" ref="T1578">SQRT(SUM(IFERROR(N1554:N1573*(R1554:R1573-(T1574))^2,0))/((COUNT(T1554:T1573)-1)/COUNT(T1554:T1573)*SUMPRODUCT(N1554:N1573,--ISNUMBER(T1554:T1573))))</f>
        <v>#DIV/0!</v>
      </c>
      <c r="U1578" s="122"/>
      <c r="V1578" s="122"/>
      <c r="W1578" s="122"/>
      <c r="Y1578" s="260"/>
      <c r="AO1578" s="91"/>
      <c r="AP1578" s="122"/>
      <c r="AQ1578" s="122"/>
      <c r="AR1578" s="267"/>
      <c r="AS1578" s="268"/>
      <c r="AT1578" s="258">
        <v>1</v>
      </c>
      <c r="AU1578" s="122"/>
      <c r="AV1578" s="308"/>
      <c r="AW1578" s="258">
        <v>1</v>
      </c>
      <c r="AX1578" s="122"/>
      <c r="AY1578" s="122"/>
      <c r="AZ1578" s="258">
        <v>1</v>
      </c>
      <c r="BA1578" s="122"/>
      <c r="BB1578" s="122"/>
      <c r="BC1578" s="258">
        <v>1</v>
      </c>
      <c r="BD1578" s="122"/>
      <c r="BE1578" s="122"/>
      <c r="BF1578" s="258">
        <v>1</v>
      </c>
      <c r="BG1578" s="122"/>
      <c r="BH1578" s="122"/>
      <c r="BI1578" s="258">
        <v>1</v>
      </c>
      <c r="BJ1578" s="122"/>
      <c r="BK1578" s="256"/>
      <c r="BL1578" s="258">
        <v>1</v>
      </c>
      <c r="BM1578" s="122"/>
      <c r="BN1578" s="122"/>
      <c r="BO1578" s="258">
        <v>1</v>
      </c>
      <c r="BP1578" s="122"/>
      <c r="BQ1578" s="122"/>
      <c r="BR1578" s="258">
        <v>1</v>
      </c>
      <c r="BS1578" s="122"/>
      <c r="BT1578" s="122"/>
      <c r="BU1578" s="258">
        <v>1</v>
      </c>
      <c r="BV1578" s="122"/>
      <c r="BW1578" s="122"/>
      <c r="BX1578" s="91"/>
    </row>
    <row r="1579" spans="1:76" s="55" customFormat="1" ht="15" customHeight="1" x14ac:dyDescent="0.25">
      <c r="A1579" s="122"/>
      <c r="B1579" s="118"/>
      <c r="C1579" s="195"/>
      <c r="D1579" s="263"/>
      <c r="E1579" s="264"/>
      <c r="F1579" s="264"/>
      <c r="G1579" s="264"/>
      <c r="H1579" s="264"/>
      <c r="I1579" s="264"/>
      <c r="J1579" s="265"/>
      <c r="K1579" s="122"/>
      <c r="L1579" s="122"/>
      <c r="M1579" s="122"/>
      <c r="N1579" s="122"/>
      <c r="O1579" s="122"/>
      <c r="P1579" s="122"/>
      <c r="Q1579" s="309" t="s">
        <v>159</v>
      </c>
      <c r="R1579" s="310">
        <f>COUNT(R1554:R1573)</f>
        <v>8</v>
      </c>
      <c r="S1579" s="310">
        <f>COUNT(S1554:S1573)</f>
        <v>8</v>
      </c>
      <c r="T1579" s="118"/>
      <c r="U1579" s="273" t="s">
        <v>155</v>
      </c>
      <c r="V1579" s="122"/>
      <c r="W1579" s="122"/>
      <c r="Y1579" s="91"/>
      <c r="AO1579" s="91"/>
      <c r="AP1579" s="122"/>
      <c r="AQ1579" s="122"/>
      <c r="AR1579" s="122"/>
      <c r="AS1579" s="256" t="s">
        <v>151</v>
      </c>
      <c r="AT1579" s="261" t="e">
        <f>IF((0.67*AT1580)&gt;AT1574,"no","yes")</f>
        <v>#DIV/0!</v>
      </c>
      <c r="AU1579" s="261" t="e">
        <f>IF((0.67*AU1580)&gt;AU1574,"no","yes")</f>
        <v>#DIV/0!</v>
      </c>
      <c r="AV1579" s="256"/>
      <c r="AW1579" s="261" t="str">
        <f>IF((0.67*AW1580)&gt;AW1574,"no","yes")</f>
        <v>yes</v>
      </c>
      <c r="AX1579" s="261" t="str">
        <f>IF((0.67*AX1580)&gt;AX1574,"no","yes")</f>
        <v>yes</v>
      </c>
      <c r="AY1579" s="122"/>
      <c r="AZ1579" s="261" t="e">
        <f>IF((0.67*AZ1580)&gt;AZ1574,"no","yes")</f>
        <v>#DIV/0!</v>
      </c>
      <c r="BA1579" s="261" t="e">
        <f>IF((0.67*BA1580)&gt;BA1574,"no","yes")</f>
        <v>#DIV/0!</v>
      </c>
      <c r="BB1579" s="122"/>
      <c r="BC1579" s="261" t="e">
        <f>IF((0.67*BC1580)&gt;BC1574,"no","yes")</f>
        <v>#DIV/0!</v>
      </c>
      <c r="BD1579" s="261" t="e">
        <f>IF((0.67*BD1580)&gt;BD1574,"no","yes")</f>
        <v>#DIV/0!</v>
      </c>
      <c r="BE1579" s="122"/>
      <c r="BF1579" s="261" t="e">
        <f>IF((0.67*BF1580)&gt;BF1574,"no","yes")</f>
        <v>#DIV/0!</v>
      </c>
      <c r="BG1579" s="261" t="e">
        <f>IF((0.67*BG1580)&gt;BG1574,"no","yes")</f>
        <v>#DIV/0!</v>
      </c>
      <c r="BH1579" s="122"/>
      <c r="BI1579" s="261" t="e">
        <f>IF((0.67*BI1580)&gt;BI1574,"no","yes")</f>
        <v>#DIV/0!</v>
      </c>
      <c r="BJ1579" s="261" t="e">
        <f>IF((0.67*BJ1580)&gt;BJ1574,"no","yes")</f>
        <v>#DIV/0!</v>
      </c>
      <c r="BK1579" s="133"/>
      <c r="BL1579" s="261" t="e">
        <f>IF((0.67*BL1580)&gt;BL1574,"no","yes")</f>
        <v>#DIV/0!</v>
      </c>
      <c r="BM1579" s="261" t="e">
        <f>IF((0.67*BM1580)&gt;BM1574,"no","yes")</f>
        <v>#DIV/0!</v>
      </c>
      <c r="BN1579" s="122"/>
      <c r="BO1579" s="261" t="e">
        <f>IF((0.67*BO1580)&gt;BO1574,"no","yes")</f>
        <v>#DIV/0!</v>
      </c>
      <c r="BP1579" s="261" t="e">
        <f>IF((0.67*BP1580)&gt;BP1574,"no","yes")</f>
        <v>#DIV/0!</v>
      </c>
      <c r="BQ1579" s="122"/>
      <c r="BR1579" s="261" t="e">
        <f>IF((0.67*BR1580)&gt;BR1574,"no","yes")</f>
        <v>#DIV/0!</v>
      </c>
      <c r="BS1579" s="261" t="e">
        <f>IF((0.67*BS1580)&gt;BS1574,"no","yes")</f>
        <v>#DIV/0!</v>
      </c>
      <c r="BT1579" s="122"/>
      <c r="BU1579" s="261" t="e">
        <f>IF((0.67*BU1580)&gt;BU1574,"no","yes")</f>
        <v>#DIV/0!</v>
      </c>
      <c r="BV1579" s="261" t="e">
        <f>IF((0.67*BV1580)&gt;BV1574,"no","yes")</f>
        <v>#DIV/0!</v>
      </c>
      <c r="BW1579" s="122"/>
      <c r="BX1579" s="91"/>
    </row>
    <row r="1580" spans="1:76" s="55" customFormat="1" ht="14.25" x14ac:dyDescent="0.2">
      <c r="B1580" s="23"/>
      <c r="C1580" s="195"/>
      <c r="D1580" s="263"/>
      <c r="E1580" s="264"/>
      <c r="F1580" s="264"/>
      <c r="G1580" s="264"/>
      <c r="H1580" s="264"/>
      <c r="I1580" s="264"/>
      <c r="J1580" s="265"/>
      <c r="K1580" s="122"/>
      <c r="L1580" s="122"/>
      <c r="M1580" s="122"/>
      <c r="N1580" s="122"/>
      <c r="O1580" s="122"/>
      <c r="P1580" s="122"/>
      <c r="Q1580" s="311"/>
      <c r="R1580" s="389"/>
      <c r="S1580" s="118"/>
      <c r="T1580" s="118"/>
      <c r="U1580" s="274"/>
      <c r="V1580" s="275"/>
      <c r="W1580" s="276"/>
      <c r="Y1580" s="91"/>
      <c r="AO1580" s="91"/>
      <c r="AP1580" s="122"/>
      <c r="AQ1580" s="122"/>
      <c r="AR1580" s="122"/>
      <c r="AS1580" s="256" t="s">
        <v>157</v>
      </c>
      <c r="AT1580" s="261">
        <f>IF(AT1581&gt;1,_xlfn.STDEV.S(AT1554:AT1573),0)</f>
        <v>0</v>
      </c>
      <c r="AU1580" s="261">
        <f>IF(AU1581&gt;1,_xlfn.STDEV.S(AU1554:AU1573),0)</f>
        <v>0</v>
      </c>
      <c r="AV1580" s="122"/>
      <c r="AW1580" s="261">
        <f t="shared" ref="AW1580:AX1580" si="1002">IF(AW1581&gt;1,_xlfn.STDEV.S(AW1554:AW1573),0)</f>
        <v>3096.6725560326399</v>
      </c>
      <c r="AX1580" s="261">
        <f t="shared" si="1002"/>
        <v>3096.6725560326399</v>
      </c>
      <c r="AY1580" s="122"/>
      <c r="AZ1580" s="261">
        <f t="shared" ref="AZ1580:BA1580" si="1003">IF(AZ1581&gt;1,_xlfn.STDEV.S(AZ1554:AZ1573),0)</f>
        <v>0</v>
      </c>
      <c r="BA1580" s="261">
        <f t="shared" si="1003"/>
        <v>0</v>
      </c>
      <c r="BB1580" s="122"/>
      <c r="BC1580" s="261">
        <f t="shared" ref="BC1580:BD1580" si="1004">IF(BC1581&gt;1,_xlfn.STDEV.S(BC1554:BC1573),0)</f>
        <v>0</v>
      </c>
      <c r="BD1580" s="261">
        <f t="shared" si="1004"/>
        <v>0</v>
      </c>
      <c r="BE1580" s="122"/>
      <c r="BF1580" s="261">
        <f t="shared" ref="BF1580:BG1580" si="1005">IF(BF1581&gt;1,_xlfn.STDEV.S(BF1554:BF1573),0)</f>
        <v>0</v>
      </c>
      <c r="BG1580" s="261">
        <f t="shared" si="1005"/>
        <v>0</v>
      </c>
      <c r="BH1580" s="122"/>
      <c r="BI1580" s="261">
        <f t="shared" ref="BI1580:BJ1580" si="1006">IF(BI1581&gt;1,_xlfn.STDEV.S(BI1554:BI1573),0)</f>
        <v>0</v>
      </c>
      <c r="BJ1580" s="261">
        <f t="shared" si="1006"/>
        <v>0</v>
      </c>
      <c r="BK1580" s="122"/>
      <c r="BL1580" s="261">
        <f t="shared" ref="BL1580:BM1580" si="1007">IF(BL1581&gt;1,_xlfn.STDEV.S(BL1554:BL1573),0)</f>
        <v>0</v>
      </c>
      <c r="BM1580" s="261">
        <f t="shared" si="1007"/>
        <v>0</v>
      </c>
      <c r="BN1580" s="122"/>
      <c r="BO1580" s="261">
        <f t="shared" ref="BO1580:BP1580" si="1008">IF(BO1581&gt;1,_xlfn.STDEV.S(BO1554:BO1573),0)</f>
        <v>0</v>
      </c>
      <c r="BP1580" s="261">
        <f t="shared" si="1008"/>
        <v>0</v>
      </c>
      <c r="BQ1580" s="122"/>
      <c r="BR1580" s="261">
        <f t="shared" ref="BR1580:BS1580" si="1009">IF(BR1581&gt;1,_xlfn.STDEV.S(BR1554:BR1573),0)</f>
        <v>0</v>
      </c>
      <c r="BS1580" s="261">
        <f t="shared" si="1009"/>
        <v>0</v>
      </c>
      <c r="BT1580" s="122"/>
      <c r="BU1580" s="261">
        <f t="shared" ref="BU1580:BV1580" si="1010">IF(BU1581&gt;1,_xlfn.STDEV.S(BU1554:BU1573),0)</f>
        <v>0</v>
      </c>
      <c r="BV1580" s="261">
        <f t="shared" si="1010"/>
        <v>0</v>
      </c>
      <c r="BW1580" s="122"/>
      <c r="BX1580" s="91"/>
    </row>
    <row r="1581" spans="1:76" s="55" customFormat="1" x14ac:dyDescent="0.2">
      <c r="B1581" s="23"/>
      <c r="C1581" s="195"/>
      <c r="D1581" s="277"/>
      <c r="E1581" s="278"/>
      <c r="F1581" s="278"/>
      <c r="G1581" s="278"/>
      <c r="H1581" s="278"/>
      <c r="I1581" s="278"/>
      <c r="J1581" s="279"/>
      <c r="K1581" s="122"/>
      <c r="L1581" s="122"/>
      <c r="M1581" s="122"/>
      <c r="N1581" s="122"/>
      <c r="O1581" s="122"/>
      <c r="P1581" s="122"/>
      <c r="Q1581" s="311"/>
      <c r="R1581" s="396" t="s">
        <v>158</v>
      </c>
      <c r="S1581" s="118"/>
      <c r="T1581" s="118"/>
      <c r="U1581" s="281"/>
      <c r="V1581" s="282"/>
      <c r="W1581" s="283"/>
      <c r="Y1581" s="91"/>
      <c r="AO1581" s="91"/>
      <c r="AP1581" s="122"/>
      <c r="AQ1581" s="122"/>
      <c r="AR1581" s="122"/>
      <c r="AS1581" s="133" t="s">
        <v>159</v>
      </c>
      <c r="AT1581" s="284">
        <f>COUNT(AT1554:AT1573)</f>
        <v>0</v>
      </c>
      <c r="AU1581" s="284">
        <f>COUNT(AU1554:AU1573)</f>
        <v>0</v>
      </c>
      <c r="AV1581" s="122"/>
      <c r="AW1581" s="284">
        <f t="shared" ref="AW1581:AX1581" si="1011">COUNT(AW1554:AW1573)</f>
        <v>8</v>
      </c>
      <c r="AX1581" s="284">
        <f t="shared" si="1011"/>
        <v>8</v>
      </c>
      <c r="AY1581" s="122"/>
      <c r="AZ1581" s="284">
        <f t="shared" ref="AZ1581:BA1581" si="1012">COUNT(AZ1554:AZ1573)</f>
        <v>0</v>
      </c>
      <c r="BA1581" s="284">
        <f t="shared" si="1012"/>
        <v>0</v>
      </c>
      <c r="BB1581" s="122"/>
      <c r="BC1581" s="284">
        <f t="shared" ref="BC1581:BD1581" si="1013">COUNT(BC1554:BC1573)</f>
        <v>0</v>
      </c>
      <c r="BD1581" s="284">
        <f t="shared" si="1013"/>
        <v>0</v>
      </c>
      <c r="BE1581" s="122"/>
      <c r="BF1581" s="284">
        <f t="shared" ref="BF1581:BG1581" si="1014">COUNT(BF1554:BF1573)</f>
        <v>0</v>
      </c>
      <c r="BG1581" s="284">
        <f t="shared" si="1014"/>
        <v>0</v>
      </c>
      <c r="BH1581" s="122"/>
      <c r="BI1581" s="284">
        <f t="shared" ref="BI1581:BJ1581" si="1015">COUNT(BI1554:BI1573)</f>
        <v>0</v>
      </c>
      <c r="BJ1581" s="284">
        <f t="shared" si="1015"/>
        <v>0</v>
      </c>
      <c r="BK1581" s="122"/>
      <c r="BL1581" s="284">
        <f t="shared" ref="BL1581:BM1581" si="1016">COUNT(BL1554:BL1573)</f>
        <v>0</v>
      </c>
      <c r="BM1581" s="284">
        <f t="shared" si="1016"/>
        <v>0</v>
      </c>
      <c r="BN1581" s="122"/>
      <c r="BO1581" s="284">
        <f t="shared" ref="BO1581:BP1581" si="1017">COUNT(BO1554:BO1573)</f>
        <v>0</v>
      </c>
      <c r="BP1581" s="284">
        <f t="shared" si="1017"/>
        <v>0</v>
      </c>
      <c r="BQ1581" s="122"/>
      <c r="BR1581" s="284">
        <f t="shared" ref="BR1581:BS1581" si="1018">COUNT(BR1554:BR1573)</f>
        <v>0</v>
      </c>
      <c r="BS1581" s="284">
        <f t="shared" si="1018"/>
        <v>0</v>
      </c>
      <c r="BT1581" s="122"/>
      <c r="BU1581" s="284">
        <f t="shared" ref="BU1581:BV1581" si="1019">COUNT(BU1554:BU1573)</f>
        <v>0</v>
      </c>
      <c r="BV1581" s="284">
        <f t="shared" si="1019"/>
        <v>0</v>
      </c>
      <c r="BW1581" s="122"/>
      <c r="BX1581" s="91"/>
    </row>
    <row r="1582" spans="1:76" s="55" customFormat="1" ht="14.25" x14ac:dyDescent="0.2">
      <c r="B1582" s="23"/>
      <c r="C1582" s="195"/>
      <c r="D1582" s="122"/>
      <c r="E1582" s="122"/>
      <c r="F1582" s="122"/>
      <c r="G1582" s="122"/>
      <c r="H1582" s="122"/>
      <c r="I1582" s="122"/>
      <c r="J1582" s="122"/>
      <c r="K1582" s="122"/>
      <c r="L1582" s="122"/>
      <c r="M1582" s="122"/>
      <c r="N1582" s="122"/>
      <c r="O1582" s="122"/>
      <c r="P1582" s="122"/>
      <c r="Q1582" s="311"/>
      <c r="R1582" s="287" t="s">
        <v>149</v>
      </c>
      <c r="S1582" s="122"/>
      <c r="T1582" s="122"/>
      <c r="U1582" s="281"/>
      <c r="V1582" s="282"/>
      <c r="W1582" s="283"/>
      <c r="Y1582" s="91"/>
      <c r="AO1582" s="91"/>
      <c r="BX1582" s="91"/>
    </row>
    <row r="1583" spans="1:76" s="55" customFormat="1" ht="26.25" customHeight="1" x14ac:dyDescent="0.25">
      <c r="A1583" s="270" t="e">
        <f ca="1">HYPERLINK("#"&amp;"'"&amp;A$1&amp;"'!a1","Back to top")</f>
        <v>#VALUE!</v>
      </c>
      <c r="B1583" s="271"/>
      <c r="C1583" s="122"/>
      <c r="D1583" s="122"/>
      <c r="E1583" s="122"/>
      <c r="F1583" s="122"/>
      <c r="G1583" s="122"/>
      <c r="H1583" s="122"/>
      <c r="I1583" s="122"/>
      <c r="J1583" s="122"/>
      <c r="Q1583" s="81"/>
      <c r="T1583" s="122"/>
      <c r="U1583" s="288"/>
      <c r="V1583" s="289"/>
      <c r="W1583" s="290"/>
      <c r="Y1583" s="91"/>
      <c r="AO1583" s="296"/>
      <c r="BX1583" s="296"/>
    </row>
    <row r="1584" spans="1:76" s="55" customFormat="1" ht="14.25" x14ac:dyDescent="0.2">
      <c r="B1584" s="23"/>
      <c r="Q1584" s="81"/>
      <c r="T1584" s="122"/>
      <c r="U1584" s="122"/>
      <c r="V1584" s="122"/>
      <c r="W1584" s="122"/>
      <c r="Y1584" s="91"/>
      <c r="AO1584" s="91"/>
      <c r="BX1584" s="91"/>
    </row>
    <row r="1585" spans="1:76" s="55" customFormat="1" ht="14.25" x14ac:dyDescent="0.2">
      <c r="B1585" s="23"/>
      <c r="Q1585" s="81"/>
      <c r="Y1585" s="91"/>
      <c r="AO1585" s="91"/>
      <c r="BX1585" s="91"/>
    </row>
    <row r="1586" spans="1:76" s="9" customFormat="1" ht="18" x14ac:dyDescent="0.25">
      <c r="A1586" s="188">
        <f>A1551+1</f>
        <v>26</v>
      </c>
      <c r="B1586" s="189"/>
      <c r="C1586" s="293" t="s">
        <v>769</v>
      </c>
      <c r="D1586" s="191"/>
      <c r="E1586" s="191"/>
      <c r="F1586" s="191"/>
      <c r="G1586" s="191"/>
      <c r="J1586" s="191"/>
      <c r="K1586" s="191"/>
      <c r="L1586" s="192"/>
      <c r="M1586" s="192"/>
      <c r="N1586" s="192"/>
      <c r="Q1586" s="193"/>
      <c r="R1586" s="194" t="s">
        <v>93</v>
      </c>
      <c r="S1586" s="194"/>
      <c r="T1586" s="194"/>
      <c r="U1586" s="194"/>
      <c r="AP1586" s="175">
        <f>A1586</f>
        <v>26</v>
      </c>
      <c r="AQ1586" s="175" t="str">
        <f>C1586</f>
        <v>SOLUTION Increased Milk Yield</v>
      </c>
    </row>
    <row r="1587" spans="1:76" s="55" customFormat="1" x14ac:dyDescent="0.25">
      <c r="A1587" s="195"/>
      <c r="B1587" s="196"/>
      <c r="C1587" s="195"/>
      <c r="D1587" s="120"/>
      <c r="E1587" s="120"/>
      <c r="F1587" s="120"/>
      <c r="G1587" s="120"/>
      <c r="J1587" s="120"/>
      <c r="K1587" s="120"/>
      <c r="L1587" s="122"/>
      <c r="M1587" s="122"/>
      <c r="N1587" s="122"/>
      <c r="Q1587" s="81"/>
      <c r="Y1587" s="91"/>
      <c r="AO1587" s="91"/>
      <c r="AP1587" s="28"/>
      <c r="AQ1587" s="28"/>
      <c r="AR1587" s="28"/>
      <c r="AS1587" s="28"/>
      <c r="AT1587" s="198" t="s">
        <v>171</v>
      </c>
      <c r="AU1587" s="198"/>
      <c r="AV1587" s="28"/>
      <c r="AW1587" s="198" t="s">
        <v>96</v>
      </c>
      <c r="AX1587" s="198"/>
      <c r="AY1587" s="28"/>
      <c r="AZ1587" s="198" t="s">
        <v>97</v>
      </c>
      <c r="BA1587" s="198"/>
      <c r="BB1587" s="28"/>
      <c r="BC1587" s="198" t="s">
        <v>98</v>
      </c>
      <c r="BD1587" s="198"/>
      <c r="BE1587" s="28"/>
      <c r="BF1587" s="198" t="s">
        <v>99</v>
      </c>
      <c r="BG1587" s="198"/>
      <c r="BH1587" s="28"/>
      <c r="BI1587" s="198" t="s">
        <v>100</v>
      </c>
      <c r="BJ1587" s="198"/>
      <c r="BK1587" s="28"/>
      <c r="BL1587" s="198" t="s">
        <v>101</v>
      </c>
      <c r="BM1587" s="198"/>
      <c r="BN1587" s="28"/>
      <c r="BO1587" s="198" t="s">
        <v>102</v>
      </c>
      <c r="BP1587" s="198"/>
      <c r="BQ1587" s="28"/>
      <c r="BR1587" s="198" t="s">
        <v>103</v>
      </c>
      <c r="BS1587" s="198"/>
      <c r="BT1587" s="28"/>
      <c r="BU1587" s="198" t="s">
        <v>104</v>
      </c>
      <c r="BV1587" s="198"/>
      <c r="BW1587" s="28"/>
      <c r="BX1587" s="91"/>
    </row>
    <row r="1588" spans="1:76" s="55" customFormat="1" ht="30.75" thickBot="1" x14ac:dyDescent="0.3">
      <c r="A1588" s="199" t="s">
        <v>105</v>
      </c>
      <c r="B1588" s="200" t="s">
        <v>106</v>
      </c>
      <c r="C1588" s="201" t="s">
        <v>107</v>
      </c>
      <c r="D1588" s="202" t="s">
        <v>108</v>
      </c>
      <c r="E1588" s="202" t="s">
        <v>109</v>
      </c>
      <c r="F1588" s="201" t="s">
        <v>110</v>
      </c>
      <c r="G1588" s="201" t="s">
        <v>111</v>
      </c>
      <c r="H1588" s="202" t="s">
        <v>112</v>
      </c>
      <c r="I1588" s="203" t="s">
        <v>113</v>
      </c>
      <c r="J1588" s="204" t="s">
        <v>114</v>
      </c>
      <c r="K1588" s="205" t="s">
        <v>115</v>
      </c>
      <c r="L1588" s="206" t="s">
        <v>116</v>
      </c>
      <c r="M1588" s="207" t="s">
        <v>117</v>
      </c>
      <c r="N1588" s="208" t="s">
        <v>118</v>
      </c>
      <c r="O1588" s="207" t="s">
        <v>119</v>
      </c>
      <c r="P1588" s="210"/>
      <c r="Q1588" s="211" t="s">
        <v>120</v>
      </c>
      <c r="R1588" s="212" t="s">
        <v>121</v>
      </c>
      <c r="S1588" s="212" t="s">
        <v>122</v>
      </c>
      <c r="T1588" s="212" t="s">
        <v>123</v>
      </c>
      <c r="U1588" s="213" t="s">
        <v>124</v>
      </c>
      <c r="V1588" s="210"/>
      <c r="W1588" s="210"/>
      <c r="Y1588" s="91"/>
      <c r="AO1588" s="91"/>
      <c r="AP1588" s="210"/>
      <c r="AQ1588" s="210"/>
      <c r="AR1588" s="213" t="s">
        <v>125</v>
      </c>
      <c r="AS1588" s="210"/>
      <c r="AT1588" s="215" t="s">
        <v>121</v>
      </c>
      <c r="AU1588" s="215" t="s">
        <v>122</v>
      </c>
      <c r="AV1588" s="210"/>
      <c r="AW1588" s="215" t="s">
        <v>121</v>
      </c>
      <c r="AX1588" s="215" t="s">
        <v>122</v>
      </c>
      <c r="AY1588" s="210"/>
      <c r="AZ1588" s="215" t="s">
        <v>121</v>
      </c>
      <c r="BA1588" s="215" t="s">
        <v>122</v>
      </c>
      <c r="BB1588" s="210"/>
      <c r="BC1588" s="215" t="s">
        <v>121</v>
      </c>
      <c r="BD1588" s="215" t="s">
        <v>122</v>
      </c>
      <c r="BE1588" s="210"/>
      <c r="BF1588" s="215" t="s">
        <v>121</v>
      </c>
      <c r="BG1588" s="215" t="s">
        <v>122</v>
      </c>
      <c r="BH1588" s="210"/>
      <c r="BI1588" s="215" t="s">
        <v>121</v>
      </c>
      <c r="BJ1588" s="215" t="s">
        <v>122</v>
      </c>
      <c r="BK1588" s="210"/>
      <c r="BL1588" s="215" t="s">
        <v>121</v>
      </c>
      <c r="BM1588" s="215" t="s">
        <v>122</v>
      </c>
      <c r="BN1588" s="210"/>
      <c r="BO1588" s="215" t="s">
        <v>121</v>
      </c>
      <c r="BP1588" s="215" t="s">
        <v>122</v>
      </c>
      <c r="BQ1588" s="210"/>
      <c r="BR1588" s="215" t="s">
        <v>121</v>
      </c>
      <c r="BS1588" s="215" t="s">
        <v>122</v>
      </c>
      <c r="BT1588" s="210"/>
      <c r="BU1588" s="215" t="s">
        <v>121</v>
      </c>
      <c r="BV1588" s="215" t="s">
        <v>122</v>
      </c>
      <c r="BW1588" s="210"/>
      <c r="BX1588" s="91"/>
    </row>
    <row r="1589" spans="1:76" s="55" customFormat="1" x14ac:dyDescent="0.25">
      <c r="A1589" s="195">
        <v>1</v>
      </c>
      <c r="B1589" s="216" t="str">
        <f t="shared" ref="B1589:B1608" si="1020">CONCATENATE(E1589,": ",C1589)</f>
        <v>OECD90: Santos et al. 2010. Effects of an addition of an essential oil complex to the diet of lactating dairy cows on whole tract digestion of nutrients and productive performance</v>
      </c>
      <c r="C1589" s="221" t="s">
        <v>322</v>
      </c>
      <c r="D1589" s="221" t="s">
        <v>323</v>
      </c>
      <c r="E1589" s="219" t="s">
        <v>96</v>
      </c>
      <c r="F1589" s="219" t="s">
        <v>324</v>
      </c>
      <c r="G1589" s="240" t="s">
        <v>24</v>
      </c>
      <c r="H1589" s="221">
        <v>2009</v>
      </c>
      <c r="I1589" s="220"/>
      <c r="J1589" s="222">
        <v>49.22</v>
      </c>
      <c r="K1589" s="223" t="s">
        <v>765</v>
      </c>
      <c r="L1589" s="334">
        <f t="shared" ref="L1589:L1594" si="1021">(J1589*365)-L1554</f>
        <v>14.599999999998545</v>
      </c>
      <c r="M1589" s="217" t="s">
        <v>325</v>
      </c>
      <c r="N1589" s="227"/>
      <c r="O1589" s="242" t="s">
        <v>326</v>
      </c>
      <c r="P1589" s="122"/>
      <c r="Q1589" s="228"/>
      <c r="R1589" s="231">
        <f>IF(Q1589="Y","",IF(AND(L1589="",J1589=""),"",IF(L1589="",J1589,L1589)))</f>
        <v>14.599999999998545</v>
      </c>
      <c r="S1589" s="230">
        <f t="shared" ref="S1589:S1608" si="1022">IF(R1589="","",IF($R$1617="Y",T1589,IF(R1589&gt;=$R$1609-$AA$35*$R$1613,IF(R1589&lt;=$R$1609+$AA$35*$R$1613,R1589,""),"")))</f>
        <v>14.599999999998545</v>
      </c>
      <c r="T1589" s="231">
        <f>IF(OR(Q1589="Y",IFERROR(R1589&gt;R1609+R1613*$AA$35,0),IFERROR(R1589&lt;R1609-R1613*$AA$35,0)),"",IFERROR(R1589*N1589,""))</f>
        <v>0</v>
      </c>
      <c r="U1589" s="232" t="str">
        <f t="shared" ref="U1589:U1608" si="1023">IF(AND(M1589="",K1589=""),"",IF(M1589="",K1589,M1589))</f>
        <v>kg milk/cow/year</v>
      </c>
      <c r="V1589" s="28"/>
      <c r="W1589" s="28"/>
      <c r="Y1589" s="91"/>
      <c r="AO1589" s="91"/>
      <c r="AP1589" s="28"/>
      <c r="AQ1589" s="28"/>
      <c r="AR1589" s="233" t="str">
        <f>$U1589</f>
        <v>kg milk/cow/year</v>
      </c>
      <c r="AS1589" s="28"/>
      <c r="AT1589" s="304" t="str">
        <f>IF($E1589=$AT$47,R1589,"")</f>
        <v/>
      </c>
      <c r="AU1589" s="304" t="str">
        <f>IF($E1589=$AT$47,S1589,"")</f>
        <v/>
      </c>
      <c r="AV1589" s="28"/>
      <c r="AW1589" s="304">
        <f t="shared" ref="AW1589:AX1608" si="1024">IF($E1589=$AW$83,R1589,"")</f>
        <v>14.599999999998545</v>
      </c>
      <c r="AX1589" s="304">
        <f t="shared" si="1024"/>
        <v>14.599999999998545</v>
      </c>
      <c r="AY1589" s="28"/>
      <c r="AZ1589" s="304" t="str">
        <f t="shared" ref="AZ1589:BA1608" si="1025">IF($E1589=$AZ$83,R1589,"")</f>
        <v/>
      </c>
      <c r="BA1589" s="304" t="str">
        <f t="shared" si="1025"/>
        <v/>
      </c>
      <c r="BB1589" s="28"/>
      <c r="BC1589" s="304" t="str">
        <f t="shared" ref="BC1589:BD1608" si="1026">IF($E1589=$BC$83,R1589,"")</f>
        <v/>
      </c>
      <c r="BD1589" s="304" t="str">
        <f t="shared" si="1026"/>
        <v/>
      </c>
      <c r="BE1589" s="28"/>
      <c r="BF1589" s="304" t="str">
        <f t="shared" ref="BF1589:BG1608" si="1027">IF($E1589=$BF$83,R1589,"")</f>
        <v/>
      </c>
      <c r="BG1589" s="304" t="str">
        <f t="shared" si="1027"/>
        <v/>
      </c>
      <c r="BH1589" s="28"/>
      <c r="BI1589" s="304" t="str">
        <f t="shared" ref="BI1589:BJ1608" si="1028">IF($E1589=$BI$83,R1589,"")</f>
        <v/>
      </c>
      <c r="BJ1589" s="304" t="str">
        <f t="shared" si="1028"/>
        <v/>
      </c>
      <c r="BK1589" s="28"/>
      <c r="BL1589" s="304" t="str">
        <f t="shared" ref="BL1589:BM1608" si="1029">IF($E1589=$BL$83,R1589,"")</f>
        <v/>
      </c>
      <c r="BM1589" s="304" t="str">
        <f t="shared" si="1029"/>
        <v/>
      </c>
      <c r="BN1589" s="28"/>
      <c r="BO1589" s="304" t="str">
        <f t="shared" ref="BO1589:BP1608" si="1030">IF($E1589=$BO$83,R1589,"")</f>
        <v/>
      </c>
      <c r="BP1589" s="304" t="str">
        <f t="shared" si="1030"/>
        <v/>
      </c>
      <c r="BQ1589" s="28"/>
      <c r="BR1589" s="304" t="str">
        <f t="shared" ref="BR1589:BS1608" si="1031">IF($E1589=$BR$83,R1589,"")</f>
        <v/>
      </c>
      <c r="BS1589" s="304" t="str">
        <f t="shared" si="1031"/>
        <v/>
      </c>
      <c r="BT1589" s="28"/>
      <c r="BU1589" s="304" t="str">
        <f t="shared" ref="BU1589:BV1608" si="1032">IF($E1589=$BU$83,R1589,"")</f>
        <v/>
      </c>
      <c r="BV1589" s="304" t="str">
        <f t="shared" si="1032"/>
        <v/>
      </c>
      <c r="BW1589" s="28"/>
      <c r="BX1589" s="91"/>
    </row>
    <row r="1590" spans="1:76" s="55" customFormat="1" x14ac:dyDescent="0.25">
      <c r="A1590" s="195">
        <v>2</v>
      </c>
      <c r="B1590" s="216" t="str">
        <f t="shared" si="1020"/>
        <v>OECD90: Hart et atl. 2019. An Essential Oil Blend Decreases Methane Emissions and Increases Milk Yield in Dairy Cows</v>
      </c>
      <c r="C1590" s="219" t="s">
        <v>328</v>
      </c>
      <c r="D1590" s="219" t="s">
        <v>329</v>
      </c>
      <c r="E1590" s="219" t="s">
        <v>96</v>
      </c>
      <c r="F1590" s="219" t="s">
        <v>330</v>
      </c>
      <c r="G1590" s="240" t="s">
        <v>24</v>
      </c>
      <c r="H1590" s="221">
        <v>2019</v>
      </c>
      <c r="I1590" s="220"/>
      <c r="J1590" s="222">
        <v>31.2</v>
      </c>
      <c r="K1590" s="333" t="s">
        <v>765</v>
      </c>
      <c r="L1590" s="236">
        <f>(J1590*365)-L1555</f>
        <v>1058.5</v>
      </c>
      <c r="M1590" s="217" t="s">
        <v>325</v>
      </c>
      <c r="N1590" s="227"/>
      <c r="O1590" s="242" t="s">
        <v>331</v>
      </c>
      <c r="P1590" s="122"/>
      <c r="Q1590" s="228"/>
      <c r="R1590" s="231">
        <f t="shared" ref="R1590:R1608" si="1033">IF(Q1590="Y","",IF(AND(L1590="",J1590=""),"",IF(L1590="",J1590,L1590)))</f>
        <v>1058.5</v>
      </c>
      <c r="S1590" s="230">
        <f t="shared" si="1022"/>
        <v>1058.5</v>
      </c>
      <c r="T1590" s="231">
        <f>IF(OR(Q1590="Y",IFERROR(R1590&gt;R1609+R1613*$AA$35,0),IFERROR(R1590&lt;R1609-R1613*$AA$35,0)),"",IFERROR(R1590*N1590,""))</f>
        <v>0</v>
      </c>
      <c r="U1590" s="232" t="str">
        <f t="shared" si="1023"/>
        <v>kg milk/cow/year</v>
      </c>
      <c r="V1590" s="28"/>
      <c r="W1590" s="28"/>
      <c r="Y1590" s="91"/>
      <c r="AO1590" s="91"/>
      <c r="AP1590" s="28"/>
      <c r="AQ1590" s="28"/>
      <c r="AR1590" s="237"/>
      <c r="AS1590" s="28"/>
      <c r="AT1590" s="304" t="str">
        <f t="shared" ref="AT1590:AU1608" si="1034">IF($E1590=$AT$47,R1590,"")</f>
        <v/>
      </c>
      <c r="AU1590" s="304" t="str">
        <f t="shared" si="1034"/>
        <v/>
      </c>
      <c r="AV1590" s="28"/>
      <c r="AW1590" s="304">
        <f t="shared" si="1024"/>
        <v>1058.5</v>
      </c>
      <c r="AX1590" s="304">
        <f t="shared" si="1024"/>
        <v>1058.5</v>
      </c>
      <c r="AY1590" s="28"/>
      <c r="AZ1590" s="304" t="str">
        <f t="shared" si="1025"/>
        <v/>
      </c>
      <c r="BA1590" s="304" t="str">
        <f t="shared" si="1025"/>
        <v/>
      </c>
      <c r="BB1590" s="28"/>
      <c r="BC1590" s="304" t="str">
        <f t="shared" si="1026"/>
        <v/>
      </c>
      <c r="BD1590" s="304" t="str">
        <f t="shared" si="1026"/>
        <v/>
      </c>
      <c r="BE1590" s="28"/>
      <c r="BF1590" s="304" t="str">
        <f t="shared" si="1027"/>
        <v/>
      </c>
      <c r="BG1590" s="304" t="str">
        <f t="shared" si="1027"/>
        <v/>
      </c>
      <c r="BH1590" s="28"/>
      <c r="BI1590" s="304" t="str">
        <f t="shared" si="1028"/>
        <v/>
      </c>
      <c r="BJ1590" s="304" t="str">
        <f t="shared" si="1028"/>
        <v/>
      </c>
      <c r="BK1590" s="28"/>
      <c r="BL1590" s="304" t="str">
        <f t="shared" si="1029"/>
        <v/>
      </c>
      <c r="BM1590" s="304" t="str">
        <f t="shared" si="1029"/>
        <v/>
      </c>
      <c r="BN1590" s="28"/>
      <c r="BO1590" s="304" t="str">
        <f t="shared" si="1030"/>
        <v/>
      </c>
      <c r="BP1590" s="304" t="str">
        <f t="shared" si="1030"/>
        <v/>
      </c>
      <c r="BQ1590" s="28"/>
      <c r="BR1590" s="304" t="str">
        <f t="shared" si="1031"/>
        <v/>
      </c>
      <c r="BS1590" s="304" t="str">
        <f t="shared" si="1031"/>
        <v/>
      </c>
      <c r="BT1590" s="28"/>
      <c r="BU1590" s="304" t="str">
        <f t="shared" si="1032"/>
        <v/>
      </c>
      <c r="BV1590" s="304" t="str">
        <f t="shared" si="1032"/>
        <v/>
      </c>
      <c r="BW1590" s="28"/>
      <c r="BX1590" s="91"/>
    </row>
    <row r="1591" spans="1:76" s="55" customFormat="1" x14ac:dyDescent="0.25">
      <c r="A1591" s="195">
        <v>3</v>
      </c>
      <c r="B1591" s="216" t="str">
        <f>CONCATENATE(E1591,": ",C1591)</f>
        <v>OECD90: Klop et al. 2016. Changes in in vitro gas and methane production from rumen fluid from dairy cows during adaptation to feed addditives</v>
      </c>
      <c r="C1591" s="221" t="s">
        <v>332</v>
      </c>
      <c r="D1591" s="221" t="s">
        <v>333</v>
      </c>
      <c r="E1591" s="221" t="s">
        <v>96</v>
      </c>
      <c r="F1591" s="221" t="s">
        <v>334</v>
      </c>
      <c r="G1591" s="240" t="s">
        <v>24</v>
      </c>
      <c r="H1591" s="221">
        <v>2016</v>
      </c>
      <c r="I1591" s="240"/>
      <c r="J1591" s="338">
        <v>30.8</v>
      </c>
      <c r="K1591" s="333" t="s">
        <v>765</v>
      </c>
      <c r="L1591" s="236">
        <f t="shared" si="1021"/>
        <v>292</v>
      </c>
      <c r="M1591" s="217" t="s">
        <v>325</v>
      </c>
      <c r="N1591" s="227"/>
      <c r="O1591" s="242" t="s">
        <v>331</v>
      </c>
      <c r="P1591" s="122"/>
      <c r="Q1591" s="228"/>
      <c r="R1591" s="231">
        <f t="shared" si="1033"/>
        <v>292</v>
      </c>
      <c r="S1591" s="230">
        <f t="shared" si="1022"/>
        <v>292</v>
      </c>
      <c r="T1591" s="231">
        <f>IF(OR(Q1591="Y",IFERROR(R1591&gt;R1609+R1613*$AA$35,0),IFERROR(R1591&lt;R1609-R1613*$AA$35,0)),"",IFERROR(R1591*N1591,""))</f>
        <v>0</v>
      </c>
      <c r="U1591" s="232" t="str">
        <f t="shared" si="1023"/>
        <v>kg milk/cow/year</v>
      </c>
      <c r="V1591" s="28"/>
      <c r="W1591" s="28"/>
      <c r="Y1591" s="91"/>
      <c r="AO1591" s="91"/>
      <c r="AP1591" s="28"/>
      <c r="AQ1591" s="28"/>
      <c r="AR1591" s="237"/>
      <c r="AS1591" s="28"/>
      <c r="AT1591" s="304" t="str">
        <f t="shared" si="1034"/>
        <v/>
      </c>
      <c r="AU1591" s="304" t="str">
        <f t="shared" si="1034"/>
        <v/>
      </c>
      <c r="AV1591" s="28"/>
      <c r="AW1591" s="304">
        <f t="shared" si="1024"/>
        <v>292</v>
      </c>
      <c r="AX1591" s="304">
        <f t="shared" si="1024"/>
        <v>292</v>
      </c>
      <c r="AY1591" s="28"/>
      <c r="AZ1591" s="304" t="str">
        <f t="shared" si="1025"/>
        <v/>
      </c>
      <c r="BA1591" s="304" t="str">
        <f t="shared" si="1025"/>
        <v/>
      </c>
      <c r="BB1591" s="28"/>
      <c r="BC1591" s="304" t="str">
        <f t="shared" si="1026"/>
        <v/>
      </c>
      <c r="BD1591" s="304" t="str">
        <f t="shared" si="1026"/>
        <v/>
      </c>
      <c r="BE1591" s="28"/>
      <c r="BF1591" s="304" t="str">
        <f t="shared" si="1027"/>
        <v/>
      </c>
      <c r="BG1591" s="304" t="str">
        <f t="shared" si="1027"/>
        <v/>
      </c>
      <c r="BH1591" s="28"/>
      <c r="BI1591" s="304" t="str">
        <f t="shared" si="1028"/>
        <v/>
      </c>
      <c r="BJ1591" s="304" t="str">
        <f t="shared" si="1028"/>
        <v/>
      </c>
      <c r="BK1591" s="28"/>
      <c r="BL1591" s="304" t="str">
        <f t="shared" si="1029"/>
        <v/>
      </c>
      <c r="BM1591" s="304" t="str">
        <f t="shared" si="1029"/>
        <v/>
      </c>
      <c r="BN1591" s="28"/>
      <c r="BO1591" s="304" t="str">
        <f t="shared" si="1030"/>
        <v/>
      </c>
      <c r="BP1591" s="304" t="str">
        <f t="shared" si="1030"/>
        <v/>
      </c>
      <c r="BQ1591" s="28"/>
      <c r="BR1591" s="304" t="str">
        <f t="shared" si="1031"/>
        <v/>
      </c>
      <c r="BS1591" s="304" t="str">
        <f t="shared" si="1031"/>
        <v/>
      </c>
      <c r="BT1591" s="28"/>
      <c r="BU1591" s="304" t="str">
        <f t="shared" si="1032"/>
        <v/>
      </c>
      <c r="BV1591" s="304" t="str">
        <f t="shared" si="1032"/>
        <v/>
      </c>
      <c r="BW1591" s="28"/>
      <c r="BX1591" s="91"/>
    </row>
    <row r="1592" spans="1:76" s="55" customFormat="1" x14ac:dyDescent="0.25">
      <c r="A1592" s="195">
        <v>4</v>
      </c>
      <c r="B1592" s="216" t="str">
        <f t="shared" si="1020"/>
        <v>OECD90: Elcoso et al. Effects of a blend of essential oils on milk yield and feed efficiency of lactating dairy cows</v>
      </c>
      <c r="C1592" s="221" t="s">
        <v>335</v>
      </c>
      <c r="D1592" s="221" t="s">
        <v>336</v>
      </c>
      <c r="E1592" s="221" t="s">
        <v>96</v>
      </c>
      <c r="F1592" s="221" t="s">
        <v>337</v>
      </c>
      <c r="G1592" s="240" t="s">
        <v>24</v>
      </c>
      <c r="H1592" s="221">
        <v>2019</v>
      </c>
      <c r="I1592" s="240"/>
      <c r="J1592" s="338">
        <v>32.9</v>
      </c>
      <c r="K1592" s="333" t="s">
        <v>765</v>
      </c>
      <c r="L1592" s="236">
        <f t="shared" si="1021"/>
        <v>401.5</v>
      </c>
      <c r="M1592" s="217" t="s">
        <v>325</v>
      </c>
      <c r="N1592" s="227"/>
      <c r="O1592" s="242" t="s">
        <v>331</v>
      </c>
      <c r="P1592" s="122"/>
      <c r="Q1592" s="228"/>
      <c r="R1592" s="231">
        <f t="shared" si="1033"/>
        <v>401.5</v>
      </c>
      <c r="S1592" s="230">
        <f t="shared" si="1022"/>
        <v>401.5</v>
      </c>
      <c r="T1592" s="231">
        <f>IF(OR(Q1592="Y",IFERROR(R1592&gt;R1609+R1613*$AA$35,0),IFERROR(R1592&lt;R1609-R1613*$AA$35,0)),"",IFERROR(R1592*N1592,""))</f>
        <v>0</v>
      </c>
      <c r="U1592" s="232" t="str">
        <f t="shared" si="1023"/>
        <v>kg milk/cow/year</v>
      </c>
      <c r="V1592" s="28"/>
      <c r="W1592" s="28"/>
      <c r="Y1592" s="91"/>
      <c r="AO1592" s="91"/>
      <c r="AP1592" s="28"/>
      <c r="AQ1592" s="28"/>
      <c r="AR1592" s="237"/>
      <c r="AS1592" s="28"/>
      <c r="AT1592" s="304" t="str">
        <f t="shared" si="1034"/>
        <v/>
      </c>
      <c r="AU1592" s="304" t="str">
        <f t="shared" si="1034"/>
        <v/>
      </c>
      <c r="AV1592" s="28"/>
      <c r="AW1592" s="304">
        <f t="shared" si="1024"/>
        <v>401.5</v>
      </c>
      <c r="AX1592" s="304">
        <f t="shared" si="1024"/>
        <v>401.5</v>
      </c>
      <c r="AY1592" s="28"/>
      <c r="AZ1592" s="304" t="str">
        <f t="shared" si="1025"/>
        <v/>
      </c>
      <c r="BA1592" s="304" t="str">
        <f t="shared" si="1025"/>
        <v/>
      </c>
      <c r="BB1592" s="28"/>
      <c r="BC1592" s="304" t="str">
        <f t="shared" si="1026"/>
        <v/>
      </c>
      <c r="BD1592" s="304" t="str">
        <f t="shared" si="1026"/>
        <v/>
      </c>
      <c r="BE1592" s="28"/>
      <c r="BF1592" s="304" t="str">
        <f t="shared" si="1027"/>
        <v/>
      </c>
      <c r="BG1592" s="304" t="str">
        <f t="shared" si="1027"/>
        <v/>
      </c>
      <c r="BH1592" s="28"/>
      <c r="BI1592" s="304" t="str">
        <f t="shared" si="1028"/>
        <v/>
      </c>
      <c r="BJ1592" s="304" t="str">
        <f t="shared" si="1028"/>
        <v/>
      </c>
      <c r="BK1592" s="28"/>
      <c r="BL1592" s="304" t="str">
        <f t="shared" si="1029"/>
        <v/>
      </c>
      <c r="BM1592" s="304" t="str">
        <f t="shared" si="1029"/>
        <v/>
      </c>
      <c r="BN1592" s="28"/>
      <c r="BO1592" s="304" t="str">
        <f t="shared" si="1030"/>
        <v/>
      </c>
      <c r="BP1592" s="304" t="str">
        <f t="shared" si="1030"/>
        <v/>
      </c>
      <c r="BQ1592" s="28"/>
      <c r="BR1592" s="304" t="str">
        <f t="shared" si="1031"/>
        <v/>
      </c>
      <c r="BS1592" s="304" t="str">
        <f t="shared" si="1031"/>
        <v/>
      </c>
      <c r="BT1592" s="28"/>
      <c r="BU1592" s="304" t="str">
        <f t="shared" si="1032"/>
        <v/>
      </c>
      <c r="BV1592" s="304" t="str">
        <f t="shared" si="1032"/>
        <v/>
      </c>
      <c r="BW1592" s="28"/>
      <c r="BX1592" s="91"/>
    </row>
    <row r="1593" spans="1:76" s="55" customFormat="1" x14ac:dyDescent="0.25">
      <c r="A1593" s="195">
        <v>5</v>
      </c>
      <c r="B1593" s="216" t="str">
        <f t="shared" si="1020"/>
        <v>OECD90: Guasch et al. 2016. Effects of a blend of essential oils on milk yield and feed efficiency of lactating cows</v>
      </c>
      <c r="C1593" s="221" t="s">
        <v>338</v>
      </c>
      <c r="D1593" s="221" t="s">
        <v>339</v>
      </c>
      <c r="E1593" s="221" t="s">
        <v>96</v>
      </c>
      <c r="F1593" s="221" t="s">
        <v>337</v>
      </c>
      <c r="G1593" s="240" t="s">
        <v>24</v>
      </c>
      <c r="H1593" s="221">
        <v>2016</v>
      </c>
      <c r="I1593" s="240"/>
      <c r="J1593" s="338">
        <v>31.1</v>
      </c>
      <c r="K1593" s="333" t="s">
        <v>765</v>
      </c>
      <c r="L1593" s="236">
        <f t="shared" si="1021"/>
        <v>511</v>
      </c>
      <c r="M1593" s="217" t="s">
        <v>325</v>
      </c>
      <c r="N1593" s="227"/>
      <c r="O1593" s="242" t="s">
        <v>340</v>
      </c>
      <c r="P1593" s="122"/>
      <c r="Q1593" s="228"/>
      <c r="R1593" s="231">
        <f t="shared" si="1033"/>
        <v>511</v>
      </c>
      <c r="S1593" s="230">
        <f t="shared" si="1022"/>
        <v>511</v>
      </c>
      <c r="T1593" s="231">
        <f>IF(OR(Q1593="Y",IFERROR(R1593&gt;R1609+R1613*$AA$35,0),IFERROR(R1593&lt;R1609-R1613*$AA$35,0)),"",IFERROR(R1593*N1593,""))</f>
        <v>0</v>
      </c>
      <c r="U1593" s="232" t="str">
        <f t="shared" si="1023"/>
        <v>kg milk/cow/year</v>
      </c>
      <c r="V1593" s="28"/>
      <c r="W1593" s="28"/>
      <c r="Y1593" s="91"/>
      <c r="AO1593" s="91"/>
      <c r="AP1593" s="28"/>
      <c r="AQ1593" s="28"/>
      <c r="AR1593" s="237"/>
      <c r="AS1593" s="28"/>
      <c r="AT1593" s="304" t="str">
        <f t="shared" si="1034"/>
        <v/>
      </c>
      <c r="AU1593" s="304" t="str">
        <f t="shared" si="1034"/>
        <v/>
      </c>
      <c r="AV1593" s="28"/>
      <c r="AW1593" s="304">
        <f t="shared" si="1024"/>
        <v>511</v>
      </c>
      <c r="AX1593" s="304">
        <f t="shared" si="1024"/>
        <v>511</v>
      </c>
      <c r="AY1593" s="28"/>
      <c r="AZ1593" s="304" t="str">
        <f t="shared" si="1025"/>
        <v/>
      </c>
      <c r="BA1593" s="304" t="str">
        <f t="shared" si="1025"/>
        <v/>
      </c>
      <c r="BB1593" s="28"/>
      <c r="BC1593" s="304" t="str">
        <f t="shared" si="1026"/>
        <v/>
      </c>
      <c r="BD1593" s="304" t="str">
        <f t="shared" si="1026"/>
        <v/>
      </c>
      <c r="BE1593" s="28"/>
      <c r="BF1593" s="304" t="str">
        <f t="shared" si="1027"/>
        <v/>
      </c>
      <c r="BG1593" s="304" t="str">
        <f t="shared" si="1027"/>
        <v/>
      </c>
      <c r="BH1593" s="28"/>
      <c r="BI1593" s="304" t="str">
        <f t="shared" si="1028"/>
        <v/>
      </c>
      <c r="BJ1593" s="304" t="str">
        <f t="shared" si="1028"/>
        <v/>
      </c>
      <c r="BK1593" s="28"/>
      <c r="BL1593" s="304" t="str">
        <f t="shared" si="1029"/>
        <v/>
      </c>
      <c r="BM1593" s="304" t="str">
        <f t="shared" si="1029"/>
        <v/>
      </c>
      <c r="BN1593" s="28"/>
      <c r="BO1593" s="304" t="str">
        <f t="shared" si="1030"/>
        <v/>
      </c>
      <c r="BP1593" s="304" t="str">
        <f t="shared" si="1030"/>
        <v/>
      </c>
      <c r="BQ1593" s="28"/>
      <c r="BR1593" s="304" t="str">
        <f t="shared" si="1031"/>
        <v/>
      </c>
      <c r="BS1593" s="304" t="str">
        <f t="shared" si="1031"/>
        <v/>
      </c>
      <c r="BT1593" s="28"/>
      <c r="BU1593" s="304" t="str">
        <f t="shared" si="1032"/>
        <v/>
      </c>
      <c r="BV1593" s="304" t="str">
        <f t="shared" si="1032"/>
        <v/>
      </c>
      <c r="BW1593" s="28"/>
      <c r="BX1593" s="91"/>
    </row>
    <row r="1594" spans="1:76" s="55" customFormat="1" ht="15.75" x14ac:dyDescent="0.25">
      <c r="A1594" s="195">
        <v>6</v>
      </c>
      <c r="B1594" s="216" t="str">
        <f t="shared" si="1020"/>
        <v>OECD90: Castro-Montoya et al. 2015. In vivo and in vitro effects of a blend of essential oils on rumen methane mitigation</v>
      </c>
      <c r="C1594" s="221" t="s">
        <v>341</v>
      </c>
      <c r="D1594" s="351" t="s">
        <v>342</v>
      </c>
      <c r="E1594" s="221" t="s">
        <v>96</v>
      </c>
      <c r="F1594" s="221" t="s">
        <v>343</v>
      </c>
      <c r="G1594" s="240" t="s">
        <v>24</v>
      </c>
      <c r="H1594" s="221">
        <v>2015</v>
      </c>
      <c r="I1594" s="240"/>
      <c r="J1594" s="338">
        <v>19.8</v>
      </c>
      <c r="K1594" s="333" t="s">
        <v>765</v>
      </c>
      <c r="L1594" s="236">
        <f t="shared" si="1021"/>
        <v>109.5</v>
      </c>
      <c r="M1594" s="217" t="s">
        <v>325</v>
      </c>
      <c r="N1594" s="227"/>
      <c r="O1594" s="242" t="s">
        <v>344</v>
      </c>
      <c r="P1594" s="122"/>
      <c r="Q1594" s="228"/>
      <c r="R1594" s="231">
        <f t="shared" si="1033"/>
        <v>109.5</v>
      </c>
      <c r="S1594" s="230">
        <f t="shared" si="1022"/>
        <v>109.5</v>
      </c>
      <c r="T1594" s="231">
        <f>IF(OR(Q1594="Y",IFERROR(R1594&gt;R1609+R1613*$AA$35,0),IFERROR(R1594&lt;R1609-R1613*$AA$35,0)),"",IFERROR(R1594*N1594,""))</f>
        <v>0</v>
      </c>
      <c r="U1594" s="232" t="str">
        <f t="shared" si="1023"/>
        <v>kg milk/cow/year</v>
      </c>
      <c r="V1594" s="28"/>
      <c r="W1594" s="28"/>
      <c r="Y1594" s="91"/>
      <c r="AO1594" s="91"/>
      <c r="AP1594" s="28"/>
      <c r="AQ1594" s="28"/>
      <c r="AR1594" s="237"/>
      <c r="AS1594" s="28"/>
      <c r="AT1594" s="304" t="str">
        <f t="shared" si="1034"/>
        <v/>
      </c>
      <c r="AU1594" s="304" t="str">
        <f t="shared" si="1034"/>
        <v/>
      </c>
      <c r="AV1594" s="28"/>
      <c r="AW1594" s="304">
        <f t="shared" si="1024"/>
        <v>109.5</v>
      </c>
      <c r="AX1594" s="304">
        <f t="shared" si="1024"/>
        <v>109.5</v>
      </c>
      <c r="AY1594" s="28"/>
      <c r="AZ1594" s="304" t="str">
        <f t="shared" si="1025"/>
        <v/>
      </c>
      <c r="BA1594" s="304" t="str">
        <f t="shared" si="1025"/>
        <v/>
      </c>
      <c r="BB1594" s="28"/>
      <c r="BC1594" s="304" t="str">
        <f t="shared" si="1026"/>
        <v/>
      </c>
      <c r="BD1594" s="304" t="str">
        <f t="shared" si="1026"/>
        <v/>
      </c>
      <c r="BE1594" s="28"/>
      <c r="BF1594" s="304" t="str">
        <f t="shared" si="1027"/>
        <v/>
      </c>
      <c r="BG1594" s="304" t="str">
        <f t="shared" si="1027"/>
        <v/>
      </c>
      <c r="BH1594" s="28"/>
      <c r="BI1594" s="304" t="str">
        <f t="shared" si="1028"/>
        <v/>
      </c>
      <c r="BJ1594" s="304" t="str">
        <f t="shared" si="1028"/>
        <v/>
      </c>
      <c r="BK1594" s="28"/>
      <c r="BL1594" s="304" t="str">
        <f t="shared" si="1029"/>
        <v/>
      </c>
      <c r="BM1594" s="304" t="str">
        <f t="shared" si="1029"/>
        <v/>
      </c>
      <c r="BN1594" s="28"/>
      <c r="BO1594" s="304" t="str">
        <f t="shared" si="1030"/>
        <v/>
      </c>
      <c r="BP1594" s="304" t="str">
        <f t="shared" si="1030"/>
        <v/>
      </c>
      <c r="BQ1594" s="28"/>
      <c r="BR1594" s="304" t="str">
        <f t="shared" si="1031"/>
        <v/>
      </c>
      <c r="BS1594" s="304" t="str">
        <f t="shared" si="1031"/>
        <v/>
      </c>
      <c r="BT1594" s="28"/>
      <c r="BU1594" s="304" t="str">
        <f t="shared" si="1032"/>
        <v/>
      </c>
      <c r="BV1594" s="304" t="str">
        <f t="shared" si="1032"/>
        <v/>
      </c>
      <c r="BW1594" s="28"/>
      <c r="BX1594" s="91"/>
    </row>
    <row r="1595" spans="1:76" s="55" customFormat="1" x14ac:dyDescent="0.25">
      <c r="A1595" s="195">
        <v>7</v>
      </c>
      <c r="B1595" s="216" t="str">
        <f t="shared" si="1020"/>
        <v>OECD90: Veltman et al. 2018, A quantitative assessment of Beneficial Management Practices to reduce carbon and reactive nitrogen footprints and phosphorus losses on dairy farms in the US Great Lakes region</v>
      </c>
      <c r="C1595" s="219" t="s">
        <v>345</v>
      </c>
      <c r="D1595" s="352" t="s">
        <v>346</v>
      </c>
      <c r="E1595" s="219" t="s">
        <v>96</v>
      </c>
      <c r="F1595" s="352" t="s">
        <v>347</v>
      </c>
      <c r="G1595" s="220" t="s">
        <v>24</v>
      </c>
      <c r="H1595" s="221">
        <v>2018</v>
      </c>
      <c r="I1595" s="240"/>
      <c r="J1595" s="369">
        <v>9527</v>
      </c>
      <c r="K1595" s="382" t="s">
        <v>325</v>
      </c>
      <c r="L1595" s="236">
        <f>J1595-J1560</f>
        <v>0</v>
      </c>
      <c r="M1595" s="217" t="s">
        <v>325</v>
      </c>
      <c r="N1595" s="227"/>
      <c r="O1595" s="227" t="s">
        <v>348</v>
      </c>
      <c r="P1595" s="122"/>
      <c r="Q1595" s="228"/>
      <c r="R1595" s="231">
        <f t="shared" si="1033"/>
        <v>0</v>
      </c>
      <c r="S1595" s="230">
        <f t="shared" si="1022"/>
        <v>0</v>
      </c>
      <c r="T1595" s="231">
        <f>IF(OR(Q1595="Y",IFERROR(R1595&gt;R1609+R1613*$AA$35,0),IFERROR(R1595&lt;R1609-R1613*$AA$35,0)),"",IFERROR(R1595*N1595,""))</f>
        <v>0</v>
      </c>
      <c r="U1595" s="232" t="str">
        <f t="shared" si="1023"/>
        <v>kg milk/cow/year</v>
      </c>
      <c r="V1595" s="28"/>
      <c r="W1595" s="28"/>
      <c r="Y1595" s="91"/>
      <c r="AO1595" s="91"/>
      <c r="AP1595" s="28"/>
      <c r="AQ1595" s="28"/>
      <c r="AR1595" s="237"/>
      <c r="AS1595" s="28"/>
      <c r="AT1595" s="304" t="str">
        <f t="shared" si="1034"/>
        <v/>
      </c>
      <c r="AU1595" s="304" t="str">
        <f t="shared" si="1034"/>
        <v/>
      </c>
      <c r="AV1595" s="28"/>
      <c r="AW1595" s="304">
        <f t="shared" si="1024"/>
        <v>0</v>
      </c>
      <c r="AX1595" s="304">
        <f t="shared" si="1024"/>
        <v>0</v>
      </c>
      <c r="AY1595" s="28"/>
      <c r="AZ1595" s="304" t="str">
        <f t="shared" si="1025"/>
        <v/>
      </c>
      <c r="BA1595" s="304" t="str">
        <f t="shared" si="1025"/>
        <v/>
      </c>
      <c r="BB1595" s="28"/>
      <c r="BC1595" s="304" t="str">
        <f t="shared" si="1026"/>
        <v/>
      </c>
      <c r="BD1595" s="304" t="str">
        <f t="shared" si="1026"/>
        <v/>
      </c>
      <c r="BE1595" s="28"/>
      <c r="BF1595" s="304" t="str">
        <f t="shared" si="1027"/>
        <v/>
      </c>
      <c r="BG1595" s="304" t="str">
        <f t="shared" si="1027"/>
        <v/>
      </c>
      <c r="BH1595" s="28"/>
      <c r="BI1595" s="304" t="str">
        <f t="shared" si="1028"/>
        <v/>
      </c>
      <c r="BJ1595" s="304" t="str">
        <f t="shared" si="1028"/>
        <v/>
      </c>
      <c r="BK1595" s="28"/>
      <c r="BL1595" s="304" t="str">
        <f t="shared" si="1029"/>
        <v/>
      </c>
      <c r="BM1595" s="304" t="str">
        <f t="shared" si="1029"/>
        <v/>
      </c>
      <c r="BN1595" s="28"/>
      <c r="BO1595" s="304" t="str">
        <f t="shared" si="1030"/>
        <v/>
      </c>
      <c r="BP1595" s="304" t="str">
        <f t="shared" si="1030"/>
        <v/>
      </c>
      <c r="BQ1595" s="28"/>
      <c r="BR1595" s="304" t="str">
        <f t="shared" si="1031"/>
        <v/>
      </c>
      <c r="BS1595" s="304" t="str">
        <f t="shared" si="1031"/>
        <v/>
      </c>
      <c r="BT1595" s="28"/>
      <c r="BU1595" s="304" t="str">
        <f t="shared" si="1032"/>
        <v/>
      </c>
      <c r="BV1595" s="304" t="str">
        <f t="shared" si="1032"/>
        <v/>
      </c>
      <c r="BW1595" s="28"/>
      <c r="BX1595" s="91"/>
    </row>
    <row r="1596" spans="1:76" s="55" customFormat="1" x14ac:dyDescent="0.25">
      <c r="A1596" s="195">
        <v>8</v>
      </c>
      <c r="B1596" s="216" t="str">
        <f t="shared" si="1020"/>
        <v>OECD90: Veltman et al. 2018, A quantitative assessment of Beneficial Management Practices to reduce carbon and reactive nitrogen footprints and phosphorus losses on dairy farms in the US Great Lakes region</v>
      </c>
      <c r="C1596" s="219" t="s">
        <v>345</v>
      </c>
      <c r="D1596" s="352" t="s">
        <v>346</v>
      </c>
      <c r="E1596" s="219" t="s">
        <v>96</v>
      </c>
      <c r="F1596" s="352" t="s">
        <v>347</v>
      </c>
      <c r="G1596" s="220" t="s">
        <v>24</v>
      </c>
      <c r="H1596" s="221">
        <v>2018</v>
      </c>
      <c r="I1596" s="240"/>
      <c r="J1596" s="369">
        <f>9527*(1.075)</f>
        <v>10241.525</v>
      </c>
      <c r="K1596" s="382" t="s">
        <v>325</v>
      </c>
      <c r="L1596" s="236">
        <f>J1596-J1560</f>
        <v>714.52499999999964</v>
      </c>
      <c r="M1596" s="217" t="s">
        <v>325</v>
      </c>
      <c r="N1596" s="227"/>
      <c r="O1596" s="227" t="s">
        <v>349</v>
      </c>
      <c r="P1596" s="122"/>
      <c r="Q1596" s="228"/>
      <c r="R1596" s="231">
        <f t="shared" si="1033"/>
        <v>714.52499999999964</v>
      </c>
      <c r="S1596" s="230">
        <f t="shared" si="1022"/>
        <v>714.52499999999964</v>
      </c>
      <c r="T1596" s="231">
        <f>IF(OR(Q1596="Y",IFERROR(R1596&gt;R1609+R1613*$AA$35,0),IFERROR(R1596&lt;R1609-R1613*$AA$35,0)),"",IFERROR(R1596*N1596,""))</f>
        <v>0</v>
      </c>
      <c r="U1596" s="232" t="str">
        <f t="shared" si="1023"/>
        <v>kg milk/cow/year</v>
      </c>
      <c r="V1596" s="28"/>
      <c r="W1596" s="28"/>
      <c r="Y1596" s="91"/>
      <c r="AO1596" s="91"/>
      <c r="AP1596" s="28"/>
      <c r="AQ1596" s="28"/>
      <c r="AR1596" s="237"/>
      <c r="AS1596" s="28"/>
      <c r="AT1596" s="304" t="str">
        <f t="shared" si="1034"/>
        <v/>
      </c>
      <c r="AU1596" s="304" t="str">
        <f t="shared" si="1034"/>
        <v/>
      </c>
      <c r="AV1596" s="28"/>
      <c r="AW1596" s="304">
        <f t="shared" si="1024"/>
        <v>714.52499999999964</v>
      </c>
      <c r="AX1596" s="304">
        <f t="shared" si="1024"/>
        <v>714.52499999999964</v>
      </c>
      <c r="AY1596" s="28"/>
      <c r="AZ1596" s="304" t="str">
        <f t="shared" si="1025"/>
        <v/>
      </c>
      <c r="BA1596" s="304" t="str">
        <f t="shared" si="1025"/>
        <v/>
      </c>
      <c r="BB1596" s="28"/>
      <c r="BC1596" s="304" t="str">
        <f t="shared" si="1026"/>
        <v/>
      </c>
      <c r="BD1596" s="304" t="str">
        <f t="shared" si="1026"/>
        <v/>
      </c>
      <c r="BE1596" s="28"/>
      <c r="BF1596" s="304" t="str">
        <f t="shared" si="1027"/>
        <v/>
      </c>
      <c r="BG1596" s="304" t="str">
        <f t="shared" si="1027"/>
        <v/>
      </c>
      <c r="BH1596" s="28"/>
      <c r="BI1596" s="304" t="str">
        <f t="shared" si="1028"/>
        <v/>
      </c>
      <c r="BJ1596" s="304" t="str">
        <f t="shared" si="1028"/>
        <v/>
      </c>
      <c r="BK1596" s="28"/>
      <c r="BL1596" s="304" t="str">
        <f t="shared" si="1029"/>
        <v/>
      </c>
      <c r="BM1596" s="304" t="str">
        <f t="shared" si="1029"/>
        <v/>
      </c>
      <c r="BN1596" s="28"/>
      <c r="BO1596" s="304" t="str">
        <f t="shared" si="1030"/>
        <v/>
      </c>
      <c r="BP1596" s="304" t="str">
        <f t="shared" si="1030"/>
        <v/>
      </c>
      <c r="BQ1596" s="28"/>
      <c r="BR1596" s="304" t="str">
        <f t="shared" si="1031"/>
        <v/>
      </c>
      <c r="BS1596" s="304" t="str">
        <f t="shared" si="1031"/>
        <v/>
      </c>
      <c r="BT1596" s="28"/>
      <c r="BU1596" s="304" t="str">
        <f t="shared" si="1032"/>
        <v/>
      </c>
      <c r="BV1596" s="304" t="str">
        <f t="shared" si="1032"/>
        <v/>
      </c>
      <c r="BW1596" s="28"/>
      <c r="BX1596" s="91"/>
    </row>
    <row r="1597" spans="1:76" s="55" customFormat="1" x14ac:dyDescent="0.25">
      <c r="A1597" s="195">
        <v>9</v>
      </c>
      <c r="B1597" s="216" t="str">
        <f t="shared" si="1020"/>
        <v>OECD90: Veltman et al. 2018, A quantitative assessment of Beneficial Management Practices to reduce carbon and reactive nitrogen footprints and phosphorus losses on dairy farms in the US Great Lakes region</v>
      </c>
      <c r="C1597" s="219" t="s">
        <v>345</v>
      </c>
      <c r="D1597" s="352" t="s">
        <v>346</v>
      </c>
      <c r="E1597" s="219" t="s">
        <v>96</v>
      </c>
      <c r="F1597" s="352" t="s">
        <v>347</v>
      </c>
      <c r="G1597" s="220" t="s">
        <v>24</v>
      </c>
      <c r="H1597" s="221">
        <v>2018</v>
      </c>
      <c r="I1597" s="240"/>
      <c r="J1597" s="369">
        <v>9527</v>
      </c>
      <c r="K1597" s="382" t="s">
        <v>325</v>
      </c>
      <c r="L1597" s="236">
        <f>J1597-J1560</f>
        <v>0</v>
      </c>
      <c r="M1597" s="217" t="s">
        <v>325</v>
      </c>
      <c r="N1597" s="227"/>
      <c r="O1597" s="227" t="s">
        <v>350</v>
      </c>
      <c r="P1597" s="122"/>
      <c r="Q1597" s="228"/>
      <c r="R1597" s="231">
        <f t="shared" si="1033"/>
        <v>0</v>
      </c>
      <c r="S1597" s="230">
        <f t="shared" si="1022"/>
        <v>0</v>
      </c>
      <c r="T1597" s="231">
        <f>IF(OR(Q1597="Y",IFERROR(R1597&gt;R1609+R1613*$AA$35,0),IFERROR(R1597&lt;R1609-R1613*$AA$35,0)),"",IFERROR(R1597*N1597,""))</f>
        <v>0</v>
      </c>
      <c r="U1597" s="232" t="str">
        <f t="shared" si="1023"/>
        <v>kg milk/cow/year</v>
      </c>
      <c r="V1597" s="28"/>
      <c r="W1597" s="28"/>
      <c r="Y1597" s="91"/>
      <c r="AO1597" s="91"/>
      <c r="AP1597" s="28"/>
      <c r="AQ1597" s="28"/>
      <c r="AR1597" s="237"/>
      <c r="AS1597" s="28"/>
      <c r="AT1597" s="304" t="str">
        <f t="shared" si="1034"/>
        <v/>
      </c>
      <c r="AU1597" s="304" t="str">
        <f t="shared" si="1034"/>
        <v/>
      </c>
      <c r="AV1597" s="28"/>
      <c r="AW1597" s="304">
        <f t="shared" si="1024"/>
        <v>0</v>
      </c>
      <c r="AX1597" s="304">
        <f t="shared" si="1024"/>
        <v>0</v>
      </c>
      <c r="AY1597" s="28"/>
      <c r="AZ1597" s="304" t="str">
        <f t="shared" si="1025"/>
        <v/>
      </c>
      <c r="BA1597" s="304" t="str">
        <f t="shared" si="1025"/>
        <v/>
      </c>
      <c r="BB1597" s="28"/>
      <c r="BC1597" s="304" t="str">
        <f t="shared" si="1026"/>
        <v/>
      </c>
      <c r="BD1597" s="304" t="str">
        <f t="shared" si="1026"/>
        <v/>
      </c>
      <c r="BE1597" s="28"/>
      <c r="BF1597" s="304" t="str">
        <f t="shared" si="1027"/>
        <v/>
      </c>
      <c r="BG1597" s="304" t="str">
        <f t="shared" si="1027"/>
        <v/>
      </c>
      <c r="BH1597" s="28"/>
      <c r="BI1597" s="304" t="str">
        <f t="shared" si="1028"/>
        <v/>
      </c>
      <c r="BJ1597" s="304" t="str">
        <f t="shared" si="1028"/>
        <v/>
      </c>
      <c r="BK1597" s="28"/>
      <c r="BL1597" s="304" t="str">
        <f t="shared" si="1029"/>
        <v/>
      </c>
      <c r="BM1597" s="304" t="str">
        <f t="shared" si="1029"/>
        <v/>
      </c>
      <c r="BN1597" s="28"/>
      <c r="BO1597" s="304" t="str">
        <f t="shared" si="1030"/>
        <v/>
      </c>
      <c r="BP1597" s="304" t="str">
        <f t="shared" si="1030"/>
        <v/>
      </c>
      <c r="BQ1597" s="28"/>
      <c r="BR1597" s="304" t="str">
        <f t="shared" si="1031"/>
        <v/>
      </c>
      <c r="BS1597" s="304" t="str">
        <f t="shared" si="1031"/>
        <v/>
      </c>
      <c r="BT1597" s="28"/>
      <c r="BU1597" s="304" t="str">
        <f t="shared" si="1032"/>
        <v/>
      </c>
      <c r="BV1597" s="304" t="str">
        <f t="shared" si="1032"/>
        <v/>
      </c>
      <c r="BW1597" s="28"/>
      <c r="BX1597" s="91"/>
    </row>
    <row r="1598" spans="1:76" s="55" customFormat="1" x14ac:dyDescent="0.25">
      <c r="A1598" s="195">
        <v>10</v>
      </c>
      <c r="B1598" s="216" t="str">
        <f t="shared" si="1020"/>
        <v>OECD90: Veltman et al. 2018, A quantitative assessment of Beneficial Management Practices to reduce carbon and reactive nitrogen footprints and phosphorus losses on dairy farms in the US Great Lakes region</v>
      </c>
      <c r="C1598" s="219" t="s">
        <v>345</v>
      </c>
      <c r="D1598" s="352" t="s">
        <v>346</v>
      </c>
      <c r="E1598" s="219" t="s">
        <v>96</v>
      </c>
      <c r="F1598" s="352" t="s">
        <v>347</v>
      </c>
      <c r="G1598" s="220" t="s">
        <v>24</v>
      </c>
      <c r="H1598" s="221">
        <v>2018</v>
      </c>
      <c r="I1598" s="240"/>
      <c r="J1598" s="369">
        <f>9527*(1.049)</f>
        <v>9993.8229999999985</v>
      </c>
      <c r="K1598" s="382" t="s">
        <v>325</v>
      </c>
      <c r="L1598" s="236">
        <f>J1598-J1560</f>
        <v>466.8229999999985</v>
      </c>
      <c r="M1598" s="217" t="s">
        <v>325</v>
      </c>
      <c r="N1598" s="227"/>
      <c r="O1598" s="227" t="s">
        <v>351</v>
      </c>
      <c r="P1598" s="122"/>
      <c r="Q1598" s="228"/>
      <c r="R1598" s="231">
        <f t="shared" si="1033"/>
        <v>466.8229999999985</v>
      </c>
      <c r="S1598" s="230">
        <f t="shared" si="1022"/>
        <v>466.8229999999985</v>
      </c>
      <c r="T1598" s="231">
        <f>IF(OR(Q1598="Y",IFERROR(R1598&gt;R1609+R1613*$AA$35,0),IFERROR(R1598&lt;R1609-R1613*$AA$35,0)),"",IFERROR(R1598*N1598,""))</f>
        <v>0</v>
      </c>
      <c r="U1598" s="232" t="str">
        <f t="shared" si="1023"/>
        <v>kg milk/cow/year</v>
      </c>
      <c r="V1598" s="28"/>
      <c r="W1598" s="28"/>
      <c r="Y1598" s="91"/>
      <c r="AO1598" s="91"/>
      <c r="AP1598" s="28"/>
      <c r="AQ1598" s="28"/>
      <c r="AR1598" s="237"/>
      <c r="AS1598" s="28"/>
      <c r="AT1598" s="304" t="str">
        <f t="shared" si="1034"/>
        <v/>
      </c>
      <c r="AU1598" s="304" t="str">
        <f t="shared" si="1034"/>
        <v/>
      </c>
      <c r="AV1598" s="28"/>
      <c r="AW1598" s="304">
        <f t="shared" si="1024"/>
        <v>466.8229999999985</v>
      </c>
      <c r="AX1598" s="304">
        <f t="shared" si="1024"/>
        <v>466.8229999999985</v>
      </c>
      <c r="AY1598" s="28"/>
      <c r="AZ1598" s="304" t="str">
        <f t="shared" si="1025"/>
        <v/>
      </c>
      <c r="BA1598" s="304" t="str">
        <f t="shared" si="1025"/>
        <v/>
      </c>
      <c r="BB1598" s="28"/>
      <c r="BC1598" s="304" t="str">
        <f t="shared" si="1026"/>
        <v/>
      </c>
      <c r="BD1598" s="304" t="str">
        <f t="shared" si="1026"/>
        <v/>
      </c>
      <c r="BE1598" s="28"/>
      <c r="BF1598" s="304" t="str">
        <f t="shared" si="1027"/>
        <v/>
      </c>
      <c r="BG1598" s="304" t="str">
        <f t="shared" si="1027"/>
        <v/>
      </c>
      <c r="BH1598" s="28"/>
      <c r="BI1598" s="304" t="str">
        <f t="shared" si="1028"/>
        <v/>
      </c>
      <c r="BJ1598" s="304" t="str">
        <f t="shared" si="1028"/>
        <v/>
      </c>
      <c r="BK1598" s="28"/>
      <c r="BL1598" s="304" t="str">
        <f t="shared" si="1029"/>
        <v/>
      </c>
      <c r="BM1598" s="304" t="str">
        <f t="shared" si="1029"/>
        <v/>
      </c>
      <c r="BN1598" s="28"/>
      <c r="BO1598" s="304" t="str">
        <f t="shared" si="1030"/>
        <v/>
      </c>
      <c r="BP1598" s="304" t="str">
        <f t="shared" si="1030"/>
        <v/>
      </c>
      <c r="BQ1598" s="28"/>
      <c r="BR1598" s="304" t="str">
        <f t="shared" si="1031"/>
        <v/>
      </c>
      <c r="BS1598" s="304" t="str">
        <f t="shared" si="1031"/>
        <v/>
      </c>
      <c r="BT1598" s="28"/>
      <c r="BU1598" s="304" t="str">
        <f t="shared" si="1032"/>
        <v/>
      </c>
      <c r="BV1598" s="304" t="str">
        <f t="shared" si="1032"/>
        <v/>
      </c>
      <c r="BW1598" s="28"/>
      <c r="BX1598" s="91"/>
    </row>
    <row r="1599" spans="1:76" s="55" customFormat="1" x14ac:dyDescent="0.25">
      <c r="A1599" s="195">
        <v>11</v>
      </c>
      <c r="B1599" s="216" t="str">
        <f t="shared" si="1020"/>
        <v>OECD90: Veltman et al. 2018, A quantitative assessment of Beneficial Management Practices to reduce carbon and reactive nitrogen footprints and phosphorus losses on dairy farms in the US Great Lakes region</v>
      </c>
      <c r="C1599" s="219" t="s">
        <v>345</v>
      </c>
      <c r="D1599" s="352" t="s">
        <v>346</v>
      </c>
      <c r="E1599" s="219" t="s">
        <v>96</v>
      </c>
      <c r="F1599" s="352" t="s">
        <v>347</v>
      </c>
      <c r="G1599" s="220" t="s">
        <v>24</v>
      </c>
      <c r="H1599" s="221">
        <v>2018</v>
      </c>
      <c r="I1599" s="240"/>
      <c r="J1599" s="399">
        <f>9527*(1.025)</f>
        <v>9765.1749999999993</v>
      </c>
      <c r="K1599" s="382" t="s">
        <v>325</v>
      </c>
      <c r="L1599" s="236">
        <f>J1599-J1560</f>
        <v>238.17499999999927</v>
      </c>
      <c r="M1599" s="217" t="s">
        <v>325</v>
      </c>
      <c r="N1599" s="227"/>
      <c r="O1599" s="227" t="s">
        <v>352</v>
      </c>
      <c r="P1599" s="122"/>
      <c r="Q1599" s="228"/>
      <c r="R1599" s="231">
        <f t="shared" si="1033"/>
        <v>238.17499999999927</v>
      </c>
      <c r="S1599" s="230">
        <f t="shared" si="1022"/>
        <v>238.17499999999927</v>
      </c>
      <c r="T1599" s="231">
        <f>IF(OR(Q1599="Y",IFERROR(R1599&gt;R1609+R1613*$AA$35,0),IFERROR(R1599&lt;R1609-R1613*$AA$35,0)),"",IFERROR(R1599*N1599,""))</f>
        <v>0</v>
      </c>
      <c r="U1599" s="232" t="str">
        <f t="shared" si="1023"/>
        <v>kg milk/cow/year</v>
      </c>
      <c r="V1599" s="28"/>
      <c r="W1599" s="28"/>
      <c r="Y1599" s="91"/>
      <c r="AO1599" s="91"/>
      <c r="AP1599" s="28"/>
      <c r="AQ1599" s="28"/>
      <c r="AR1599" s="237"/>
      <c r="AS1599" s="28"/>
      <c r="AT1599" s="304" t="str">
        <f t="shared" si="1034"/>
        <v/>
      </c>
      <c r="AU1599" s="304" t="str">
        <f t="shared" si="1034"/>
        <v/>
      </c>
      <c r="AV1599" s="28"/>
      <c r="AW1599" s="304">
        <f t="shared" si="1024"/>
        <v>238.17499999999927</v>
      </c>
      <c r="AX1599" s="304">
        <f t="shared" si="1024"/>
        <v>238.17499999999927</v>
      </c>
      <c r="AY1599" s="28"/>
      <c r="AZ1599" s="304" t="str">
        <f t="shared" si="1025"/>
        <v/>
      </c>
      <c r="BA1599" s="304" t="str">
        <f t="shared" si="1025"/>
        <v/>
      </c>
      <c r="BB1599" s="28"/>
      <c r="BC1599" s="304" t="str">
        <f t="shared" si="1026"/>
        <v/>
      </c>
      <c r="BD1599" s="304" t="str">
        <f t="shared" si="1026"/>
        <v/>
      </c>
      <c r="BE1599" s="28"/>
      <c r="BF1599" s="304" t="str">
        <f t="shared" si="1027"/>
        <v/>
      </c>
      <c r="BG1599" s="304" t="str">
        <f t="shared" si="1027"/>
        <v/>
      </c>
      <c r="BH1599" s="28"/>
      <c r="BI1599" s="304" t="str">
        <f t="shared" si="1028"/>
        <v/>
      </c>
      <c r="BJ1599" s="304" t="str">
        <f t="shared" si="1028"/>
        <v/>
      </c>
      <c r="BK1599" s="28"/>
      <c r="BL1599" s="304" t="str">
        <f t="shared" si="1029"/>
        <v/>
      </c>
      <c r="BM1599" s="304" t="str">
        <f t="shared" si="1029"/>
        <v/>
      </c>
      <c r="BN1599" s="28"/>
      <c r="BO1599" s="304" t="str">
        <f t="shared" si="1030"/>
        <v/>
      </c>
      <c r="BP1599" s="304" t="str">
        <f t="shared" si="1030"/>
        <v/>
      </c>
      <c r="BQ1599" s="28"/>
      <c r="BR1599" s="304" t="str">
        <f t="shared" si="1031"/>
        <v/>
      </c>
      <c r="BS1599" s="304" t="str">
        <f t="shared" si="1031"/>
        <v/>
      </c>
      <c r="BT1599" s="28"/>
      <c r="BU1599" s="304" t="str">
        <f t="shared" si="1032"/>
        <v/>
      </c>
      <c r="BV1599" s="304" t="str">
        <f t="shared" si="1032"/>
        <v/>
      </c>
      <c r="BW1599" s="28"/>
      <c r="BX1599" s="91"/>
    </row>
    <row r="1600" spans="1:76" s="55" customFormat="1" x14ac:dyDescent="0.25">
      <c r="A1600" s="195">
        <v>12</v>
      </c>
      <c r="B1600" s="216" t="str">
        <f t="shared" si="1020"/>
        <v>OECD90: Veltman et al. 2018, A quantitative assessment of Beneficial Management Practices to reduce carbon and reactive nitrogen footprints and phosphorus losses on dairy farms in the US Great Lakes region</v>
      </c>
      <c r="C1600" s="219" t="s">
        <v>345</v>
      </c>
      <c r="D1600" s="352" t="s">
        <v>346</v>
      </c>
      <c r="E1600" s="219" t="s">
        <v>96</v>
      </c>
      <c r="F1600" s="352" t="s">
        <v>347</v>
      </c>
      <c r="G1600" s="220" t="s">
        <v>24</v>
      </c>
      <c r="H1600" s="221">
        <v>2018</v>
      </c>
      <c r="I1600" s="240"/>
      <c r="J1600" s="369">
        <f>9527*(1.1)</f>
        <v>10479.700000000001</v>
      </c>
      <c r="K1600" s="382" t="s">
        <v>325</v>
      </c>
      <c r="L1600" s="236">
        <f>J1600-J1560</f>
        <v>952.70000000000073</v>
      </c>
      <c r="M1600" s="217" t="s">
        <v>325</v>
      </c>
      <c r="N1600" s="227"/>
      <c r="O1600" s="227" t="s">
        <v>353</v>
      </c>
      <c r="P1600" s="122"/>
      <c r="Q1600" s="228"/>
      <c r="R1600" s="231">
        <f t="shared" si="1033"/>
        <v>952.70000000000073</v>
      </c>
      <c r="S1600" s="230">
        <f t="shared" si="1022"/>
        <v>952.70000000000073</v>
      </c>
      <c r="T1600" s="231">
        <f>IF(OR(Q1600="Y",IFERROR(R1600&gt;R1609+R1613*$AA$35,0),IFERROR(R1600&lt;R1609-R1613*$AA$35,0)),"",IFERROR(R1600*N1600,""))</f>
        <v>0</v>
      </c>
      <c r="U1600" s="232" t="str">
        <f t="shared" si="1023"/>
        <v>kg milk/cow/year</v>
      </c>
      <c r="V1600" s="28"/>
      <c r="W1600" s="28"/>
      <c r="Y1600" s="91"/>
      <c r="AO1600" s="91"/>
      <c r="AP1600" s="28"/>
      <c r="AQ1600" s="28"/>
      <c r="AR1600" s="237"/>
      <c r="AS1600" s="28"/>
      <c r="AT1600" s="304" t="str">
        <f t="shared" si="1034"/>
        <v/>
      </c>
      <c r="AU1600" s="304" t="str">
        <f t="shared" si="1034"/>
        <v/>
      </c>
      <c r="AV1600" s="28"/>
      <c r="AW1600" s="304">
        <f t="shared" si="1024"/>
        <v>952.70000000000073</v>
      </c>
      <c r="AX1600" s="304">
        <f t="shared" si="1024"/>
        <v>952.70000000000073</v>
      </c>
      <c r="AY1600" s="28"/>
      <c r="AZ1600" s="304" t="str">
        <f t="shared" si="1025"/>
        <v/>
      </c>
      <c r="BA1600" s="304" t="str">
        <f t="shared" si="1025"/>
        <v/>
      </c>
      <c r="BB1600" s="28"/>
      <c r="BC1600" s="304" t="str">
        <f t="shared" si="1026"/>
        <v/>
      </c>
      <c r="BD1600" s="304" t="str">
        <f t="shared" si="1026"/>
        <v/>
      </c>
      <c r="BE1600" s="28"/>
      <c r="BF1600" s="304" t="str">
        <f t="shared" si="1027"/>
        <v/>
      </c>
      <c r="BG1600" s="304" t="str">
        <f t="shared" si="1027"/>
        <v/>
      </c>
      <c r="BH1600" s="28"/>
      <c r="BI1600" s="304" t="str">
        <f t="shared" si="1028"/>
        <v/>
      </c>
      <c r="BJ1600" s="304" t="str">
        <f t="shared" si="1028"/>
        <v/>
      </c>
      <c r="BK1600" s="28"/>
      <c r="BL1600" s="304" t="str">
        <f t="shared" si="1029"/>
        <v/>
      </c>
      <c r="BM1600" s="304" t="str">
        <f t="shared" si="1029"/>
        <v/>
      </c>
      <c r="BN1600" s="28"/>
      <c r="BO1600" s="304" t="str">
        <f t="shared" si="1030"/>
        <v/>
      </c>
      <c r="BP1600" s="304" t="str">
        <f t="shared" si="1030"/>
        <v/>
      </c>
      <c r="BQ1600" s="28"/>
      <c r="BR1600" s="304" t="str">
        <f t="shared" si="1031"/>
        <v/>
      </c>
      <c r="BS1600" s="304" t="str">
        <f t="shared" si="1031"/>
        <v/>
      </c>
      <c r="BT1600" s="28"/>
      <c r="BU1600" s="304" t="str">
        <f t="shared" si="1032"/>
        <v/>
      </c>
      <c r="BV1600" s="304" t="str">
        <f t="shared" si="1032"/>
        <v/>
      </c>
      <c r="BW1600" s="28"/>
      <c r="BX1600" s="91"/>
    </row>
    <row r="1601" spans="1:76" s="55" customFormat="1" x14ac:dyDescent="0.25">
      <c r="A1601" s="195">
        <v>13</v>
      </c>
      <c r="B1601" s="216" t="str">
        <f t="shared" si="1020"/>
        <v>OECD90: Veltman et al. 2018, A quantitative assessment of Beneficial Management Practices to reduce carbon and reactive nitrogen footprints and phosphorus losses on dairy farms in the US Great Lakes region</v>
      </c>
      <c r="C1601" s="219" t="s">
        <v>345</v>
      </c>
      <c r="D1601" s="352" t="s">
        <v>346</v>
      </c>
      <c r="E1601" s="219" t="s">
        <v>96</v>
      </c>
      <c r="F1601" s="352" t="s">
        <v>354</v>
      </c>
      <c r="G1601" s="220" t="s">
        <v>24</v>
      </c>
      <c r="H1601" s="221">
        <v>2018</v>
      </c>
      <c r="I1601" s="240"/>
      <c r="J1601" s="369">
        <v>10134</v>
      </c>
      <c r="K1601" s="382" t="s">
        <v>325</v>
      </c>
      <c r="L1601" s="363">
        <f>J1601-J1561</f>
        <v>0</v>
      </c>
      <c r="M1601" s="217" t="s">
        <v>325</v>
      </c>
      <c r="N1601" s="227"/>
      <c r="O1601" s="227" t="s">
        <v>355</v>
      </c>
      <c r="P1601" s="122"/>
      <c r="Q1601" s="228"/>
      <c r="R1601" s="231">
        <f t="shared" si="1033"/>
        <v>0</v>
      </c>
      <c r="S1601" s="230">
        <f t="shared" si="1022"/>
        <v>0</v>
      </c>
      <c r="T1601" s="231">
        <f>IF(OR(Q1601="Y",IFERROR(R1601&gt;R1609+R1613*$AA$35,0),IFERROR(R1601&lt;R1609-R1613*$AA$35,0)),"",IFERROR(R1601*N1601,""))</f>
        <v>0</v>
      </c>
      <c r="U1601" s="232" t="str">
        <f t="shared" si="1023"/>
        <v>kg milk/cow/year</v>
      </c>
      <c r="V1601" s="28"/>
      <c r="W1601" s="28"/>
      <c r="Y1601" s="91"/>
      <c r="AO1601" s="91"/>
      <c r="AP1601" s="28"/>
      <c r="AQ1601" s="28"/>
      <c r="AR1601" s="237"/>
      <c r="AS1601" s="28"/>
      <c r="AT1601" s="304" t="str">
        <f t="shared" si="1034"/>
        <v/>
      </c>
      <c r="AU1601" s="304" t="str">
        <f t="shared" si="1034"/>
        <v/>
      </c>
      <c r="AV1601" s="28"/>
      <c r="AW1601" s="304">
        <f t="shared" si="1024"/>
        <v>0</v>
      </c>
      <c r="AX1601" s="304">
        <f t="shared" si="1024"/>
        <v>0</v>
      </c>
      <c r="AY1601" s="28"/>
      <c r="AZ1601" s="304" t="str">
        <f t="shared" si="1025"/>
        <v/>
      </c>
      <c r="BA1601" s="304" t="str">
        <f t="shared" si="1025"/>
        <v/>
      </c>
      <c r="BB1601" s="28"/>
      <c r="BC1601" s="304" t="str">
        <f t="shared" si="1026"/>
        <v/>
      </c>
      <c r="BD1601" s="304" t="str">
        <f t="shared" si="1026"/>
        <v/>
      </c>
      <c r="BE1601" s="28"/>
      <c r="BF1601" s="304" t="str">
        <f t="shared" si="1027"/>
        <v/>
      </c>
      <c r="BG1601" s="304" t="str">
        <f t="shared" si="1027"/>
        <v/>
      </c>
      <c r="BH1601" s="28"/>
      <c r="BI1601" s="304" t="str">
        <f t="shared" si="1028"/>
        <v/>
      </c>
      <c r="BJ1601" s="304" t="str">
        <f t="shared" si="1028"/>
        <v/>
      </c>
      <c r="BK1601" s="28"/>
      <c r="BL1601" s="304" t="str">
        <f t="shared" si="1029"/>
        <v/>
      </c>
      <c r="BM1601" s="304" t="str">
        <f t="shared" si="1029"/>
        <v/>
      </c>
      <c r="BN1601" s="28"/>
      <c r="BO1601" s="304" t="str">
        <f t="shared" si="1030"/>
        <v/>
      </c>
      <c r="BP1601" s="304" t="str">
        <f t="shared" si="1030"/>
        <v/>
      </c>
      <c r="BQ1601" s="28"/>
      <c r="BR1601" s="304" t="str">
        <f t="shared" si="1031"/>
        <v/>
      </c>
      <c r="BS1601" s="304" t="str">
        <f t="shared" si="1031"/>
        <v/>
      </c>
      <c r="BT1601" s="28"/>
      <c r="BU1601" s="304" t="str">
        <f t="shared" si="1032"/>
        <v/>
      </c>
      <c r="BV1601" s="304" t="str">
        <f t="shared" si="1032"/>
        <v/>
      </c>
      <c r="BW1601" s="28"/>
      <c r="BX1601" s="91"/>
    </row>
    <row r="1602" spans="1:76" s="55" customFormat="1" x14ac:dyDescent="0.25">
      <c r="A1602" s="195">
        <v>14</v>
      </c>
      <c r="B1602" s="216" t="str">
        <f t="shared" si="1020"/>
        <v>OECD90: Veltman et al. 2018, A quantitative assessment of Beneficial Management Practices to reduce carbon and reactive nitrogen footprints and phosphorus losses on dairy farms in the US Great Lakes region</v>
      </c>
      <c r="C1602" s="219" t="s">
        <v>345</v>
      </c>
      <c r="D1602" s="352" t="s">
        <v>346</v>
      </c>
      <c r="E1602" s="219" t="s">
        <v>96</v>
      </c>
      <c r="F1602" s="352" t="s">
        <v>354</v>
      </c>
      <c r="G1602" s="220" t="s">
        <v>24</v>
      </c>
      <c r="H1602" s="221">
        <v>2018</v>
      </c>
      <c r="I1602" s="240"/>
      <c r="J1602" s="369">
        <f>10134*(1.075)</f>
        <v>10894.05</v>
      </c>
      <c r="K1602" s="382" t="s">
        <v>325</v>
      </c>
      <c r="L1602" s="363">
        <f>J1602-J1561</f>
        <v>760.04999999999927</v>
      </c>
      <c r="M1602" s="217" t="s">
        <v>325</v>
      </c>
      <c r="N1602" s="227"/>
      <c r="O1602" s="227" t="s">
        <v>356</v>
      </c>
      <c r="P1602" s="122"/>
      <c r="Q1602" s="228"/>
      <c r="R1602" s="231">
        <f t="shared" si="1033"/>
        <v>760.04999999999927</v>
      </c>
      <c r="S1602" s="230">
        <f t="shared" si="1022"/>
        <v>760.04999999999927</v>
      </c>
      <c r="T1602" s="231">
        <f>IF(OR(Q1602="Y",IFERROR(R1602&gt;R1609+R1613*$AA$35,0),IFERROR(R1602&lt;R1609-R1613*$AA$35,0)),"",IFERROR(R1602*N1602,""))</f>
        <v>0</v>
      </c>
      <c r="U1602" s="232" t="str">
        <f t="shared" si="1023"/>
        <v>kg milk/cow/year</v>
      </c>
      <c r="V1602" s="28"/>
      <c r="W1602" s="28"/>
      <c r="Y1602" s="91"/>
      <c r="AO1602" s="91"/>
      <c r="AP1602" s="28"/>
      <c r="AQ1602" s="28"/>
      <c r="AR1602" s="237"/>
      <c r="AS1602" s="28"/>
      <c r="AT1602" s="304" t="str">
        <f t="shared" si="1034"/>
        <v/>
      </c>
      <c r="AU1602" s="304" t="str">
        <f t="shared" si="1034"/>
        <v/>
      </c>
      <c r="AV1602" s="28"/>
      <c r="AW1602" s="304">
        <f t="shared" si="1024"/>
        <v>760.04999999999927</v>
      </c>
      <c r="AX1602" s="304">
        <f t="shared" si="1024"/>
        <v>760.04999999999927</v>
      </c>
      <c r="AY1602" s="28"/>
      <c r="AZ1602" s="304" t="str">
        <f t="shared" si="1025"/>
        <v/>
      </c>
      <c r="BA1602" s="304" t="str">
        <f t="shared" si="1025"/>
        <v/>
      </c>
      <c r="BB1602" s="28"/>
      <c r="BC1602" s="304" t="str">
        <f t="shared" si="1026"/>
        <v/>
      </c>
      <c r="BD1602" s="304" t="str">
        <f t="shared" si="1026"/>
        <v/>
      </c>
      <c r="BE1602" s="28"/>
      <c r="BF1602" s="304" t="str">
        <f t="shared" si="1027"/>
        <v/>
      </c>
      <c r="BG1602" s="304" t="str">
        <f t="shared" si="1027"/>
        <v/>
      </c>
      <c r="BH1602" s="28"/>
      <c r="BI1602" s="304" t="str">
        <f t="shared" si="1028"/>
        <v/>
      </c>
      <c r="BJ1602" s="304" t="str">
        <f t="shared" si="1028"/>
        <v/>
      </c>
      <c r="BK1602" s="28"/>
      <c r="BL1602" s="304" t="str">
        <f t="shared" si="1029"/>
        <v/>
      </c>
      <c r="BM1602" s="304" t="str">
        <f t="shared" si="1029"/>
        <v/>
      </c>
      <c r="BN1602" s="28"/>
      <c r="BO1602" s="304" t="str">
        <f t="shared" si="1030"/>
        <v/>
      </c>
      <c r="BP1602" s="304" t="str">
        <f t="shared" si="1030"/>
        <v/>
      </c>
      <c r="BQ1602" s="28"/>
      <c r="BR1602" s="304" t="str">
        <f t="shared" si="1031"/>
        <v/>
      </c>
      <c r="BS1602" s="304" t="str">
        <f t="shared" si="1031"/>
        <v/>
      </c>
      <c r="BT1602" s="28"/>
      <c r="BU1602" s="304" t="str">
        <f t="shared" si="1032"/>
        <v/>
      </c>
      <c r="BV1602" s="304" t="str">
        <f t="shared" si="1032"/>
        <v/>
      </c>
      <c r="BW1602" s="28"/>
      <c r="BX1602" s="91"/>
    </row>
    <row r="1603" spans="1:76" s="55" customFormat="1" x14ac:dyDescent="0.25">
      <c r="A1603" s="195">
        <v>15</v>
      </c>
      <c r="B1603" s="216" t="str">
        <f t="shared" si="1020"/>
        <v>OECD90: Veltman et al. 2018, A quantitative assessment of Beneficial Management Practices to reduce carbon and reactive nitrogen footprints and phosphorus losses on dairy farms in the US Great Lakes region</v>
      </c>
      <c r="C1603" s="219" t="s">
        <v>345</v>
      </c>
      <c r="D1603" s="352" t="s">
        <v>346</v>
      </c>
      <c r="E1603" s="219" t="s">
        <v>96</v>
      </c>
      <c r="F1603" s="352" t="s">
        <v>354</v>
      </c>
      <c r="G1603" s="220" t="s">
        <v>24</v>
      </c>
      <c r="H1603" s="221">
        <v>2018</v>
      </c>
      <c r="I1603" s="240"/>
      <c r="J1603" s="369">
        <v>10134</v>
      </c>
      <c r="K1603" s="382" t="s">
        <v>325</v>
      </c>
      <c r="L1603" s="363">
        <f>J1603-J1561</f>
        <v>0</v>
      </c>
      <c r="M1603" s="217" t="s">
        <v>325</v>
      </c>
      <c r="N1603" s="227"/>
      <c r="O1603" s="227" t="s">
        <v>357</v>
      </c>
      <c r="P1603" s="122"/>
      <c r="Q1603" s="228"/>
      <c r="R1603" s="231">
        <f t="shared" si="1033"/>
        <v>0</v>
      </c>
      <c r="S1603" s="230">
        <f t="shared" si="1022"/>
        <v>0</v>
      </c>
      <c r="T1603" s="231">
        <f>IF(OR(Q1603="Y",IFERROR(R1603&gt;R1609+R1613*$AA$35,0),IFERROR(R1603&lt;R1609-R1613*$AA$35,0)),"",IFERROR(R1603*N1603,""))</f>
        <v>0</v>
      </c>
      <c r="U1603" s="232" t="str">
        <f t="shared" si="1023"/>
        <v>kg milk/cow/year</v>
      </c>
      <c r="V1603" s="28"/>
      <c r="W1603" s="28"/>
      <c r="Y1603" s="91"/>
      <c r="AO1603" s="91"/>
      <c r="AP1603" s="28"/>
      <c r="AQ1603" s="28"/>
      <c r="AR1603" s="237"/>
      <c r="AS1603" s="28"/>
      <c r="AT1603" s="304" t="str">
        <f t="shared" si="1034"/>
        <v/>
      </c>
      <c r="AU1603" s="304" t="str">
        <f t="shared" si="1034"/>
        <v/>
      </c>
      <c r="AV1603" s="28"/>
      <c r="AW1603" s="304">
        <f t="shared" si="1024"/>
        <v>0</v>
      </c>
      <c r="AX1603" s="304">
        <f t="shared" si="1024"/>
        <v>0</v>
      </c>
      <c r="AY1603" s="28"/>
      <c r="AZ1603" s="304" t="str">
        <f t="shared" si="1025"/>
        <v/>
      </c>
      <c r="BA1603" s="304" t="str">
        <f t="shared" si="1025"/>
        <v/>
      </c>
      <c r="BB1603" s="28"/>
      <c r="BC1603" s="304" t="str">
        <f t="shared" si="1026"/>
        <v/>
      </c>
      <c r="BD1603" s="304" t="str">
        <f t="shared" si="1026"/>
        <v/>
      </c>
      <c r="BE1603" s="28"/>
      <c r="BF1603" s="304" t="str">
        <f t="shared" si="1027"/>
        <v/>
      </c>
      <c r="BG1603" s="304" t="str">
        <f t="shared" si="1027"/>
        <v/>
      </c>
      <c r="BH1603" s="28"/>
      <c r="BI1603" s="304" t="str">
        <f t="shared" si="1028"/>
        <v/>
      </c>
      <c r="BJ1603" s="304" t="str">
        <f t="shared" si="1028"/>
        <v/>
      </c>
      <c r="BK1603" s="28"/>
      <c r="BL1603" s="304" t="str">
        <f t="shared" si="1029"/>
        <v/>
      </c>
      <c r="BM1603" s="304" t="str">
        <f t="shared" si="1029"/>
        <v/>
      </c>
      <c r="BN1603" s="28"/>
      <c r="BO1603" s="304" t="str">
        <f t="shared" si="1030"/>
        <v/>
      </c>
      <c r="BP1603" s="304" t="str">
        <f t="shared" si="1030"/>
        <v/>
      </c>
      <c r="BQ1603" s="28"/>
      <c r="BR1603" s="304" t="str">
        <f t="shared" si="1031"/>
        <v/>
      </c>
      <c r="BS1603" s="304" t="str">
        <f t="shared" si="1031"/>
        <v/>
      </c>
      <c r="BT1603" s="28"/>
      <c r="BU1603" s="304" t="str">
        <f t="shared" si="1032"/>
        <v/>
      </c>
      <c r="BV1603" s="304" t="str">
        <f t="shared" si="1032"/>
        <v/>
      </c>
      <c r="BW1603" s="28"/>
      <c r="BX1603" s="91"/>
    </row>
    <row r="1604" spans="1:76" s="55" customFormat="1" x14ac:dyDescent="0.25">
      <c r="A1604" s="195">
        <v>16</v>
      </c>
      <c r="B1604" s="216" t="str">
        <f t="shared" si="1020"/>
        <v>OECD90: Veltman et al. 2018, A quantitative assessment of Beneficial Management Practices to reduce carbon and reactive nitrogen footprints and phosphorus losses on dairy farms in the US Great Lakes region</v>
      </c>
      <c r="C1604" s="219" t="s">
        <v>345</v>
      </c>
      <c r="D1604" s="352" t="s">
        <v>346</v>
      </c>
      <c r="E1604" s="219" t="s">
        <v>96</v>
      </c>
      <c r="F1604" s="352" t="s">
        <v>354</v>
      </c>
      <c r="G1604" s="220" t="s">
        <v>24</v>
      </c>
      <c r="H1604" s="221">
        <v>2018</v>
      </c>
      <c r="I1604" s="240"/>
      <c r="J1604" s="369">
        <f>10134*(1.049)</f>
        <v>10630.565999999999</v>
      </c>
      <c r="K1604" s="382" t="s">
        <v>325</v>
      </c>
      <c r="L1604" s="363">
        <f>J1604-J1561</f>
        <v>496.56599999999889</v>
      </c>
      <c r="M1604" s="217" t="s">
        <v>325</v>
      </c>
      <c r="N1604" s="227"/>
      <c r="O1604" s="227" t="s">
        <v>358</v>
      </c>
      <c r="P1604" s="122"/>
      <c r="Q1604" s="228"/>
      <c r="R1604" s="231">
        <f t="shared" si="1033"/>
        <v>496.56599999999889</v>
      </c>
      <c r="S1604" s="230">
        <f t="shared" si="1022"/>
        <v>496.56599999999889</v>
      </c>
      <c r="T1604" s="231">
        <f>IF(OR(Q1604="Y",IFERROR(R1604&gt;R1609+R1613*$AA$35,0),IFERROR(R1604&lt;R1609-R1613*$AA$35,0)),"",IFERROR(R1604*N1604,""))</f>
        <v>0</v>
      </c>
      <c r="U1604" s="232" t="str">
        <f t="shared" si="1023"/>
        <v>kg milk/cow/year</v>
      </c>
      <c r="V1604" s="28"/>
      <c r="W1604" s="28"/>
      <c r="Y1604" s="91"/>
      <c r="AO1604" s="91"/>
      <c r="AP1604" s="28"/>
      <c r="AQ1604" s="28"/>
      <c r="AR1604" s="237"/>
      <c r="AS1604" s="28"/>
      <c r="AT1604" s="304" t="str">
        <f t="shared" si="1034"/>
        <v/>
      </c>
      <c r="AU1604" s="304" t="str">
        <f t="shared" si="1034"/>
        <v/>
      </c>
      <c r="AV1604" s="28"/>
      <c r="AW1604" s="304">
        <f t="shared" si="1024"/>
        <v>496.56599999999889</v>
      </c>
      <c r="AX1604" s="304">
        <f t="shared" si="1024"/>
        <v>496.56599999999889</v>
      </c>
      <c r="AY1604" s="28"/>
      <c r="AZ1604" s="304" t="str">
        <f t="shared" si="1025"/>
        <v/>
      </c>
      <c r="BA1604" s="304" t="str">
        <f t="shared" si="1025"/>
        <v/>
      </c>
      <c r="BB1604" s="28"/>
      <c r="BC1604" s="304" t="str">
        <f t="shared" si="1026"/>
        <v/>
      </c>
      <c r="BD1604" s="304" t="str">
        <f t="shared" si="1026"/>
        <v/>
      </c>
      <c r="BE1604" s="28"/>
      <c r="BF1604" s="304" t="str">
        <f t="shared" si="1027"/>
        <v/>
      </c>
      <c r="BG1604" s="304" t="str">
        <f t="shared" si="1027"/>
        <v/>
      </c>
      <c r="BH1604" s="28"/>
      <c r="BI1604" s="304" t="str">
        <f t="shared" si="1028"/>
        <v/>
      </c>
      <c r="BJ1604" s="304" t="str">
        <f t="shared" si="1028"/>
        <v/>
      </c>
      <c r="BK1604" s="28"/>
      <c r="BL1604" s="304" t="str">
        <f t="shared" si="1029"/>
        <v/>
      </c>
      <c r="BM1604" s="304" t="str">
        <f t="shared" si="1029"/>
        <v/>
      </c>
      <c r="BN1604" s="28"/>
      <c r="BO1604" s="304" t="str">
        <f t="shared" si="1030"/>
        <v/>
      </c>
      <c r="BP1604" s="304" t="str">
        <f t="shared" si="1030"/>
        <v/>
      </c>
      <c r="BQ1604" s="28"/>
      <c r="BR1604" s="304" t="str">
        <f t="shared" si="1031"/>
        <v/>
      </c>
      <c r="BS1604" s="304" t="str">
        <f t="shared" si="1031"/>
        <v/>
      </c>
      <c r="BT1604" s="28"/>
      <c r="BU1604" s="304" t="str">
        <f t="shared" si="1032"/>
        <v/>
      </c>
      <c r="BV1604" s="304" t="str">
        <f t="shared" si="1032"/>
        <v/>
      </c>
      <c r="BW1604" s="28"/>
      <c r="BX1604" s="91"/>
    </row>
    <row r="1605" spans="1:76" s="55" customFormat="1" x14ac:dyDescent="0.25">
      <c r="A1605" s="195">
        <v>17</v>
      </c>
      <c r="B1605" s="216" t="str">
        <f t="shared" si="1020"/>
        <v>OECD90: Veltman et al. 2018, A quantitative assessment of Beneficial Management Practices to reduce carbon and reactive nitrogen footprints and phosphorus losses on dairy farms in the US Great Lakes region</v>
      </c>
      <c r="C1605" s="219" t="s">
        <v>345</v>
      </c>
      <c r="D1605" s="352" t="s">
        <v>346</v>
      </c>
      <c r="E1605" s="219" t="s">
        <v>96</v>
      </c>
      <c r="F1605" s="352" t="s">
        <v>354</v>
      </c>
      <c r="G1605" s="220" t="s">
        <v>24</v>
      </c>
      <c r="H1605" s="221">
        <v>2018</v>
      </c>
      <c r="I1605" s="240"/>
      <c r="J1605" s="399">
        <f>10134*(1.025)</f>
        <v>10387.349999999999</v>
      </c>
      <c r="K1605" s="382" t="s">
        <v>325</v>
      </c>
      <c r="L1605" s="363">
        <f>J1605-J1561</f>
        <v>253.34999999999854</v>
      </c>
      <c r="M1605" s="217" t="s">
        <v>325</v>
      </c>
      <c r="N1605" s="227"/>
      <c r="O1605" s="227" t="s">
        <v>359</v>
      </c>
      <c r="P1605" s="122"/>
      <c r="Q1605" s="228"/>
      <c r="R1605" s="231">
        <f t="shared" si="1033"/>
        <v>253.34999999999854</v>
      </c>
      <c r="S1605" s="230">
        <f t="shared" si="1022"/>
        <v>253.34999999999854</v>
      </c>
      <c r="T1605" s="231">
        <f>IF(OR(Q1605="Y",IFERROR(R1605&gt;R1609+R1613*$AA$35,0),IFERROR(R1605&lt;R1609-R1613*$AA$35,0)),"",IFERROR(R1605*N1605,""))</f>
        <v>0</v>
      </c>
      <c r="U1605" s="232" t="str">
        <f t="shared" si="1023"/>
        <v>kg milk/cow/year</v>
      </c>
      <c r="V1605" s="28"/>
      <c r="W1605" s="28"/>
      <c r="Y1605" s="91"/>
      <c r="AO1605" s="91"/>
      <c r="AP1605" s="28"/>
      <c r="AQ1605" s="28"/>
      <c r="AR1605" s="237"/>
      <c r="AS1605" s="28"/>
      <c r="AT1605" s="304" t="str">
        <f t="shared" si="1034"/>
        <v/>
      </c>
      <c r="AU1605" s="304" t="str">
        <f t="shared" si="1034"/>
        <v/>
      </c>
      <c r="AV1605" s="28"/>
      <c r="AW1605" s="304">
        <f t="shared" si="1024"/>
        <v>253.34999999999854</v>
      </c>
      <c r="AX1605" s="304">
        <f t="shared" si="1024"/>
        <v>253.34999999999854</v>
      </c>
      <c r="AY1605" s="28"/>
      <c r="AZ1605" s="304" t="str">
        <f t="shared" si="1025"/>
        <v/>
      </c>
      <c r="BA1605" s="304" t="str">
        <f t="shared" si="1025"/>
        <v/>
      </c>
      <c r="BB1605" s="28"/>
      <c r="BC1605" s="304" t="str">
        <f t="shared" si="1026"/>
        <v/>
      </c>
      <c r="BD1605" s="304" t="str">
        <f t="shared" si="1026"/>
        <v/>
      </c>
      <c r="BE1605" s="28"/>
      <c r="BF1605" s="304" t="str">
        <f t="shared" si="1027"/>
        <v/>
      </c>
      <c r="BG1605" s="304" t="str">
        <f t="shared" si="1027"/>
        <v/>
      </c>
      <c r="BH1605" s="28"/>
      <c r="BI1605" s="304" t="str">
        <f t="shared" si="1028"/>
        <v/>
      </c>
      <c r="BJ1605" s="304" t="str">
        <f t="shared" si="1028"/>
        <v/>
      </c>
      <c r="BK1605" s="28"/>
      <c r="BL1605" s="304" t="str">
        <f t="shared" si="1029"/>
        <v/>
      </c>
      <c r="BM1605" s="304" t="str">
        <f t="shared" si="1029"/>
        <v/>
      </c>
      <c r="BN1605" s="28"/>
      <c r="BO1605" s="304" t="str">
        <f t="shared" si="1030"/>
        <v/>
      </c>
      <c r="BP1605" s="304" t="str">
        <f t="shared" si="1030"/>
        <v/>
      </c>
      <c r="BQ1605" s="28"/>
      <c r="BR1605" s="304" t="str">
        <f t="shared" si="1031"/>
        <v/>
      </c>
      <c r="BS1605" s="304" t="str">
        <f t="shared" si="1031"/>
        <v/>
      </c>
      <c r="BT1605" s="28"/>
      <c r="BU1605" s="304" t="str">
        <f t="shared" si="1032"/>
        <v/>
      </c>
      <c r="BV1605" s="304" t="str">
        <f t="shared" si="1032"/>
        <v/>
      </c>
      <c r="BW1605" s="28"/>
      <c r="BX1605" s="91"/>
    </row>
    <row r="1606" spans="1:76" s="55" customFormat="1" x14ac:dyDescent="0.25">
      <c r="A1606" s="195">
        <v>18</v>
      </c>
      <c r="B1606" s="216" t="str">
        <f t="shared" si="1020"/>
        <v>OECD90: Veltman et al. 2018, A quantitative assessment of Beneficial Management Practices to reduce carbon and reactive nitrogen footprints and phosphorus losses on dairy farms in the US Great Lakes region</v>
      </c>
      <c r="C1606" s="219" t="s">
        <v>345</v>
      </c>
      <c r="D1606" s="352" t="s">
        <v>346</v>
      </c>
      <c r="E1606" s="219" t="s">
        <v>96</v>
      </c>
      <c r="F1606" s="352" t="s">
        <v>354</v>
      </c>
      <c r="G1606" s="220" t="s">
        <v>24</v>
      </c>
      <c r="H1606" s="221">
        <v>2018</v>
      </c>
      <c r="I1606" s="240"/>
      <c r="J1606" s="399">
        <f>10134*(1.122)</f>
        <v>11370.348000000002</v>
      </c>
      <c r="K1606" s="382" t="s">
        <v>325</v>
      </c>
      <c r="L1606" s="363">
        <f>J1606-J1561</f>
        <v>1236.3480000000018</v>
      </c>
      <c r="M1606" s="217" t="s">
        <v>325</v>
      </c>
      <c r="N1606" s="227"/>
      <c r="O1606" s="227" t="s">
        <v>360</v>
      </c>
      <c r="P1606" s="122"/>
      <c r="Q1606" s="228"/>
      <c r="R1606" s="231">
        <f t="shared" si="1033"/>
        <v>1236.3480000000018</v>
      </c>
      <c r="S1606" s="230">
        <f t="shared" si="1022"/>
        <v>1236.3480000000018</v>
      </c>
      <c r="T1606" s="231">
        <f>IF(OR(Q1606="Y",IFERROR(R1606&gt;R1609+R1613*$AA$35,0),IFERROR(R1606&lt;R1609-R1613*$AA$35,0)),"",IFERROR(R1606*N1606,""))</f>
        <v>0</v>
      </c>
      <c r="U1606" s="232" t="str">
        <f t="shared" si="1023"/>
        <v>kg milk/cow/year</v>
      </c>
      <c r="V1606" s="28"/>
      <c r="W1606" s="28"/>
      <c r="Y1606" s="91"/>
      <c r="AO1606" s="91"/>
      <c r="AP1606" s="28"/>
      <c r="AQ1606" s="28"/>
      <c r="AR1606" s="237"/>
      <c r="AS1606" s="28"/>
      <c r="AT1606" s="304" t="str">
        <f t="shared" si="1034"/>
        <v/>
      </c>
      <c r="AU1606" s="304" t="str">
        <f t="shared" si="1034"/>
        <v/>
      </c>
      <c r="AV1606" s="28"/>
      <c r="AW1606" s="304">
        <f t="shared" si="1024"/>
        <v>1236.3480000000018</v>
      </c>
      <c r="AX1606" s="304">
        <f t="shared" si="1024"/>
        <v>1236.3480000000018</v>
      </c>
      <c r="AY1606" s="28"/>
      <c r="AZ1606" s="304" t="str">
        <f t="shared" si="1025"/>
        <v/>
      </c>
      <c r="BA1606" s="304" t="str">
        <f t="shared" si="1025"/>
        <v/>
      </c>
      <c r="BB1606" s="28"/>
      <c r="BC1606" s="304" t="str">
        <f t="shared" si="1026"/>
        <v/>
      </c>
      <c r="BD1606" s="304" t="str">
        <f t="shared" si="1026"/>
        <v/>
      </c>
      <c r="BE1606" s="28"/>
      <c r="BF1606" s="304" t="str">
        <f t="shared" si="1027"/>
        <v/>
      </c>
      <c r="BG1606" s="304" t="str">
        <f t="shared" si="1027"/>
        <v/>
      </c>
      <c r="BH1606" s="28"/>
      <c r="BI1606" s="304" t="str">
        <f t="shared" si="1028"/>
        <v/>
      </c>
      <c r="BJ1606" s="304" t="str">
        <f t="shared" si="1028"/>
        <v/>
      </c>
      <c r="BK1606" s="28"/>
      <c r="BL1606" s="304" t="str">
        <f t="shared" si="1029"/>
        <v/>
      </c>
      <c r="BM1606" s="304" t="str">
        <f t="shared" si="1029"/>
        <v/>
      </c>
      <c r="BN1606" s="28"/>
      <c r="BO1606" s="304" t="str">
        <f t="shared" si="1030"/>
        <v/>
      </c>
      <c r="BP1606" s="304" t="str">
        <f t="shared" si="1030"/>
        <v/>
      </c>
      <c r="BQ1606" s="28"/>
      <c r="BR1606" s="304" t="str">
        <f t="shared" si="1031"/>
        <v/>
      </c>
      <c r="BS1606" s="304" t="str">
        <f t="shared" si="1031"/>
        <v/>
      </c>
      <c r="BT1606" s="28"/>
      <c r="BU1606" s="304" t="str">
        <f t="shared" si="1032"/>
        <v/>
      </c>
      <c r="BV1606" s="304" t="str">
        <f t="shared" si="1032"/>
        <v/>
      </c>
      <c r="BW1606" s="28"/>
      <c r="BX1606" s="91"/>
    </row>
    <row r="1607" spans="1:76" s="55" customFormat="1" x14ac:dyDescent="0.25">
      <c r="A1607" s="195">
        <v>19</v>
      </c>
      <c r="B1607" s="216" t="str">
        <f t="shared" si="1020"/>
        <v xml:space="preserve">: </v>
      </c>
      <c r="C1607" s="221"/>
      <c r="D1607" s="221"/>
      <c r="E1607" s="221"/>
      <c r="F1607" s="221"/>
      <c r="G1607" s="240"/>
      <c r="H1607" s="221"/>
      <c r="I1607" s="240"/>
      <c r="J1607" s="241"/>
      <c r="K1607" s="241"/>
      <c r="L1607" s="227"/>
      <c r="M1607" s="227"/>
      <c r="N1607" s="227"/>
      <c r="O1607" s="227"/>
      <c r="P1607" s="122"/>
      <c r="Q1607" s="228"/>
      <c r="R1607" s="231" t="str">
        <f t="shared" si="1033"/>
        <v/>
      </c>
      <c r="S1607" s="230" t="str">
        <f t="shared" si="1022"/>
        <v/>
      </c>
      <c r="T1607" s="231" t="str">
        <f>IF(OR(Q1607="Y",IFERROR(R1607&gt;R1609+R1613*$AA$35,0),IFERROR(R1607&lt;R1609-R1613*$AA$35,0)),"",IFERROR(R1607*N1607,""))</f>
        <v/>
      </c>
      <c r="U1607" s="232" t="str">
        <f t="shared" si="1023"/>
        <v/>
      </c>
      <c r="V1607" s="28"/>
      <c r="W1607" s="28"/>
      <c r="Y1607" s="91"/>
      <c r="AO1607" s="91"/>
      <c r="AP1607" s="28"/>
      <c r="AQ1607" s="28"/>
      <c r="AR1607" s="237"/>
      <c r="AS1607" s="28"/>
      <c r="AT1607" s="304" t="str">
        <f t="shared" si="1034"/>
        <v/>
      </c>
      <c r="AU1607" s="304" t="str">
        <f t="shared" si="1034"/>
        <v/>
      </c>
      <c r="AV1607" s="28"/>
      <c r="AW1607" s="304" t="str">
        <f t="shared" si="1024"/>
        <v/>
      </c>
      <c r="AX1607" s="304" t="str">
        <f t="shared" si="1024"/>
        <v/>
      </c>
      <c r="AY1607" s="28"/>
      <c r="AZ1607" s="304" t="str">
        <f t="shared" si="1025"/>
        <v/>
      </c>
      <c r="BA1607" s="304" t="str">
        <f t="shared" si="1025"/>
        <v/>
      </c>
      <c r="BB1607" s="28"/>
      <c r="BC1607" s="304" t="str">
        <f t="shared" si="1026"/>
        <v/>
      </c>
      <c r="BD1607" s="304" t="str">
        <f t="shared" si="1026"/>
        <v/>
      </c>
      <c r="BE1607" s="28"/>
      <c r="BF1607" s="304" t="str">
        <f t="shared" si="1027"/>
        <v/>
      </c>
      <c r="BG1607" s="304" t="str">
        <f t="shared" si="1027"/>
        <v/>
      </c>
      <c r="BH1607" s="28"/>
      <c r="BI1607" s="304" t="str">
        <f t="shared" si="1028"/>
        <v/>
      </c>
      <c r="BJ1607" s="304" t="str">
        <f t="shared" si="1028"/>
        <v/>
      </c>
      <c r="BK1607" s="28"/>
      <c r="BL1607" s="304" t="str">
        <f t="shared" si="1029"/>
        <v/>
      </c>
      <c r="BM1607" s="304" t="str">
        <f t="shared" si="1029"/>
        <v/>
      </c>
      <c r="BN1607" s="28"/>
      <c r="BO1607" s="304" t="str">
        <f t="shared" si="1030"/>
        <v/>
      </c>
      <c r="BP1607" s="304" t="str">
        <f t="shared" si="1030"/>
        <v/>
      </c>
      <c r="BQ1607" s="28"/>
      <c r="BR1607" s="304" t="str">
        <f t="shared" si="1031"/>
        <v/>
      </c>
      <c r="BS1607" s="304" t="str">
        <f t="shared" si="1031"/>
        <v/>
      </c>
      <c r="BT1607" s="28"/>
      <c r="BU1607" s="304" t="str">
        <f t="shared" si="1032"/>
        <v/>
      </c>
      <c r="BV1607" s="304" t="str">
        <f t="shared" si="1032"/>
        <v/>
      </c>
      <c r="BW1607" s="28"/>
      <c r="BX1607" s="91"/>
    </row>
    <row r="1608" spans="1:76" s="55" customFormat="1" x14ac:dyDescent="0.25">
      <c r="A1608" s="195">
        <v>20</v>
      </c>
      <c r="B1608" s="216" t="str">
        <f t="shared" si="1020"/>
        <v xml:space="preserve">: </v>
      </c>
      <c r="C1608" s="221"/>
      <c r="D1608" s="221"/>
      <c r="E1608" s="221"/>
      <c r="F1608" s="221"/>
      <c r="G1608" s="240"/>
      <c r="H1608" s="221"/>
      <c r="I1608" s="240"/>
      <c r="J1608" s="241"/>
      <c r="K1608" s="241"/>
      <c r="L1608" s="227"/>
      <c r="M1608" s="227"/>
      <c r="N1608" s="227"/>
      <c r="O1608" s="227"/>
      <c r="P1608" s="122"/>
      <c r="Q1608" s="228"/>
      <c r="R1608" s="231" t="str">
        <f t="shared" si="1033"/>
        <v/>
      </c>
      <c r="S1608" s="230" t="str">
        <f t="shared" si="1022"/>
        <v/>
      </c>
      <c r="T1608" s="231" t="str">
        <f>IF(OR(Q1608="Y",IFERROR(R1608&gt;R1609+R1613*$AA$35,0),IFERROR(R1608&lt;R1609-R1613*$AA$35,0)),"",IFERROR(R1608*N1608,""))</f>
        <v/>
      </c>
      <c r="U1608" s="232" t="str">
        <f t="shared" si="1023"/>
        <v/>
      </c>
      <c r="V1608" s="28"/>
      <c r="W1608" s="28"/>
      <c r="Y1608" s="91"/>
      <c r="AO1608" s="91"/>
      <c r="AP1608" s="28"/>
      <c r="AQ1608" s="28"/>
      <c r="AR1608" s="237"/>
      <c r="AS1608" s="28"/>
      <c r="AT1608" s="304" t="str">
        <f t="shared" si="1034"/>
        <v/>
      </c>
      <c r="AU1608" s="304" t="str">
        <f t="shared" si="1034"/>
        <v/>
      </c>
      <c r="AV1608" s="28"/>
      <c r="AW1608" s="304" t="str">
        <f t="shared" si="1024"/>
        <v/>
      </c>
      <c r="AX1608" s="304" t="str">
        <f t="shared" si="1024"/>
        <v/>
      </c>
      <c r="AY1608" s="28"/>
      <c r="AZ1608" s="304" t="str">
        <f t="shared" si="1025"/>
        <v/>
      </c>
      <c r="BA1608" s="304" t="str">
        <f t="shared" si="1025"/>
        <v/>
      </c>
      <c r="BB1608" s="28"/>
      <c r="BC1608" s="304" t="str">
        <f t="shared" si="1026"/>
        <v/>
      </c>
      <c r="BD1608" s="304" t="str">
        <f t="shared" si="1026"/>
        <v/>
      </c>
      <c r="BE1608" s="28"/>
      <c r="BF1608" s="304" t="str">
        <f t="shared" si="1027"/>
        <v/>
      </c>
      <c r="BG1608" s="304" t="str">
        <f t="shared" si="1027"/>
        <v/>
      </c>
      <c r="BH1608" s="28"/>
      <c r="BI1608" s="304" t="str">
        <f t="shared" si="1028"/>
        <v/>
      </c>
      <c r="BJ1608" s="304" t="str">
        <f t="shared" si="1028"/>
        <v/>
      </c>
      <c r="BK1608" s="28"/>
      <c r="BL1608" s="304" t="str">
        <f t="shared" si="1029"/>
        <v/>
      </c>
      <c r="BM1608" s="304" t="str">
        <f t="shared" si="1029"/>
        <v/>
      </c>
      <c r="BN1608" s="28"/>
      <c r="BO1608" s="304" t="str">
        <f t="shared" si="1030"/>
        <v/>
      </c>
      <c r="BP1608" s="304" t="str">
        <f t="shared" si="1030"/>
        <v/>
      </c>
      <c r="BQ1608" s="28"/>
      <c r="BR1608" s="304" t="str">
        <f t="shared" si="1031"/>
        <v/>
      </c>
      <c r="BS1608" s="304" t="str">
        <f t="shared" si="1031"/>
        <v/>
      </c>
      <c r="BT1608" s="28"/>
      <c r="BU1608" s="304" t="str">
        <f t="shared" si="1032"/>
        <v/>
      </c>
      <c r="BV1608" s="304" t="str">
        <f t="shared" si="1032"/>
        <v/>
      </c>
      <c r="BW1608" s="28"/>
      <c r="BX1608" s="91"/>
    </row>
    <row r="1609" spans="1:76" s="55" customFormat="1" x14ac:dyDescent="0.25">
      <c r="A1609" s="195"/>
      <c r="B1609" s="244" t="s">
        <v>163</v>
      </c>
      <c r="C1609" s="199"/>
      <c r="D1609" s="199"/>
      <c r="E1609" s="199"/>
      <c r="F1609" s="199"/>
      <c r="H1609" s="28"/>
      <c r="I1609" s="245"/>
      <c r="J1609" s="122"/>
      <c r="K1609" s="122"/>
      <c r="L1609" s="122" t="s">
        <v>134</v>
      </c>
      <c r="M1609" s="122"/>
      <c r="N1609" s="122"/>
      <c r="O1609" s="122"/>
      <c r="P1609" s="122"/>
      <c r="Q1609" s="305" t="s">
        <v>136</v>
      </c>
      <c r="R1609" s="246">
        <f>AVERAGE(R1589:R1608)</f>
        <v>416.97983333333309</v>
      </c>
      <c r="S1609" s="247">
        <f>IF(R1617="Y",SUM(S1589:S1608)/SUMPRODUCT(N1589:N1608,--ISNUMBER(S1589:S1608)),AVERAGE(S1589:S1608))</f>
        <v>416.97983333333309</v>
      </c>
      <c r="T1609" s="248" t="e">
        <f>SUM(T1589:T1608)/SUMPRODUCT(N1589:N1608,--ISNUMBER(T1589:T1608))</f>
        <v>#DIV/0!</v>
      </c>
      <c r="U1609" s="28"/>
      <c r="V1609" s="28"/>
      <c r="W1609" s="28"/>
      <c r="Y1609" s="249"/>
      <c r="AO1609" s="91"/>
      <c r="AP1609" s="28"/>
      <c r="AQ1609" s="28"/>
      <c r="AR1609" s="28"/>
      <c r="AS1609" s="245" t="s">
        <v>136</v>
      </c>
      <c r="AT1609" s="307" t="e">
        <f>AVERAGE(AT1589:AT1608)</f>
        <v>#DIV/0!</v>
      </c>
      <c r="AU1609" s="307" t="e">
        <f>SUM(AU1589:AU1608)/COUNTIF(AU1589:AU1608,"&gt;0")</f>
        <v>#DIV/0!</v>
      </c>
      <c r="AV1609" s="245"/>
      <c r="AW1609" s="307">
        <f>AVERAGE(AW1589:AW1608)</f>
        <v>416.97983333333309</v>
      </c>
      <c r="AX1609" s="307">
        <f>SUM(AX1589:AX1608)/COUNTIF(AX1589:AX1608,"&gt;0")</f>
        <v>536.11692857142828</v>
      </c>
      <c r="AY1609" s="28"/>
      <c r="AZ1609" s="307" t="e">
        <f>AVERAGE(AZ1589:AZ1608)</f>
        <v>#DIV/0!</v>
      </c>
      <c r="BA1609" s="307" t="e">
        <f>SUM(BA1589:BA1608)/COUNTIF(BA1589:BA1608,"&gt;0")</f>
        <v>#DIV/0!</v>
      </c>
      <c r="BB1609" s="28"/>
      <c r="BC1609" s="307" t="e">
        <f>AVERAGE(BC1589:BC1608)</f>
        <v>#DIV/0!</v>
      </c>
      <c r="BD1609" s="307" t="e">
        <f>SUM(BD1589:BD1608)/COUNTIF(BD1589:BD1608,"&gt;0")</f>
        <v>#DIV/0!</v>
      </c>
      <c r="BE1609" s="28"/>
      <c r="BF1609" s="307" t="e">
        <f>AVERAGE(BF1589:BF1608)</f>
        <v>#DIV/0!</v>
      </c>
      <c r="BG1609" s="307" t="e">
        <f>SUM(BG1589:BG1608)/COUNTIF(BG1589:BG1608,"&gt;0")</f>
        <v>#DIV/0!</v>
      </c>
      <c r="BH1609" s="28"/>
      <c r="BI1609" s="307" t="e">
        <f>AVERAGE(BI1589:BI1608)</f>
        <v>#DIV/0!</v>
      </c>
      <c r="BJ1609" s="307" t="e">
        <f>SUM(BJ1589:BJ1608)/COUNTIF(BJ1589:BJ1608,"&gt;0")</f>
        <v>#DIV/0!</v>
      </c>
      <c r="BK1609" s="245"/>
      <c r="BL1609" s="307" t="e">
        <f>AVERAGE(BL1589:BL1608)</f>
        <v>#DIV/0!</v>
      </c>
      <c r="BM1609" s="307" t="e">
        <f>SUM(BM1589:BM1608)/COUNTIF(BM1589:BM1608,"&gt;0")</f>
        <v>#DIV/0!</v>
      </c>
      <c r="BN1609" s="28"/>
      <c r="BO1609" s="307" t="e">
        <f>AVERAGE(BO1589:BO1608)</f>
        <v>#DIV/0!</v>
      </c>
      <c r="BP1609" s="307" t="e">
        <f>SUM(BP1589:BP1608)/COUNTIF(BP1589:BP1608,"&gt;0")</f>
        <v>#DIV/0!</v>
      </c>
      <c r="BQ1609" s="28"/>
      <c r="BR1609" s="307" t="e">
        <f>AVERAGE(BR1589:BR1608)</f>
        <v>#DIV/0!</v>
      </c>
      <c r="BS1609" s="307" t="e">
        <f>SUM(BS1589:BS1608)/COUNTIF(BS1589:BS1608,"&gt;0")</f>
        <v>#DIV/0!</v>
      </c>
      <c r="BT1609" s="28"/>
      <c r="BU1609" s="307" t="e">
        <f>AVERAGE(BU1589:BU1608)</f>
        <v>#DIV/0!</v>
      </c>
      <c r="BV1609" s="307" t="e">
        <f>SUM(BV1589:BV1608)/COUNTIF(BV1589:BV1608,"&gt;0")</f>
        <v>#DIV/0!</v>
      </c>
      <c r="BW1609" s="28"/>
      <c r="BX1609" s="91"/>
    </row>
    <row r="1610" spans="1:76" s="55" customFormat="1" x14ac:dyDescent="0.25">
      <c r="A1610" s="195"/>
      <c r="B1610" s="244" t="s">
        <v>164</v>
      </c>
      <c r="C1610" s="199" t="s">
        <v>139</v>
      </c>
      <c r="D1610" s="252"/>
      <c r="E1610" s="253"/>
      <c r="F1610" s="253"/>
      <c r="G1610" s="253"/>
      <c r="H1610" s="253"/>
      <c r="I1610" s="253"/>
      <c r="J1610" s="254"/>
      <c r="K1610" s="122"/>
      <c r="L1610" s="122"/>
      <c r="M1610" s="122"/>
      <c r="N1610" s="122"/>
      <c r="O1610" s="122"/>
      <c r="P1610" s="122"/>
      <c r="Q1610" s="306" t="s">
        <v>144</v>
      </c>
      <c r="R1610" s="257">
        <f>R1609+U1610*R1613</f>
        <v>809.58383594384441</v>
      </c>
      <c r="S1610" s="257">
        <f>S1609+U1610*S1613</f>
        <v>809.58383594384441</v>
      </c>
      <c r="T1610" s="257" t="e">
        <f>T1609+U1610*T1613</f>
        <v>#DIV/0!</v>
      </c>
      <c r="U1610" s="258">
        <v>1</v>
      </c>
      <c r="V1610" s="122" t="s">
        <v>142</v>
      </c>
      <c r="W1610" s="28"/>
      <c r="X1610" s="259" t="s">
        <v>143</v>
      </c>
      <c r="Y1610" s="260"/>
      <c r="AO1610" s="91"/>
      <c r="AP1610" s="28"/>
      <c r="AQ1610" s="28"/>
      <c r="AR1610" s="28"/>
      <c r="AS1610" s="256" t="s">
        <v>144</v>
      </c>
      <c r="AT1610" s="261" t="e">
        <f>AT1609+(AT1615*AT1612)</f>
        <v>#DIV/0!</v>
      </c>
      <c r="AU1610" s="261" t="e">
        <f>AU1609+(AU1615*AT1612)</f>
        <v>#DIV/0!</v>
      </c>
      <c r="AV1610" s="256"/>
      <c r="AW1610" s="261">
        <f>AW1609+(AW1615*AW1612)</f>
        <v>809.58383594384441</v>
      </c>
      <c r="AX1610" s="261">
        <f>AX1609+(AX1615*AW1612)</f>
        <v>928.72093118193948</v>
      </c>
      <c r="AY1610" s="28"/>
      <c r="AZ1610" s="261" t="e">
        <f>AZ1609+(AZ1615*AZ1612)</f>
        <v>#DIV/0!</v>
      </c>
      <c r="BA1610" s="261" t="e">
        <f>BA1609+(BA1615*AZ1612)</f>
        <v>#DIV/0!</v>
      </c>
      <c r="BB1610" s="28"/>
      <c r="BC1610" s="261" t="e">
        <f>BC1609+(BC1615*BC1612)</f>
        <v>#DIV/0!</v>
      </c>
      <c r="BD1610" s="261" t="e">
        <f>BD1609+(BD1615*BC1612)</f>
        <v>#DIV/0!</v>
      </c>
      <c r="BE1610" s="28"/>
      <c r="BF1610" s="261" t="e">
        <f>BF1609+(BF1615*BF1612)</f>
        <v>#DIV/0!</v>
      </c>
      <c r="BG1610" s="261" t="e">
        <f>BG1609+(BG1615*BF1612)</f>
        <v>#DIV/0!</v>
      </c>
      <c r="BH1610" s="28"/>
      <c r="BI1610" s="261" t="e">
        <f>BI1609+(BI1615*BI1612)</f>
        <v>#DIV/0!</v>
      </c>
      <c r="BJ1610" s="261" t="e">
        <f>BJ1609+(BJ1615*BI1612)</f>
        <v>#DIV/0!</v>
      </c>
      <c r="BK1610" s="256"/>
      <c r="BL1610" s="261" t="e">
        <f>BL1609+(BL1615*BL1612)</f>
        <v>#DIV/0!</v>
      </c>
      <c r="BM1610" s="261" t="e">
        <f>BM1609+(BM1615*BL1612)</f>
        <v>#DIV/0!</v>
      </c>
      <c r="BN1610" s="28"/>
      <c r="BO1610" s="261" t="e">
        <f>BO1609+(BO1615*BO1612)</f>
        <v>#DIV/0!</v>
      </c>
      <c r="BP1610" s="261" t="e">
        <f>BP1609+(BP1615*BO1612)</f>
        <v>#DIV/0!</v>
      </c>
      <c r="BQ1610" s="28"/>
      <c r="BR1610" s="261" t="e">
        <f>BR1609+(BR1615*BR1612)</f>
        <v>#DIV/0!</v>
      </c>
      <c r="BS1610" s="261" t="e">
        <f>BS1609+(BS1615*BR1612)</f>
        <v>#DIV/0!</v>
      </c>
      <c r="BT1610" s="28"/>
      <c r="BU1610" s="261" t="e">
        <f>BU1609+(BU1615*BU1612)</f>
        <v>#DIV/0!</v>
      </c>
      <c r="BV1610" s="261" t="e">
        <f>BV1609+(BV1615*BU1612)</f>
        <v>#DIV/0!</v>
      </c>
      <c r="BW1610" s="28"/>
      <c r="BX1610" s="91"/>
    </row>
    <row r="1611" spans="1:76" s="55" customFormat="1" x14ac:dyDescent="0.25">
      <c r="A1611" s="195"/>
      <c r="B1611" s="244" t="s">
        <v>165</v>
      </c>
      <c r="C1611" s="195"/>
      <c r="D1611" s="263"/>
      <c r="E1611" s="264"/>
      <c r="F1611" s="264"/>
      <c r="G1611" s="264"/>
      <c r="H1611" s="264"/>
      <c r="I1611" s="264"/>
      <c r="J1611" s="265"/>
      <c r="K1611" s="28"/>
      <c r="L1611" s="28"/>
      <c r="M1611" s="122"/>
      <c r="N1611" s="122"/>
      <c r="O1611" s="122"/>
      <c r="P1611" s="122"/>
      <c r="Q1611" s="306" t="s">
        <v>150</v>
      </c>
      <c r="R1611" s="257">
        <f>IF($X1611="Y",MIN(R1589:R1608),R1609-$U1611*R1613)</f>
        <v>24.375830722821831</v>
      </c>
      <c r="S1611" s="257">
        <f>IF($X1611="Y",MIN(S1589:S1608),S1609-$U1611*S1613)</f>
        <v>24.375830722821831</v>
      </c>
      <c r="T1611" s="257" t="e">
        <f>IF($X1611="Y",MIN(T1589:T1608),T1609-$U1611*T1613)</f>
        <v>#DIV/0!</v>
      </c>
      <c r="U1611" s="258">
        <v>1</v>
      </c>
      <c r="V1611" s="122" t="s">
        <v>148</v>
      </c>
      <c r="W1611" s="28"/>
      <c r="X1611" s="266" t="s">
        <v>149</v>
      </c>
      <c r="Y1611" s="260"/>
      <c r="AO1611" s="91"/>
      <c r="AP1611" s="28"/>
      <c r="AQ1611" s="28"/>
      <c r="AR1611" s="28"/>
      <c r="AS1611" s="256" t="s">
        <v>150</v>
      </c>
      <c r="AT1611" s="261" t="e">
        <f>AT1609-(AT1615*AT1613)</f>
        <v>#DIV/0!</v>
      </c>
      <c r="AU1611" s="261" t="e">
        <f>AU1609-(AU1615*AT1613)</f>
        <v>#DIV/0!</v>
      </c>
      <c r="AV1611" s="256"/>
      <c r="AW1611" s="261">
        <f>AW1609-(AW1615*AW1613)</f>
        <v>24.375830722821831</v>
      </c>
      <c r="AX1611" s="261">
        <f>AX1609-(AX1615*AW1613)</f>
        <v>143.51292596091702</v>
      </c>
      <c r="AY1611" s="28"/>
      <c r="AZ1611" s="261" t="e">
        <f>AZ1609-(AZ1615*AZ1613)</f>
        <v>#DIV/0!</v>
      </c>
      <c r="BA1611" s="261" t="e">
        <f>BA1609-(BA1615*AZ1613)</f>
        <v>#DIV/0!</v>
      </c>
      <c r="BB1611" s="28"/>
      <c r="BC1611" s="261" t="e">
        <f>BC1609-(BC1615*BC1613)</f>
        <v>#DIV/0!</v>
      </c>
      <c r="BD1611" s="261" t="e">
        <f>BD1609-(BD1615*BC1613)</f>
        <v>#DIV/0!</v>
      </c>
      <c r="BE1611" s="28"/>
      <c r="BF1611" s="261" t="e">
        <f>BF1609-(BF1615*BF1613)</f>
        <v>#DIV/0!</v>
      </c>
      <c r="BG1611" s="261" t="e">
        <f>BG1609-(BG1615*BF1613)</f>
        <v>#DIV/0!</v>
      </c>
      <c r="BH1611" s="28"/>
      <c r="BI1611" s="261" t="e">
        <f>BI1609-(BI1615*BI1613)</f>
        <v>#DIV/0!</v>
      </c>
      <c r="BJ1611" s="261" t="e">
        <f>BJ1609-(BJ1615*BI1613)</f>
        <v>#DIV/0!</v>
      </c>
      <c r="BK1611" s="256"/>
      <c r="BL1611" s="261" t="e">
        <f>BL1609-(BL1615*BL1613)</f>
        <v>#DIV/0!</v>
      </c>
      <c r="BM1611" s="261" t="e">
        <f>BM1609-(BM1615*BL1613)</f>
        <v>#DIV/0!</v>
      </c>
      <c r="BN1611" s="28"/>
      <c r="BO1611" s="261" t="e">
        <f>BO1609-(BO1615*BO1613)</f>
        <v>#DIV/0!</v>
      </c>
      <c r="BP1611" s="261" t="e">
        <f>BP1609-(BP1615*BO1613)</f>
        <v>#DIV/0!</v>
      </c>
      <c r="BQ1611" s="28"/>
      <c r="BR1611" s="261" t="e">
        <f>BR1609-(BR1615*BR1613)</f>
        <v>#DIV/0!</v>
      </c>
      <c r="BS1611" s="261" t="e">
        <f>BS1609-(BS1615*BR1613)</f>
        <v>#DIV/0!</v>
      </c>
      <c r="BT1611" s="28"/>
      <c r="BU1611" s="261" t="e">
        <f>BU1609-(BU1615*BU1613)</f>
        <v>#DIV/0!</v>
      </c>
      <c r="BV1611" s="261" t="e">
        <f>BV1609-(BV1615*BU1613)</f>
        <v>#DIV/0!</v>
      </c>
      <c r="BW1611" s="28"/>
      <c r="BX1611" s="91"/>
    </row>
    <row r="1612" spans="1:76" s="55" customFormat="1" ht="14.25" x14ac:dyDescent="0.2">
      <c r="A1612" s="195"/>
      <c r="B1612" s="196"/>
      <c r="C1612" s="195"/>
      <c r="D1612" s="263"/>
      <c r="E1612" s="264"/>
      <c r="F1612" s="264"/>
      <c r="G1612" s="264"/>
      <c r="H1612" s="264"/>
      <c r="I1612" s="264"/>
      <c r="J1612" s="265"/>
      <c r="K1612" s="122"/>
      <c r="L1612" s="122"/>
      <c r="M1612" s="122"/>
      <c r="N1612" s="122"/>
      <c r="O1612" s="122"/>
      <c r="P1612" s="122"/>
      <c r="Q1612" s="306" t="s">
        <v>151</v>
      </c>
      <c r="R1612" s="257" t="str">
        <f>IF((0.67*R1613)&gt;R1609,"no","yes")</f>
        <v>yes</v>
      </c>
      <c r="S1612" s="257" t="str">
        <f>IF((0.67*S1613)&gt;S1609,"no","yes")</f>
        <v>yes</v>
      </c>
      <c r="T1612" s="257" t="e">
        <f>IF((0.67*T1613)&gt;T1609,"no","yes")</f>
        <v>#DIV/0!</v>
      </c>
      <c r="U1612" s="122"/>
      <c r="V1612" s="122"/>
      <c r="W1612" s="122"/>
      <c r="Y1612" s="260"/>
      <c r="AO1612" s="91"/>
      <c r="AP1612" s="122"/>
      <c r="AQ1612" s="122"/>
      <c r="AR1612" s="267" t="s">
        <v>152</v>
      </c>
      <c r="AS1612" s="268"/>
      <c r="AT1612" s="258">
        <v>1</v>
      </c>
      <c r="AU1612" s="122"/>
      <c r="AV1612" s="308"/>
      <c r="AW1612" s="258">
        <v>1</v>
      </c>
      <c r="AX1612" s="122"/>
      <c r="AY1612" s="122"/>
      <c r="AZ1612" s="258">
        <v>1</v>
      </c>
      <c r="BA1612" s="122"/>
      <c r="BB1612" s="122"/>
      <c r="BC1612" s="258">
        <v>1</v>
      </c>
      <c r="BD1612" s="122"/>
      <c r="BE1612" s="122"/>
      <c r="BF1612" s="258">
        <v>1</v>
      </c>
      <c r="BG1612" s="122"/>
      <c r="BH1612" s="122"/>
      <c r="BI1612" s="258">
        <v>1</v>
      </c>
      <c r="BJ1612" s="122"/>
      <c r="BK1612" s="256"/>
      <c r="BL1612" s="258">
        <v>1</v>
      </c>
      <c r="BM1612" s="122"/>
      <c r="BN1612" s="122"/>
      <c r="BO1612" s="258">
        <v>1</v>
      </c>
      <c r="BP1612" s="122"/>
      <c r="BQ1612" s="122"/>
      <c r="BR1612" s="258">
        <v>1</v>
      </c>
      <c r="BS1612" s="122"/>
      <c r="BT1612" s="122"/>
      <c r="BU1612" s="258">
        <v>1</v>
      </c>
      <c r="BV1612" s="122"/>
      <c r="BW1612" s="122"/>
      <c r="BX1612" s="91"/>
    </row>
    <row r="1613" spans="1:76" s="55" customFormat="1" ht="28.5" x14ac:dyDescent="0.2">
      <c r="A1613" s="195"/>
      <c r="B1613" s="196"/>
      <c r="C1613" s="195"/>
      <c r="D1613" s="263"/>
      <c r="E1613" s="264"/>
      <c r="F1613" s="264"/>
      <c r="G1613" s="264"/>
      <c r="H1613" s="264"/>
      <c r="I1613" s="264"/>
      <c r="J1613" s="265"/>
      <c r="K1613" s="122"/>
      <c r="L1613" s="122"/>
      <c r="M1613" s="122"/>
      <c r="N1613" s="122"/>
      <c r="O1613" s="122"/>
      <c r="P1613" s="122"/>
      <c r="Q1613" s="306" t="s">
        <v>157</v>
      </c>
      <c r="R1613" s="257">
        <f>IF(COUNT(R1589:R1608)&gt;1,_xlfn.STDEV.S(R1589:R1608),0)</f>
        <v>392.60400261051126</v>
      </c>
      <c r="S1613" s="257">
        <f t="array" ref="S1613">IF(R1617="Y",SQRT(SUM(IFERROR(N1589:N1608*(R1589:R1608-(S1609))^2,0))/((COUNT(S1589:S1608)-1)/COUNT(S1589:S1608)*SUMPRODUCT(N1589:N1608,--ISNUMBER(S1589:S1608)))),_xlfn.STDEV.S(S1589:S1608))</f>
        <v>392.60400261051126</v>
      </c>
      <c r="T1613" s="257" t="e">
        <f t="array" ref="T1613">SQRT(SUM(IFERROR(N1589:N1608*(R1589:R1608-(T1609))^2,0))/((COUNT(T1589:T1608)-1)/COUNT(T1589:T1608)*SUMPRODUCT(N1589:N1608,--ISNUMBER(T1589:T1608))))</f>
        <v>#DIV/0!</v>
      </c>
      <c r="U1613" s="122"/>
      <c r="V1613" s="122"/>
      <c r="W1613" s="122"/>
      <c r="Y1613" s="260"/>
      <c r="AO1613" s="91"/>
      <c r="AP1613" s="122"/>
      <c r="AQ1613" s="122"/>
      <c r="AR1613" s="267"/>
      <c r="AS1613" s="268"/>
      <c r="AT1613" s="258">
        <v>1</v>
      </c>
      <c r="AU1613" s="122"/>
      <c r="AV1613" s="308"/>
      <c r="AW1613" s="258">
        <v>1</v>
      </c>
      <c r="AX1613" s="122"/>
      <c r="AY1613" s="122"/>
      <c r="AZ1613" s="258">
        <v>1</v>
      </c>
      <c r="BA1613" s="122"/>
      <c r="BB1613" s="122"/>
      <c r="BC1613" s="258">
        <v>1</v>
      </c>
      <c r="BD1613" s="122"/>
      <c r="BE1613" s="122"/>
      <c r="BF1613" s="258">
        <v>1</v>
      </c>
      <c r="BG1613" s="122"/>
      <c r="BH1613" s="122"/>
      <c r="BI1613" s="258">
        <v>1</v>
      </c>
      <c r="BJ1613" s="122"/>
      <c r="BK1613" s="256"/>
      <c r="BL1613" s="258">
        <v>1</v>
      </c>
      <c r="BM1613" s="122"/>
      <c r="BN1613" s="122"/>
      <c r="BO1613" s="258">
        <v>1</v>
      </c>
      <c r="BP1613" s="122"/>
      <c r="BQ1613" s="122"/>
      <c r="BR1613" s="258">
        <v>1</v>
      </c>
      <c r="BS1613" s="122"/>
      <c r="BT1613" s="122"/>
      <c r="BU1613" s="258">
        <v>1</v>
      </c>
      <c r="BV1613" s="122"/>
      <c r="BW1613" s="122"/>
      <c r="BX1613" s="91"/>
    </row>
    <row r="1614" spans="1:76" s="55" customFormat="1" ht="15" customHeight="1" x14ac:dyDescent="0.25">
      <c r="A1614" s="122"/>
      <c r="B1614" s="118"/>
      <c r="C1614" s="195"/>
      <c r="D1614" s="263"/>
      <c r="E1614" s="264"/>
      <c r="F1614" s="264"/>
      <c r="G1614" s="264"/>
      <c r="H1614" s="264"/>
      <c r="I1614" s="264"/>
      <c r="J1614" s="265"/>
      <c r="K1614" s="122"/>
      <c r="L1614" s="122"/>
      <c r="M1614" s="122"/>
      <c r="N1614" s="122"/>
      <c r="O1614" s="122"/>
      <c r="P1614" s="122"/>
      <c r="Q1614" s="309" t="s">
        <v>159</v>
      </c>
      <c r="R1614" s="310">
        <f>COUNT(R1589:R1608)</f>
        <v>18</v>
      </c>
      <c r="S1614" s="310">
        <f>COUNT(S1589:S1608)</f>
        <v>18</v>
      </c>
      <c r="T1614" s="118"/>
      <c r="U1614" s="273" t="s">
        <v>155</v>
      </c>
      <c r="V1614" s="122"/>
      <c r="W1614" s="122"/>
      <c r="Y1614" s="91"/>
      <c r="AO1614" s="91"/>
      <c r="AP1614" s="122"/>
      <c r="AQ1614" s="122"/>
      <c r="AR1614" s="122"/>
      <c r="AS1614" s="256" t="s">
        <v>151</v>
      </c>
      <c r="AT1614" s="261" t="e">
        <f>IF((0.67*AT1615)&gt;AT1609,"no","yes")</f>
        <v>#DIV/0!</v>
      </c>
      <c r="AU1614" s="261" t="e">
        <f>IF((0.67*AU1615)&gt;AU1609,"no","yes")</f>
        <v>#DIV/0!</v>
      </c>
      <c r="AV1614" s="256"/>
      <c r="AW1614" s="261" t="str">
        <f>IF((0.67*AW1615)&gt;AW1609,"no","yes")</f>
        <v>yes</v>
      </c>
      <c r="AX1614" s="261" t="str">
        <f>IF((0.67*AX1615)&gt;AX1609,"no","yes")</f>
        <v>yes</v>
      </c>
      <c r="AY1614" s="122"/>
      <c r="AZ1614" s="261" t="e">
        <f>IF((0.67*AZ1615)&gt;AZ1609,"no","yes")</f>
        <v>#DIV/0!</v>
      </c>
      <c r="BA1614" s="261" t="e">
        <f>IF((0.67*BA1615)&gt;BA1609,"no","yes")</f>
        <v>#DIV/0!</v>
      </c>
      <c r="BB1614" s="122"/>
      <c r="BC1614" s="261" t="e">
        <f>IF((0.67*BC1615)&gt;BC1609,"no","yes")</f>
        <v>#DIV/0!</v>
      </c>
      <c r="BD1614" s="261" t="e">
        <f>IF((0.67*BD1615)&gt;BD1609,"no","yes")</f>
        <v>#DIV/0!</v>
      </c>
      <c r="BE1614" s="122"/>
      <c r="BF1614" s="261" t="e">
        <f>IF((0.67*BF1615)&gt;BF1609,"no","yes")</f>
        <v>#DIV/0!</v>
      </c>
      <c r="BG1614" s="261" t="e">
        <f>IF((0.67*BG1615)&gt;BG1609,"no","yes")</f>
        <v>#DIV/0!</v>
      </c>
      <c r="BH1614" s="122"/>
      <c r="BI1614" s="261" t="e">
        <f>IF((0.67*BI1615)&gt;BI1609,"no","yes")</f>
        <v>#DIV/0!</v>
      </c>
      <c r="BJ1614" s="261" t="e">
        <f>IF((0.67*BJ1615)&gt;BJ1609,"no","yes")</f>
        <v>#DIV/0!</v>
      </c>
      <c r="BK1614" s="133"/>
      <c r="BL1614" s="261" t="e">
        <f>IF((0.67*BL1615)&gt;BL1609,"no","yes")</f>
        <v>#DIV/0!</v>
      </c>
      <c r="BM1614" s="261" t="e">
        <f>IF((0.67*BM1615)&gt;BM1609,"no","yes")</f>
        <v>#DIV/0!</v>
      </c>
      <c r="BN1614" s="122"/>
      <c r="BO1614" s="261" t="e">
        <f>IF((0.67*BO1615)&gt;BO1609,"no","yes")</f>
        <v>#DIV/0!</v>
      </c>
      <c r="BP1614" s="261" t="e">
        <f>IF((0.67*BP1615)&gt;BP1609,"no","yes")</f>
        <v>#DIV/0!</v>
      </c>
      <c r="BQ1614" s="122"/>
      <c r="BR1614" s="261" t="e">
        <f>IF((0.67*BR1615)&gt;BR1609,"no","yes")</f>
        <v>#DIV/0!</v>
      </c>
      <c r="BS1614" s="261" t="e">
        <f>IF((0.67*BS1615)&gt;BS1609,"no","yes")</f>
        <v>#DIV/0!</v>
      </c>
      <c r="BT1614" s="122"/>
      <c r="BU1614" s="261" t="e">
        <f>IF((0.67*BU1615)&gt;BU1609,"no","yes")</f>
        <v>#DIV/0!</v>
      </c>
      <c r="BV1614" s="261" t="e">
        <f>IF((0.67*BV1615)&gt;BV1609,"no","yes")</f>
        <v>#DIV/0!</v>
      </c>
      <c r="BW1614" s="122"/>
      <c r="BX1614" s="91"/>
    </row>
    <row r="1615" spans="1:76" s="55" customFormat="1" ht="14.25" x14ac:dyDescent="0.2">
      <c r="B1615" s="23"/>
      <c r="C1615" s="195"/>
      <c r="D1615" s="263"/>
      <c r="E1615" s="264"/>
      <c r="F1615" s="264"/>
      <c r="G1615" s="264"/>
      <c r="H1615" s="264"/>
      <c r="I1615" s="264"/>
      <c r="J1615" s="265"/>
      <c r="K1615" s="122"/>
      <c r="L1615" s="122"/>
      <c r="M1615" s="122"/>
      <c r="N1615" s="122"/>
      <c r="O1615" s="122"/>
      <c r="P1615" s="122"/>
      <c r="Q1615" s="311"/>
      <c r="R1615" s="389"/>
      <c r="S1615" s="118"/>
      <c r="T1615" s="118"/>
      <c r="U1615" s="274"/>
      <c r="V1615" s="275"/>
      <c r="W1615" s="276"/>
      <c r="Y1615" s="91"/>
      <c r="AO1615" s="91"/>
      <c r="AP1615" s="122"/>
      <c r="AQ1615" s="122"/>
      <c r="AR1615" s="122"/>
      <c r="AS1615" s="256" t="s">
        <v>157</v>
      </c>
      <c r="AT1615" s="261">
        <f>IF(AT1616&gt;1,_xlfn.STDEV.S(AT1589:AT1608),0)</f>
        <v>0</v>
      </c>
      <c r="AU1615" s="261">
        <f>IF(AU1616&gt;1,_xlfn.STDEV.S(AU1589:AU1608),0)</f>
        <v>0</v>
      </c>
      <c r="AV1615" s="122"/>
      <c r="AW1615" s="261">
        <f t="shared" ref="AW1615:AX1615" si="1035">IF(AW1616&gt;1,_xlfn.STDEV.S(AW1589:AW1608),0)</f>
        <v>392.60400261051126</v>
      </c>
      <c r="AX1615" s="261">
        <f t="shared" si="1035"/>
        <v>392.60400261051126</v>
      </c>
      <c r="AY1615" s="122"/>
      <c r="AZ1615" s="261">
        <f t="shared" ref="AZ1615:BA1615" si="1036">IF(AZ1616&gt;1,_xlfn.STDEV.S(AZ1589:AZ1608),0)</f>
        <v>0</v>
      </c>
      <c r="BA1615" s="261">
        <f t="shared" si="1036"/>
        <v>0</v>
      </c>
      <c r="BB1615" s="122"/>
      <c r="BC1615" s="261">
        <f t="shared" ref="BC1615:BD1615" si="1037">IF(BC1616&gt;1,_xlfn.STDEV.S(BC1589:BC1608),0)</f>
        <v>0</v>
      </c>
      <c r="BD1615" s="261">
        <f t="shared" si="1037"/>
        <v>0</v>
      </c>
      <c r="BE1615" s="122"/>
      <c r="BF1615" s="261">
        <f t="shared" ref="BF1615:BG1615" si="1038">IF(BF1616&gt;1,_xlfn.STDEV.S(BF1589:BF1608),0)</f>
        <v>0</v>
      </c>
      <c r="BG1615" s="261">
        <f t="shared" si="1038"/>
        <v>0</v>
      </c>
      <c r="BH1615" s="122"/>
      <c r="BI1615" s="261">
        <f t="shared" ref="BI1615:BJ1615" si="1039">IF(BI1616&gt;1,_xlfn.STDEV.S(BI1589:BI1608),0)</f>
        <v>0</v>
      </c>
      <c r="BJ1615" s="261">
        <f t="shared" si="1039"/>
        <v>0</v>
      </c>
      <c r="BK1615" s="122"/>
      <c r="BL1615" s="261">
        <f t="shared" ref="BL1615:BM1615" si="1040">IF(BL1616&gt;1,_xlfn.STDEV.S(BL1589:BL1608),0)</f>
        <v>0</v>
      </c>
      <c r="BM1615" s="261">
        <f t="shared" si="1040"/>
        <v>0</v>
      </c>
      <c r="BN1615" s="122"/>
      <c r="BO1615" s="261">
        <f t="shared" ref="BO1615:BP1615" si="1041">IF(BO1616&gt;1,_xlfn.STDEV.S(BO1589:BO1608),0)</f>
        <v>0</v>
      </c>
      <c r="BP1615" s="261">
        <f t="shared" si="1041"/>
        <v>0</v>
      </c>
      <c r="BQ1615" s="122"/>
      <c r="BR1615" s="261">
        <f t="shared" ref="BR1615:BS1615" si="1042">IF(BR1616&gt;1,_xlfn.STDEV.S(BR1589:BR1608),0)</f>
        <v>0</v>
      </c>
      <c r="BS1615" s="261">
        <f t="shared" si="1042"/>
        <v>0</v>
      </c>
      <c r="BT1615" s="122"/>
      <c r="BU1615" s="261">
        <f t="shared" ref="BU1615:BV1615" si="1043">IF(BU1616&gt;1,_xlfn.STDEV.S(BU1589:BU1608),0)</f>
        <v>0</v>
      </c>
      <c r="BV1615" s="261">
        <f t="shared" si="1043"/>
        <v>0</v>
      </c>
      <c r="BW1615" s="122"/>
      <c r="BX1615" s="91"/>
    </row>
    <row r="1616" spans="1:76" s="55" customFormat="1" x14ac:dyDescent="0.2">
      <c r="B1616" s="23"/>
      <c r="C1616" s="195"/>
      <c r="D1616" s="277"/>
      <c r="E1616" s="278"/>
      <c r="F1616" s="278"/>
      <c r="G1616" s="278"/>
      <c r="H1616" s="278"/>
      <c r="I1616" s="278"/>
      <c r="J1616" s="279"/>
      <c r="K1616" s="122"/>
      <c r="L1616" s="122"/>
      <c r="M1616" s="122"/>
      <c r="N1616" s="122"/>
      <c r="O1616" s="122"/>
      <c r="P1616" s="122"/>
      <c r="Q1616" s="311"/>
      <c r="R1616" s="362" t="s">
        <v>158</v>
      </c>
      <c r="S1616" s="122"/>
      <c r="T1616" s="122"/>
      <c r="U1616" s="281"/>
      <c r="V1616" s="282"/>
      <c r="W1616" s="283"/>
      <c r="Y1616" s="91"/>
      <c r="AO1616" s="91"/>
      <c r="AP1616" s="122"/>
      <c r="AQ1616" s="122"/>
      <c r="AR1616" s="122"/>
      <c r="AS1616" s="133" t="s">
        <v>159</v>
      </c>
      <c r="AT1616" s="284">
        <f>COUNT(AT1589:AT1608)</f>
        <v>0</v>
      </c>
      <c r="AU1616" s="284">
        <f>COUNT(AU1589:AU1608)</f>
        <v>0</v>
      </c>
      <c r="AV1616" s="122"/>
      <c r="AW1616" s="284">
        <f t="shared" ref="AW1616:AX1616" si="1044">COUNT(AW1589:AW1608)</f>
        <v>18</v>
      </c>
      <c r="AX1616" s="284">
        <f t="shared" si="1044"/>
        <v>18</v>
      </c>
      <c r="AY1616" s="122"/>
      <c r="AZ1616" s="284">
        <f t="shared" ref="AZ1616:BA1616" si="1045">COUNT(AZ1589:AZ1608)</f>
        <v>0</v>
      </c>
      <c r="BA1616" s="284">
        <f t="shared" si="1045"/>
        <v>0</v>
      </c>
      <c r="BB1616" s="122"/>
      <c r="BC1616" s="284">
        <f t="shared" ref="BC1616:BD1616" si="1046">COUNT(BC1589:BC1608)</f>
        <v>0</v>
      </c>
      <c r="BD1616" s="284">
        <f t="shared" si="1046"/>
        <v>0</v>
      </c>
      <c r="BE1616" s="122"/>
      <c r="BF1616" s="284">
        <f t="shared" ref="BF1616:BG1616" si="1047">COUNT(BF1589:BF1608)</f>
        <v>0</v>
      </c>
      <c r="BG1616" s="284">
        <f t="shared" si="1047"/>
        <v>0</v>
      </c>
      <c r="BH1616" s="122"/>
      <c r="BI1616" s="284">
        <f t="shared" ref="BI1616:BJ1616" si="1048">COUNT(BI1589:BI1608)</f>
        <v>0</v>
      </c>
      <c r="BJ1616" s="284">
        <f t="shared" si="1048"/>
        <v>0</v>
      </c>
      <c r="BK1616" s="122"/>
      <c r="BL1616" s="284">
        <f t="shared" ref="BL1616:BM1616" si="1049">COUNT(BL1589:BL1608)</f>
        <v>0</v>
      </c>
      <c r="BM1616" s="284">
        <f t="shared" si="1049"/>
        <v>0</v>
      </c>
      <c r="BN1616" s="122"/>
      <c r="BO1616" s="284">
        <f t="shared" ref="BO1616:BP1616" si="1050">COUNT(BO1589:BO1608)</f>
        <v>0</v>
      </c>
      <c r="BP1616" s="284">
        <f t="shared" si="1050"/>
        <v>0</v>
      </c>
      <c r="BQ1616" s="122"/>
      <c r="BR1616" s="284">
        <f t="shared" ref="BR1616:BS1616" si="1051">COUNT(BR1589:BR1608)</f>
        <v>0</v>
      </c>
      <c r="BS1616" s="284">
        <f t="shared" si="1051"/>
        <v>0</v>
      </c>
      <c r="BT1616" s="122"/>
      <c r="BU1616" s="284">
        <f t="shared" ref="BU1616:BV1616" si="1052">COUNT(BU1589:BU1608)</f>
        <v>0</v>
      </c>
      <c r="BV1616" s="284">
        <f t="shared" si="1052"/>
        <v>0</v>
      </c>
      <c r="BW1616" s="122"/>
      <c r="BX1616" s="91"/>
    </row>
    <row r="1617" spans="1:76" s="55" customFormat="1" ht="14.25" x14ac:dyDescent="0.2">
      <c r="B1617" s="23"/>
      <c r="C1617" s="195"/>
      <c r="D1617" s="122"/>
      <c r="E1617" s="122"/>
      <c r="F1617" s="122"/>
      <c r="G1617" s="122"/>
      <c r="H1617" s="122"/>
      <c r="I1617" s="122"/>
      <c r="J1617" s="122"/>
      <c r="K1617" s="122"/>
      <c r="L1617" s="122"/>
      <c r="M1617" s="122"/>
      <c r="N1617" s="122"/>
      <c r="O1617" s="122"/>
      <c r="P1617" s="122"/>
      <c r="Q1617" s="311"/>
      <c r="R1617" s="287" t="s">
        <v>149</v>
      </c>
      <c r="S1617" s="122"/>
      <c r="T1617" s="122"/>
      <c r="U1617" s="281"/>
      <c r="V1617" s="282"/>
      <c r="W1617" s="283"/>
      <c r="Y1617" s="91"/>
      <c r="AO1617" s="91"/>
      <c r="BX1617" s="91"/>
    </row>
    <row r="1618" spans="1:76" s="55" customFormat="1" ht="14.25" x14ac:dyDescent="0.2">
      <c r="B1618" s="23"/>
      <c r="C1618" s="195"/>
      <c r="D1618" s="122"/>
      <c r="E1618" s="122"/>
      <c r="F1618" s="122"/>
      <c r="G1618" s="122"/>
      <c r="H1618" s="122"/>
      <c r="I1618" s="122"/>
      <c r="J1618" s="122"/>
      <c r="K1618" s="122"/>
      <c r="L1618" s="122"/>
      <c r="M1618" s="122"/>
      <c r="N1618" s="122"/>
      <c r="O1618" s="122"/>
      <c r="P1618" s="122"/>
      <c r="Q1618" s="311"/>
      <c r="R1618" s="122"/>
      <c r="S1618" s="122"/>
      <c r="T1618" s="122"/>
      <c r="U1618" s="288"/>
      <c r="V1618" s="289"/>
      <c r="W1618" s="290"/>
      <c r="Y1618" s="91"/>
      <c r="AO1618" s="91"/>
      <c r="BX1618" s="91"/>
    </row>
    <row r="1619" spans="1:76" s="55" customFormat="1" ht="18" x14ac:dyDescent="0.25">
      <c r="A1619" s="270" t="e">
        <f ca="1">HYPERLINK("#"&amp;"'"&amp;A$1&amp;"'!a1","Back to top")</f>
        <v>#VALUE!</v>
      </c>
      <c r="B1619" s="271"/>
      <c r="C1619" s="122"/>
      <c r="Q1619" s="81"/>
      <c r="T1619" s="122"/>
      <c r="U1619" s="122"/>
      <c r="V1619" s="122"/>
      <c r="W1619" s="122"/>
      <c r="Y1619" s="91"/>
      <c r="AO1619" s="296"/>
      <c r="AP1619" s="345"/>
      <c r="AQ1619" s="345"/>
      <c r="AR1619" s="346"/>
      <c r="AS1619" s="346"/>
      <c r="AT1619" s="346"/>
      <c r="AU1619" s="346"/>
      <c r="AV1619" s="346"/>
      <c r="AW1619" s="346"/>
      <c r="AX1619" s="346"/>
      <c r="AY1619" s="346"/>
      <c r="AZ1619" s="346"/>
      <c r="BA1619" s="346"/>
      <c r="BB1619" s="346"/>
      <c r="BC1619" s="346"/>
      <c r="BD1619" s="346"/>
      <c r="BE1619" s="346"/>
      <c r="BF1619" s="346"/>
      <c r="BG1619" s="346"/>
      <c r="BH1619" s="346"/>
      <c r="BI1619" s="346"/>
      <c r="BJ1619" s="346"/>
      <c r="BK1619" s="346"/>
      <c r="BL1619" s="346"/>
      <c r="BM1619" s="346"/>
      <c r="BN1619" s="346"/>
      <c r="BO1619" s="346"/>
      <c r="BP1619" s="346"/>
      <c r="BQ1619" s="346"/>
      <c r="BR1619" s="346"/>
      <c r="BS1619" s="346"/>
      <c r="BT1619" s="346"/>
      <c r="BU1619" s="346"/>
      <c r="BV1619" s="346"/>
      <c r="BW1619" s="346"/>
      <c r="BX1619" s="296"/>
    </row>
    <row r="1620" spans="1:76" s="55" customFormat="1" ht="14.25" x14ac:dyDescent="0.2">
      <c r="B1620" s="23"/>
      <c r="Q1620" s="81"/>
      <c r="Y1620" s="91"/>
      <c r="AO1620" s="91"/>
      <c r="BX1620" s="91"/>
    </row>
    <row r="1621" spans="1:76" s="55" customFormat="1" ht="14.25" x14ac:dyDescent="0.2">
      <c r="B1621" s="23"/>
      <c r="Q1621" s="81"/>
      <c r="Y1621" s="91"/>
      <c r="AO1621" s="91"/>
      <c r="BX1621" s="91"/>
    </row>
    <row r="1622" spans="1:76" s="9" customFormat="1" ht="18" x14ac:dyDescent="0.25">
      <c r="A1622" s="188">
        <f>A1586+1</f>
        <v>27</v>
      </c>
      <c r="B1622" s="189"/>
      <c r="C1622" s="293" t="s">
        <v>770</v>
      </c>
      <c r="D1622" s="191"/>
      <c r="E1622" s="191"/>
      <c r="F1622" s="191"/>
      <c r="G1622" s="191"/>
      <c r="J1622" s="191"/>
      <c r="K1622" s="191"/>
      <c r="L1622" s="192"/>
      <c r="M1622" s="192"/>
      <c r="N1622" s="192"/>
      <c r="Q1622" s="193"/>
      <c r="R1622" s="194" t="s">
        <v>93</v>
      </c>
      <c r="S1622" s="194"/>
      <c r="T1622" s="194"/>
      <c r="U1622" s="194"/>
      <c r="AP1622" s="175">
        <f>A1622</f>
        <v>27</v>
      </c>
      <c r="AQ1622" s="175" t="str">
        <f>C1622</f>
        <v>VARIABLE27</v>
      </c>
    </row>
    <row r="1623" spans="1:76" s="55" customFormat="1" x14ac:dyDescent="0.25">
      <c r="A1623" s="195"/>
      <c r="B1623" s="196"/>
      <c r="C1623" s="195"/>
      <c r="D1623" s="120"/>
      <c r="E1623" s="120"/>
      <c r="F1623" s="120"/>
      <c r="G1623" s="120"/>
      <c r="J1623" s="120"/>
      <c r="K1623" s="120"/>
      <c r="L1623" s="122"/>
      <c r="M1623" s="122"/>
      <c r="N1623" s="122"/>
      <c r="Q1623" s="81"/>
      <c r="Y1623" s="91"/>
      <c r="AO1623" s="91"/>
      <c r="AP1623" s="28"/>
      <c r="AQ1623" s="28"/>
      <c r="AR1623" s="28"/>
      <c r="AS1623" s="28"/>
      <c r="AT1623" s="198" t="s">
        <v>171</v>
      </c>
      <c r="AU1623" s="198"/>
      <c r="AV1623" s="28"/>
      <c r="AW1623" s="198" t="s">
        <v>96</v>
      </c>
      <c r="AX1623" s="198"/>
      <c r="AY1623" s="28"/>
      <c r="AZ1623" s="198" t="s">
        <v>97</v>
      </c>
      <c r="BA1623" s="198"/>
      <c r="BB1623" s="28"/>
      <c r="BC1623" s="198" t="s">
        <v>98</v>
      </c>
      <c r="BD1623" s="198"/>
      <c r="BE1623" s="28"/>
      <c r="BF1623" s="198" t="s">
        <v>99</v>
      </c>
      <c r="BG1623" s="198"/>
      <c r="BH1623" s="28"/>
      <c r="BI1623" s="198" t="s">
        <v>100</v>
      </c>
      <c r="BJ1623" s="198"/>
      <c r="BK1623" s="28"/>
      <c r="BL1623" s="198" t="s">
        <v>101</v>
      </c>
      <c r="BM1623" s="198"/>
      <c r="BN1623" s="28"/>
      <c r="BO1623" s="198" t="s">
        <v>102</v>
      </c>
      <c r="BP1623" s="198"/>
      <c r="BQ1623" s="28"/>
      <c r="BR1623" s="198" t="s">
        <v>103</v>
      </c>
      <c r="BS1623" s="198"/>
      <c r="BT1623" s="28"/>
      <c r="BU1623" s="198" t="s">
        <v>104</v>
      </c>
      <c r="BV1623" s="198"/>
      <c r="BW1623" s="28"/>
      <c r="BX1623" s="91"/>
    </row>
    <row r="1624" spans="1:76" s="55" customFormat="1" ht="30.75" thickBot="1" x14ac:dyDescent="0.3">
      <c r="A1624" s="199" t="s">
        <v>105</v>
      </c>
      <c r="B1624" s="200" t="s">
        <v>106</v>
      </c>
      <c r="C1624" s="201" t="s">
        <v>107</v>
      </c>
      <c r="D1624" s="202" t="s">
        <v>108</v>
      </c>
      <c r="E1624" s="202" t="s">
        <v>109</v>
      </c>
      <c r="F1624" s="201" t="s">
        <v>110</v>
      </c>
      <c r="G1624" s="201" t="s">
        <v>111</v>
      </c>
      <c r="H1624" s="202" t="s">
        <v>112</v>
      </c>
      <c r="I1624" s="203" t="s">
        <v>113</v>
      </c>
      <c r="J1624" s="204" t="s">
        <v>114</v>
      </c>
      <c r="K1624" s="205" t="s">
        <v>115</v>
      </c>
      <c r="L1624" s="206" t="s">
        <v>116</v>
      </c>
      <c r="M1624" s="207" t="s">
        <v>117</v>
      </c>
      <c r="N1624" s="208" t="s">
        <v>118</v>
      </c>
      <c r="O1624" s="207" t="s">
        <v>119</v>
      </c>
      <c r="P1624" s="210"/>
      <c r="Q1624" s="211" t="s">
        <v>120</v>
      </c>
      <c r="R1624" s="212" t="s">
        <v>121</v>
      </c>
      <c r="S1624" s="212" t="s">
        <v>122</v>
      </c>
      <c r="T1624" s="212" t="s">
        <v>123</v>
      </c>
      <c r="U1624" s="213" t="s">
        <v>124</v>
      </c>
      <c r="V1624" s="210"/>
      <c r="W1624" s="210"/>
      <c r="Y1624" s="91"/>
      <c r="AO1624" s="91"/>
      <c r="AP1624" s="210"/>
      <c r="AQ1624" s="210"/>
      <c r="AR1624" s="213" t="s">
        <v>125</v>
      </c>
      <c r="AS1624" s="210"/>
      <c r="AT1624" s="215" t="s">
        <v>121</v>
      </c>
      <c r="AU1624" s="215" t="s">
        <v>122</v>
      </c>
      <c r="AV1624" s="210"/>
      <c r="AW1624" s="215" t="s">
        <v>121</v>
      </c>
      <c r="AX1624" s="215" t="s">
        <v>122</v>
      </c>
      <c r="AY1624" s="210"/>
      <c r="AZ1624" s="215" t="s">
        <v>121</v>
      </c>
      <c r="BA1624" s="215" t="s">
        <v>122</v>
      </c>
      <c r="BB1624" s="210"/>
      <c r="BC1624" s="215" t="s">
        <v>121</v>
      </c>
      <c r="BD1624" s="215" t="s">
        <v>122</v>
      </c>
      <c r="BE1624" s="210"/>
      <c r="BF1624" s="215" t="s">
        <v>121</v>
      </c>
      <c r="BG1624" s="215" t="s">
        <v>122</v>
      </c>
      <c r="BH1624" s="210"/>
      <c r="BI1624" s="215" t="s">
        <v>121</v>
      </c>
      <c r="BJ1624" s="215" t="s">
        <v>122</v>
      </c>
      <c r="BK1624" s="210"/>
      <c r="BL1624" s="215" t="s">
        <v>121</v>
      </c>
      <c r="BM1624" s="215" t="s">
        <v>122</v>
      </c>
      <c r="BN1624" s="210"/>
      <c r="BO1624" s="215" t="s">
        <v>121</v>
      </c>
      <c r="BP1624" s="215" t="s">
        <v>122</v>
      </c>
      <c r="BQ1624" s="210"/>
      <c r="BR1624" s="215" t="s">
        <v>121</v>
      </c>
      <c r="BS1624" s="215" t="s">
        <v>122</v>
      </c>
      <c r="BT1624" s="210"/>
      <c r="BU1624" s="215" t="s">
        <v>121</v>
      </c>
      <c r="BV1624" s="215" t="s">
        <v>122</v>
      </c>
      <c r="BW1624" s="210"/>
      <c r="BX1624" s="91"/>
    </row>
    <row r="1625" spans="1:76" s="55" customFormat="1" x14ac:dyDescent="0.25">
      <c r="A1625" s="195">
        <v>1</v>
      </c>
      <c r="B1625" s="216" t="str">
        <f t="shared" ref="B1625:B1644" si="1053">CONCATENATE(E1625,": ",C1625)</f>
        <v xml:space="preserve">: </v>
      </c>
      <c r="C1625" s="219"/>
      <c r="D1625" s="219"/>
      <c r="E1625" s="219"/>
      <c r="F1625" s="219"/>
      <c r="G1625" s="220"/>
      <c r="H1625" s="221"/>
      <c r="I1625" s="220"/>
      <c r="J1625" s="227"/>
      <c r="K1625" s="226"/>
      <c r="L1625" s="227"/>
      <c r="M1625" s="227"/>
      <c r="N1625" s="227"/>
      <c r="O1625" s="227"/>
      <c r="P1625" s="122"/>
      <c r="Q1625" s="228"/>
      <c r="R1625" s="231" t="str">
        <f>IF(Q1625="Y","",IF(AND(L1625="",J1625=""),"",IF(L1625="",J1625,L1625)))</f>
        <v/>
      </c>
      <c r="S1625" s="230" t="str">
        <f t="shared" ref="S1625:S1644" si="1054">IF(R1625="","",IF($R$1653="Y",T1625,IF(R1625&gt;=$R$1645-$AA$35*$R$1649,IF(R1625&lt;=$R$1645+$AA$35*$R$1649,R1625,""),"")))</f>
        <v/>
      </c>
      <c r="T1625" s="231" t="str">
        <f>IF(OR(Q1625="Y",IFERROR(R1625&gt;R1645+R1649*$AA$35,0),IFERROR(R1625&lt;R1645-R1649*$AA$35,0)),"",IFERROR(R1625*N1625,""))</f>
        <v/>
      </c>
      <c r="U1625" s="232" t="str">
        <f t="shared" ref="U1625:U1644" si="1055">IF(AND(M1625="",K1625=""),"",IF(M1625="",K1625,M1625))</f>
        <v/>
      </c>
      <c r="V1625" s="28"/>
      <c r="W1625" s="28"/>
      <c r="Y1625" s="91"/>
      <c r="AO1625" s="91"/>
      <c r="AP1625" s="28"/>
      <c r="AQ1625" s="28"/>
      <c r="AR1625" s="233" t="str">
        <f>$U1625</f>
        <v/>
      </c>
      <c r="AS1625" s="28"/>
      <c r="AT1625" s="304" t="str">
        <f>IF($E1625=$AT$47,R1625,"")</f>
        <v/>
      </c>
      <c r="AU1625" s="304" t="str">
        <f>IF($E1625=$AT$47,S1625,"")</f>
        <v/>
      </c>
      <c r="AV1625" s="28"/>
      <c r="AW1625" s="304" t="str">
        <f t="shared" ref="AW1625:AX1644" si="1056">IF($E1625=$AW$83,R1625,"")</f>
        <v/>
      </c>
      <c r="AX1625" s="304" t="str">
        <f t="shared" si="1056"/>
        <v/>
      </c>
      <c r="AY1625" s="28"/>
      <c r="AZ1625" s="304" t="str">
        <f t="shared" ref="AZ1625:BA1644" si="1057">IF($E1625=$AZ$83,R1625,"")</f>
        <v/>
      </c>
      <c r="BA1625" s="304" t="str">
        <f t="shared" si="1057"/>
        <v/>
      </c>
      <c r="BB1625" s="28"/>
      <c r="BC1625" s="304" t="str">
        <f t="shared" ref="BC1625:BD1644" si="1058">IF($E1625=$BC$83,R1625,"")</f>
        <v/>
      </c>
      <c r="BD1625" s="304" t="str">
        <f t="shared" si="1058"/>
        <v/>
      </c>
      <c r="BE1625" s="28"/>
      <c r="BF1625" s="304" t="str">
        <f t="shared" ref="BF1625:BG1644" si="1059">IF($E1625=$BF$83,R1625,"")</f>
        <v/>
      </c>
      <c r="BG1625" s="304" t="str">
        <f t="shared" si="1059"/>
        <v/>
      </c>
      <c r="BH1625" s="28"/>
      <c r="BI1625" s="304" t="str">
        <f t="shared" ref="BI1625:BJ1644" si="1060">IF($E1625=$BI$83,R1625,"")</f>
        <v/>
      </c>
      <c r="BJ1625" s="304" t="str">
        <f t="shared" si="1060"/>
        <v/>
      </c>
      <c r="BK1625" s="28"/>
      <c r="BL1625" s="304" t="str">
        <f t="shared" ref="BL1625:BM1644" si="1061">IF($E1625=$BL$83,R1625,"")</f>
        <v/>
      </c>
      <c r="BM1625" s="304" t="str">
        <f t="shared" si="1061"/>
        <v/>
      </c>
      <c r="BN1625" s="28"/>
      <c r="BO1625" s="304" t="str">
        <f t="shared" ref="BO1625:BP1644" si="1062">IF($E1625=$BO$83,R1625,"")</f>
        <v/>
      </c>
      <c r="BP1625" s="304" t="str">
        <f t="shared" si="1062"/>
        <v/>
      </c>
      <c r="BQ1625" s="28"/>
      <c r="BR1625" s="304" t="str">
        <f t="shared" ref="BR1625:BS1644" si="1063">IF($E1625=$BR$83,R1625,"")</f>
        <v/>
      </c>
      <c r="BS1625" s="304" t="str">
        <f t="shared" si="1063"/>
        <v/>
      </c>
      <c r="BT1625" s="28"/>
      <c r="BU1625" s="304" t="str">
        <f t="shared" ref="BU1625:BV1644" si="1064">IF($E1625=$BU$83,R1625,"")</f>
        <v/>
      </c>
      <c r="BV1625" s="304" t="str">
        <f t="shared" si="1064"/>
        <v/>
      </c>
      <c r="BW1625" s="28"/>
      <c r="BX1625" s="91"/>
    </row>
    <row r="1626" spans="1:76" s="55" customFormat="1" x14ac:dyDescent="0.25">
      <c r="A1626" s="195">
        <v>2</v>
      </c>
      <c r="B1626" s="216" t="str">
        <f t="shared" si="1053"/>
        <v xml:space="preserve">: </v>
      </c>
      <c r="C1626" s="219"/>
      <c r="D1626" s="219"/>
      <c r="E1626" s="219"/>
      <c r="F1626" s="219"/>
      <c r="G1626" s="220"/>
      <c r="H1626" s="221"/>
      <c r="I1626" s="220"/>
      <c r="J1626" s="227"/>
      <c r="K1626" s="227"/>
      <c r="L1626" s="227"/>
      <c r="M1626" s="227"/>
      <c r="N1626" s="227"/>
      <c r="O1626" s="227"/>
      <c r="P1626" s="122"/>
      <c r="Q1626" s="228"/>
      <c r="R1626" s="231" t="str">
        <f t="shared" ref="R1626:R1644" si="1065">IF(Q1626="Y","",IF(AND(L1626="",J1626=""),"",IF(L1626="",J1626,L1626)))</f>
        <v/>
      </c>
      <c r="S1626" s="230" t="str">
        <f t="shared" si="1054"/>
        <v/>
      </c>
      <c r="T1626" s="231" t="str">
        <f>IF(OR(Q1626="Y",IFERROR(R1626&gt;R1645+R1649*$AA$35,0),IFERROR(R1626&lt;R1645-R1649*$AA$35,0)),"",IFERROR(R1626*N1626,""))</f>
        <v/>
      </c>
      <c r="U1626" s="232" t="str">
        <f t="shared" si="1055"/>
        <v/>
      </c>
      <c r="V1626" s="28"/>
      <c r="W1626" s="28"/>
      <c r="Y1626" s="91"/>
      <c r="AO1626" s="91"/>
      <c r="AP1626" s="28"/>
      <c r="AQ1626" s="28"/>
      <c r="AR1626" s="237"/>
      <c r="AS1626" s="28"/>
      <c r="AT1626" s="304" t="str">
        <f t="shared" ref="AT1626:AU1644" si="1066">IF($E1626=$AT$47,R1626,"")</f>
        <v/>
      </c>
      <c r="AU1626" s="304" t="str">
        <f t="shared" si="1066"/>
        <v/>
      </c>
      <c r="AV1626" s="28"/>
      <c r="AW1626" s="304" t="str">
        <f t="shared" si="1056"/>
        <v/>
      </c>
      <c r="AX1626" s="304" t="str">
        <f t="shared" si="1056"/>
        <v/>
      </c>
      <c r="AY1626" s="28"/>
      <c r="AZ1626" s="304" t="str">
        <f t="shared" si="1057"/>
        <v/>
      </c>
      <c r="BA1626" s="304" t="str">
        <f t="shared" si="1057"/>
        <v/>
      </c>
      <c r="BB1626" s="28"/>
      <c r="BC1626" s="304" t="str">
        <f t="shared" si="1058"/>
        <v/>
      </c>
      <c r="BD1626" s="304" t="str">
        <f t="shared" si="1058"/>
        <v/>
      </c>
      <c r="BE1626" s="28"/>
      <c r="BF1626" s="304" t="str">
        <f t="shared" si="1059"/>
        <v/>
      </c>
      <c r="BG1626" s="304" t="str">
        <f t="shared" si="1059"/>
        <v/>
      </c>
      <c r="BH1626" s="28"/>
      <c r="BI1626" s="304" t="str">
        <f t="shared" si="1060"/>
        <v/>
      </c>
      <c r="BJ1626" s="304" t="str">
        <f t="shared" si="1060"/>
        <v/>
      </c>
      <c r="BK1626" s="28"/>
      <c r="BL1626" s="304" t="str">
        <f t="shared" si="1061"/>
        <v/>
      </c>
      <c r="BM1626" s="304" t="str">
        <f t="shared" si="1061"/>
        <v/>
      </c>
      <c r="BN1626" s="28"/>
      <c r="BO1626" s="304" t="str">
        <f t="shared" si="1062"/>
        <v/>
      </c>
      <c r="BP1626" s="304" t="str">
        <f t="shared" si="1062"/>
        <v/>
      </c>
      <c r="BQ1626" s="28"/>
      <c r="BR1626" s="304" t="str">
        <f t="shared" si="1063"/>
        <v/>
      </c>
      <c r="BS1626" s="304" t="str">
        <f t="shared" si="1063"/>
        <v/>
      </c>
      <c r="BT1626" s="28"/>
      <c r="BU1626" s="304" t="str">
        <f t="shared" si="1064"/>
        <v/>
      </c>
      <c r="BV1626" s="304" t="str">
        <f t="shared" si="1064"/>
        <v/>
      </c>
      <c r="BW1626" s="28"/>
      <c r="BX1626" s="91"/>
    </row>
    <row r="1627" spans="1:76" s="55" customFormat="1" x14ac:dyDescent="0.25">
      <c r="A1627" s="195">
        <v>3</v>
      </c>
      <c r="B1627" s="216" t="str">
        <f>CONCATENATE(E1627,": ",C1627)</f>
        <v xml:space="preserve">: </v>
      </c>
      <c r="C1627" s="221"/>
      <c r="D1627" s="221"/>
      <c r="E1627" s="221"/>
      <c r="F1627" s="221"/>
      <c r="G1627" s="240"/>
      <c r="H1627" s="221"/>
      <c r="I1627" s="240"/>
      <c r="J1627" s="241"/>
      <c r="K1627" s="241"/>
      <c r="L1627" s="227"/>
      <c r="M1627" s="227"/>
      <c r="N1627" s="227"/>
      <c r="O1627" s="227"/>
      <c r="P1627" s="122"/>
      <c r="Q1627" s="228"/>
      <c r="R1627" s="231" t="str">
        <f t="shared" si="1065"/>
        <v/>
      </c>
      <c r="S1627" s="230" t="str">
        <f t="shared" si="1054"/>
        <v/>
      </c>
      <c r="T1627" s="231" t="str">
        <f>IF(OR(Q1627="Y",IFERROR(R1627&gt;R1645+R1649*$AA$35,0),IFERROR(R1627&lt;R1645-R1649*$AA$35,0)),"",IFERROR(R1627*N1627,""))</f>
        <v/>
      </c>
      <c r="U1627" s="232" t="str">
        <f t="shared" si="1055"/>
        <v/>
      </c>
      <c r="V1627" s="28"/>
      <c r="W1627" s="28"/>
      <c r="Y1627" s="91"/>
      <c r="AO1627" s="91"/>
      <c r="AP1627" s="28"/>
      <c r="AQ1627" s="28"/>
      <c r="AR1627" s="237"/>
      <c r="AS1627" s="28"/>
      <c r="AT1627" s="304" t="str">
        <f t="shared" si="1066"/>
        <v/>
      </c>
      <c r="AU1627" s="304" t="str">
        <f t="shared" si="1066"/>
        <v/>
      </c>
      <c r="AV1627" s="28"/>
      <c r="AW1627" s="304" t="str">
        <f t="shared" si="1056"/>
        <v/>
      </c>
      <c r="AX1627" s="304" t="str">
        <f t="shared" si="1056"/>
        <v/>
      </c>
      <c r="AY1627" s="28"/>
      <c r="AZ1627" s="304" t="str">
        <f t="shared" si="1057"/>
        <v/>
      </c>
      <c r="BA1627" s="304" t="str">
        <f t="shared" si="1057"/>
        <v/>
      </c>
      <c r="BB1627" s="28"/>
      <c r="BC1627" s="304" t="str">
        <f t="shared" si="1058"/>
        <v/>
      </c>
      <c r="BD1627" s="304" t="str">
        <f t="shared" si="1058"/>
        <v/>
      </c>
      <c r="BE1627" s="28"/>
      <c r="BF1627" s="304" t="str">
        <f t="shared" si="1059"/>
        <v/>
      </c>
      <c r="BG1627" s="304" t="str">
        <f t="shared" si="1059"/>
        <v/>
      </c>
      <c r="BH1627" s="28"/>
      <c r="BI1627" s="304" t="str">
        <f t="shared" si="1060"/>
        <v/>
      </c>
      <c r="BJ1627" s="304" t="str">
        <f t="shared" si="1060"/>
        <v/>
      </c>
      <c r="BK1627" s="28"/>
      <c r="BL1627" s="304" t="str">
        <f t="shared" si="1061"/>
        <v/>
      </c>
      <c r="BM1627" s="304" t="str">
        <f t="shared" si="1061"/>
        <v/>
      </c>
      <c r="BN1627" s="28"/>
      <c r="BO1627" s="304" t="str">
        <f t="shared" si="1062"/>
        <v/>
      </c>
      <c r="BP1627" s="304" t="str">
        <f t="shared" si="1062"/>
        <v/>
      </c>
      <c r="BQ1627" s="28"/>
      <c r="BR1627" s="304" t="str">
        <f t="shared" si="1063"/>
        <v/>
      </c>
      <c r="BS1627" s="304" t="str">
        <f t="shared" si="1063"/>
        <v/>
      </c>
      <c r="BT1627" s="28"/>
      <c r="BU1627" s="304" t="str">
        <f t="shared" si="1064"/>
        <v/>
      </c>
      <c r="BV1627" s="304" t="str">
        <f t="shared" si="1064"/>
        <v/>
      </c>
      <c r="BW1627" s="28"/>
      <c r="BX1627" s="91"/>
    </row>
    <row r="1628" spans="1:76" s="55" customFormat="1" x14ac:dyDescent="0.25">
      <c r="A1628" s="195">
        <v>4</v>
      </c>
      <c r="B1628" s="216" t="str">
        <f t="shared" si="1053"/>
        <v xml:space="preserve">: </v>
      </c>
      <c r="C1628" s="221"/>
      <c r="D1628" s="221"/>
      <c r="E1628" s="221"/>
      <c r="F1628" s="221"/>
      <c r="G1628" s="240"/>
      <c r="H1628" s="221"/>
      <c r="I1628" s="240"/>
      <c r="J1628" s="241"/>
      <c r="K1628" s="241"/>
      <c r="L1628" s="227"/>
      <c r="M1628" s="227"/>
      <c r="N1628" s="227"/>
      <c r="O1628" s="227"/>
      <c r="P1628" s="122"/>
      <c r="Q1628" s="228"/>
      <c r="R1628" s="231" t="str">
        <f t="shared" si="1065"/>
        <v/>
      </c>
      <c r="S1628" s="230" t="str">
        <f t="shared" si="1054"/>
        <v/>
      </c>
      <c r="T1628" s="231" t="str">
        <f>IF(OR(Q1628="Y",IFERROR(R1628&gt;R1645+R1649*$AA$35,0),IFERROR(R1628&lt;R1645-R1649*$AA$35,0)),"",IFERROR(R1628*N1628,""))</f>
        <v/>
      </c>
      <c r="U1628" s="232" t="str">
        <f t="shared" si="1055"/>
        <v/>
      </c>
      <c r="V1628" s="28"/>
      <c r="W1628" s="28"/>
      <c r="Y1628" s="91"/>
      <c r="AO1628" s="91"/>
      <c r="AP1628" s="28"/>
      <c r="AQ1628" s="28"/>
      <c r="AR1628" s="237"/>
      <c r="AS1628" s="28"/>
      <c r="AT1628" s="304" t="str">
        <f t="shared" si="1066"/>
        <v/>
      </c>
      <c r="AU1628" s="304" t="str">
        <f t="shared" si="1066"/>
        <v/>
      </c>
      <c r="AV1628" s="28"/>
      <c r="AW1628" s="304" t="str">
        <f t="shared" si="1056"/>
        <v/>
      </c>
      <c r="AX1628" s="304" t="str">
        <f t="shared" si="1056"/>
        <v/>
      </c>
      <c r="AY1628" s="28"/>
      <c r="AZ1628" s="304" t="str">
        <f t="shared" si="1057"/>
        <v/>
      </c>
      <c r="BA1628" s="304" t="str">
        <f t="shared" si="1057"/>
        <v/>
      </c>
      <c r="BB1628" s="28"/>
      <c r="BC1628" s="304" t="str">
        <f t="shared" si="1058"/>
        <v/>
      </c>
      <c r="BD1628" s="304" t="str">
        <f t="shared" si="1058"/>
        <v/>
      </c>
      <c r="BE1628" s="28"/>
      <c r="BF1628" s="304" t="str">
        <f t="shared" si="1059"/>
        <v/>
      </c>
      <c r="BG1628" s="304" t="str">
        <f t="shared" si="1059"/>
        <v/>
      </c>
      <c r="BH1628" s="28"/>
      <c r="BI1628" s="304" t="str">
        <f t="shared" si="1060"/>
        <v/>
      </c>
      <c r="BJ1628" s="304" t="str">
        <f t="shared" si="1060"/>
        <v/>
      </c>
      <c r="BK1628" s="28"/>
      <c r="BL1628" s="304" t="str">
        <f t="shared" si="1061"/>
        <v/>
      </c>
      <c r="BM1628" s="304" t="str">
        <f t="shared" si="1061"/>
        <v/>
      </c>
      <c r="BN1628" s="28"/>
      <c r="BO1628" s="304" t="str">
        <f t="shared" si="1062"/>
        <v/>
      </c>
      <c r="BP1628" s="304" t="str">
        <f t="shared" si="1062"/>
        <v/>
      </c>
      <c r="BQ1628" s="28"/>
      <c r="BR1628" s="304" t="str">
        <f t="shared" si="1063"/>
        <v/>
      </c>
      <c r="BS1628" s="304" t="str">
        <f t="shared" si="1063"/>
        <v/>
      </c>
      <c r="BT1628" s="28"/>
      <c r="BU1628" s="304" t="str">
        <f t="shared" si="1064"/>
        <v/>
      </c>
      <c r="BV1628" s="304" t="str">
        <f t="shared" si="1064"/>
        <v/>
      </c>
      <c r="BW1628" s="28"/>
      <c r="BX1628" s="91"/>
    </row>
    <row r="1629" spans="1:76" s="55" customFormat="1" x14ac:dyDescent="0.25">
      <c r="A1629" s="195">
        <v>5</v>
      </c>
      <c r="B1629" s="216" t="str">
        <f t="shared" si="1053"/>
        <v xml:space="preserve">: </v>
      </c>
      <c r="C1629" s="221"/>
      <c r="D1629" s="221"/>
      <c r="E1629" s="221"/>
      <c r="F1629" s="221"/>
      <c r="G1629" s="240"/>
      <c r="H1629" s="221"/>
      <c r="I1629" s="240"/>
      <c r="J1629" s="241"/>
      <c r="K1629" s="241"/>
      <c r="L1629" s="227"/>
      <c r="M1629" s="227"/>
      <c r="N1629" s="227"/>
      <c r="O1629" s="227"/>
      <c r="P1629" s="122"/>
      <c r="Q1629" s="228"/>
      <c r="R1629" s="231" t="str">
        <f t="shared" si="1065"/>
        <v/>
      </c>
      <c r="S1629" s="230" t="str">
        <f t="shared" si="1054"/>
        <v/>
      </c>
      <c r="T1629" s="231" t="str">
        <f>IF(OR(Q1629="Y",IFERROR(R1629&gt;R1645+R1649*$AA$35,0),IFERROR(R1629&lt;R1645-R1649*$AA$35,0)),"",IFERROR(R1629*N1629,""))</f>
        <v/>
      </c>
      <c r="U1629" s="232" t="str">
        <f t="shared" si="1055"/>
        <v/>
      </c>
      <c r="V1629" s="28"/>
      <c r="W1629" s="28"/>
      <c r="Y1629" s="91"/>
      <c r="AO1629" s="91"/>
      <c r="AP1629" s="28"/>
      <c r="AQ1629" s="28"/>
      <c r="AR1629" s="237"/>
      <c r="AS1629" s="28"/>
      <c r="AT1629" s="304" t="str">
        <f t="shared" si="1066"/>
        <v/>
      </c>
      <c r="AU1629" s="304" t="str">
        <f t="shared" si="1066"/>
        <v/>
      </c>
      <c r="AV1629" s="28"/>
      <c r="AW1629" s="304" t="str">
        <f t="shared" si="1056"/>
        <v/>
      </c>
      <c r="AX1629" s="304" t="str">
        <f t="shared" si="1056"/>
        <v/>
      </c>
      <c r="AY1629" s="28"/>
      <c r="AZ1629" s="304" t="str">
        <f t="shared" si="1057"/>
        <v/>
      </c>
      <c r="BA1629" s="304" t="str">
        <f t="shared" si="1057"/>
        <v/>
      </c>
      <c r="BB1629" s="28"/>
      <c r="BC1629" s="304" t="str">
        <f t="shared" si="1058"/>
        <v/>
      </c>
      <c r="BD1629" s="304" t="str">
        <f t="shared" si="1058"/>
        <v/>
      </c>
      <c r="BE1629" s="28"/>
      <c r="BF1629" s="304" t="str">
        <f t="shared" si="1059"/>
        <v/>
      </c>
      <c r="BG1629" s="304" t="str">
        <f t="shared" si="1059"/>
        <v/>
      </c>
      <c r="BH1629" s="28"/>
      <c r="BI1629" s="304" t="str">
        <f t="shared" si="1060"/>
        <v/>
      </c>
      <c r="BJ1629" s="304" t="str">
        <f t="shared" si="1060"/>
        <v/>
      </c>
      <c r="BK1629" s="28"/>
      <c r="BL1629" s="304" t="str">
        <f t="shared" si="1061"/>
        <v/>
      </c>
      <c r="BM1629" s="304" t="str">
        <f t="shared" si="1061"/>
        <v/>
      </c>
      <c r="BN1629" s="28"/>
      <c r="BO1629" s="304" t="str">
        <f t="shared" si="1062"/>
        <v/>
      </c>
      <c r="BP1629" s="304" t="str">
        <f t="shared" si="1062"/>
        <v/>
      </c>
      <c r="BQ1629" s="28"/>
      <c r="BR1629" s="304" t="str">
        <f t="shared" si="1063"/>
        <v/>
      </c>
      <c r="BS1629" s="304" t="str">
        <f t="shared" si="1063"/>
        <v/>
      </c>
      <c r="BT1629" s="28"/>
      <c r="BU1629" s="304" t="str">
        <f t="shared" si="1064"/>
        <v/>
      </c>
      <c r="BV1629" s="304" t="str">
        <f t="shared" si="1064"/>
        <v/>
      </c>
      <c r="BW1629" s="28"/>
      <c r="BX1629" s="91"/>
    </row>
    <row r="1630" spans="1:76" s="55" customFormat="1" x14ac:dyDescent="0.25">
      <c r="A1630" s="195">
        <v>6</v>
      </c>
      <c r="B1630" s="216" t="str">
        <f t="shared" si="1053"/>
        <v xml:space="preserve">: </v>
      </c>
      <c r="C1630" s="221"/>
      <c r="D1630" s="221"/>
      <c r="E1630" s="221"/>
      <c r="F1630" s="221"/>
      <c r="G1630" s="240"/>
      <c r="H1630" s="221"/>
      <c r="I1630" s="240"/>
      <c r="J1630" s="241"/>
      <c r="K1630" s="241"/>
      <c r="L1630" s="227"/>
      <c r="M1630" s="227"/>
      <c r="N1630" s="227"/>
      <c r="O1630" s="227"/>
      <c r="P1630" s="122"/>
      <c r="Q1630" s="228"/>
      <c r="R1630" s="231" t="str">
        <f t="shared" si="1065"/>
        <v/>
      </c>
      <c r="S1630" s="230" t="str">
        <f t="shared" si="1054"/>
        <v/>
      </c>
      <c r="T1630" s="231" t="str">
        <f>IF(OR(Q1630="Y",IFERROR(R1630&gt;R1645+R1649*$AA$35,0),IFERROR(R1630&lt;R1645-R1649*$AA$35,0)),"",IFERROR(R1630*N1630,""))</f>
        <v/>
      </c>
      <c r="U1630" s="232" t="str">
        <f t="shared" si="1055"/>
        <v/>
      </c>
      <c r="V1630" s="28"/>
      <c r="W1630" s="28"/>
      <c r="Y1630" s="91"/>
      <c r="AO1630" s="91"/>
      <c r="AP1630" s="28"/>
      <c r="AQ1630" s="28"/>
      <c r="AR1630" s="237"/>
      <c r="AS1630" s="28"/>
      <c r="AT1630" s="304" t="str">
        <f t="shared" si="1066"/>
        <v/>
      </c>
      <c r="AU1630" s="304" t="str">
        <f t="shared" si="1066"/>
        <v/>
      </c>
      <c r="AV1630" s="28"/>
      <c r="AW1630" s="304" t="str">
        <f t="shared" si="1056"/>
        <v/>
      </c>
      <c r="AX1630" s="304" t="str">
        <f t="shared" si="1056"/>
        <v/>
      </c>
      <c r="AY1630" s="28"/>
      <c r="AZ1630" s="304" t="str">
        <f t="shared" si="1057"/>
        <v/>
      </c>
      <c r="BA1630" s="304" t="str">
        <f t="shared" si="1057"/>
        <v/>
      </c>
      <c r="BB1630" s="28"/>
      <c r="BC1630" s="304" t="str">
        <f t="shared" si="1058"/>
        <v/>
      </c>
      <c r="BD1630" s="304" t="str">
        <f t="shared" si="1058"/>
        <v/>
      </c>
      <c r="BE1630" s="28"/>
      <c r="BF1630" s="304" t="str">
        <f t="shared" si="1059"/>
        <v/>
      </c>
      <c r="BG1630" s="304" t="str">
        <f t="shared" si="1059"/>
        <v/>
      </c>
      <c r="BH1630" s="28"/>
      <c r="BI1630" s="304" t="str">
        <f t="shared" si="1060"/>
        <v/>
      </c>
      <c r="BJ1630" s="304" t="str">
        <f t="shared" si="1060"/>
        <v/>
      </c>
      <c r="BK1630" s="28"/>
      <c r="BL1630" s="304" t="str">
        <f t="shared" si="1061"/>
        <v/>
      </c>
      <c r="BM1630" s="304" t="str">
        <f t="shared" si="1061"/>
        <v/>
      </c>
      <c r="BN1630" s="28"/>
      <c r="BO1630" s="304" t="str">
        <f t="shared" si="1062"/>
        <v/>
      </c>
      <c r="BP1630" s="304" t="str">
        <f t="shared" si="1062"/>
        <v/>
      </c>
      <c r="BQ1630" s="28"/>
      <c r="BR1630" s="304" t="str">
        <f t="shared" si="1063"/>
        <v/>
      </c>
      <c r="BS1630" s="304" t="str">
        <f t="shared" si="1063"/>
        <v/>
      </c>
      <c r="BT1630" s="28"/>
      <c r="BU1630" s="304" t="str">
        <f t="shared" si="1064"/>
        <v/>
      </c>
      <c r="BV1630" s="304" t="str">
        <f t="shared" si="1064"/>
        <v/>
      </c>
      <c r="BW1630" s="28"/>
      <c r="BX1630" s="91"/>
    </row>
    <row r="1631" spans="1:76" s="55" customFormat="1" x14ac:dyDescent="0.25">
      <c r="A1631" s="195">
        <v>7</v>
      </c>
      <c r="B1631" s="216" t="str">
        <f t="shared" si="1053"/>
        <v xml:space="preserve">: </v>
      </c>
      <c r="C1631" s="221"/>
      <c r="D1631" s="221"/>
      <c r="E1631" s="221"/>
      <c r="F1631" s="221"/>
      <c r="G1631" s="240"/>
      <c r="H1631" s="221"/>
      <c r="I1631" s="240"/>
      <c r="J1631" s="241"/>
      <c r="K1631" s="241"/>
      <c r="L1631" s="227"/>
      <c r="M1631" s="227"/>
      <c r="N1631" s="227"/>
      <c r="O1631" s="227"/>
      <c r="P1631" s="122"/>
      <c r="Q1631" s="228"/>
      <c r="R1631" s="231" t="str">
        <f t="shared" si="1065"/>
        <v/>
      </c>
      <c r="S1631" s="230" t="str">
        <f t="shared" si="1054"/>
        <v/>
      </c>
      <c r="T1631" s="231" t="str">
        <f>IF(OR(Q1631="Y",IFERROR(R1631&gt;R1645+R1649*$AA$35,0),IFERROR(R1631&lt;R1645-R1649*$AA$35,0)),"",IFERROR(R1631*N1631,""))</f>
        <v/>
      </c>
      <c r="U1631" s="232" t="str">
        <f t="shared" si="1055"/>
        <v/>
      </c>
      <c r="V1631" s="28"/>
      <c r="W1631" s="28"/>
      <c r="Y1631" s="91"/>
      <c r="AO1631" s="91"/>
      <c r="AP1631" s="28"/>
      <c r="AQ1631" s="28"/>
      <c r="AR1631" s="237"/>
      <c r="AS1631" s="28"/>
      <c r="AT1631" s="304" t="str">
        <f t="shared" si="1066"/>
        <v/>
      </c>
      <c r="AU1631" s="304" t="str">
        <f t="shared" si="1066"/>
        <v/>
      </c>
      <c r="AV1631" s="28"/>
      <c r="AW1631" s="304" t="str">
        <f t="shared" si="1056"/>
        <v/>
      </c>
      <c r="AX1631" s="304" t="str">
        <f t="shared" si="1056"/>
        <v/>
      </c>
      <c r="AY1631" s="28"/>
      <c r="AZ1631" s="304" t="str">
        <f t="shared" si="1057"/>
        <v/>
      </c>
      <c r="BA1631" s="304" t="str">
        <f t="shared" si="1057"/>
        <v/>
      </c>
      <c r="BB1631" s="28"/>
      <c r="BC1631" s="304" t="str">
        <f t="shared" si="1058"/>
        <v/>
      </c>
      <c r="BD1631" s="304" t="str">
        <f t="shared" si="1058"/>
        <v/>
      </c>
      <c r="BE1631" s="28"/>
      <c r="BF1631" s="304" t="str">
        <f t="shared" si="1059"/>
        <v/>
      </c>
      <c r="BG1631" s="304" t="str">
        <f t="shared" si="1059"/>
        <v/>
      </c>
      <c r="BH1631" s="28"/>
      <c r="BI1631" s="304" t="str">
        <f t="shared" si="1060"/>
        <v/>
      </c>
      <c r="BJ1631" s="304" t="str">
        <f t="shared" si="1060"/>
        <v/>
      </c>
      <c r="BK1631" s="28"/>
      <c r="BL1631" s="304" t="str">
        <f t="shared" si="1061"/>
        <v/>
      </c>
      <c r="BM1631" s="304" t="str">
        <f t="shared" si="1061"/>
        <v/>
      </c>
      <c r="BN1631" s="28"/>
      <c r="BO1631" s="304" t="str">
        <f t="shared" si="1062"/>
        <v/>
      </c>
      <c r="BP1631" s="304" t="str">
        <f t="shared" si="1062"/>
        <v/>
      </c>
      <c r="BQ1631" s="28"/>
      <c r="BR1631" s="304" t="str">
        <f t="shared" si="1063"/>
        <v/>
      </c>
      <c r="BS1631" s="304" t="str">
        <f t="shared" si="1063"/>
        <v/>
      </c>
      <c r="BT1631" s="28"/>
      <c r="BU1631" s="304" t="str">
        <f t="shared" si="1064"/>
        <v/>
      </c>
      <c r="BV1631" s="304" t="str">
        <f t="shared" si="1064"/>
        <v/>
      </c>
      <c r="BW1631" s="28"/>
      <c r="BX1631" s="91"/>
    </row>
    <row r="1632" spans="1:76" s="55" customFormat="1" x14ac:dyDescent="0.25">
      <c r="A1632" s="195">
        <v>8</v>
      </c>
      <c r="B1632" s="216" t="str">
        <f t="shared" si="1053"/>
        <v xml:space="preserve">: </v>
      </c>
      <c r="C1632" s="221"/>
      <c r="D1632" s="221"/>
      <c r="E1632" s="221"/>
      <c r="F1632" s="221"/>
      <c r="G1632" s="240"/>
      <c r="H1632" s="221"/>
      <c r="I1632" s="240"/>
      <c r="J1632" s="241"/>
      <c r="K1632" s="241"/>
      <c r="L1632" s="227"/>
      <c r="M1632" s="227"/>
      <c r="N1632" s="227"/>
      <c r="O1632" s="227"/>
      <c r="P1632" s="122"/>
      <c r="Q1632" s="228"/>
      <c r="R1632" s="231" t="str">
        <f t="shared" si="1065"/>
        <v/>
      </c>
      <c r="S1632" s="230" t="str">
        <f t="shared" si="1054"/>
        <v/>
      </c>
      <c r="T1632" s="231" t="str">
        <f>IF(OR(Q1632="Y",IFERROR(R1632&gt;R1645+R1649*$AA$35,0),IFERROR(R1632&lt;R1645-R1649*$AA$35,0)),"",IFERROR(R1632*N1632,""))</f>
        <v/>
      </c>
      <c r="U1632" s="232" t="str">
        <f t="shared" si="1055"/>
        <v/>
      </c>
      <c r="V1632" s="28"/>
      <c r="W1632" s="28"/>
      <c r="Y1632" s="91"/>
      <c r="AO1632" s="91"/>
      <c r="AP1632" s="28"/>
      <c r="AQ1632" s="28"/>
      <c r="AR1632" s="237"/>
      <c r="AS1632" s="28"/>
      <c r="AT1632" s="304" t="str">
        <f t="shared" si="1066"/>
        <v/>
      </c>
      <c r="AU1632" s="304" t="str">
        <f t="shared" si="1066"/>
        <v/>
      </c>
      <c r="AV1632" s="28"/>
      <c r="AW1632" s="304" t="str">
        <f t="shared" si="1056"/>
        <v/>
      </c>
      <c r="AX1632" s="304" t="str">
        <f t="shared" si="1056"/>
        <v/>
      </c>
      <c r="AY1632" s="28"/>
      <c r="AZ1632" s="304" t="str">
        <f t="shared" si="1057"/>
        <v/>
      </c>
      <c r="BA1632" s="304" t="str">
        <f t="shared" si="1057"/>
        <v/>
      </c>
      <c r="BB1632" s="28"/>
      <c r="BC1632" s="304" t="str">
        <f t="shared" si="1058"/>
        <v/>
      </c>
      <c r="BD1632" s="304" t="str">
        <f t="shared" si="1058"/>
        <v/>
      </c>
      <c r="BE1632" s="28"/>
      <c r="BF1632" s="304" t="str">
        <f t="shared" si="1059"/>
        <v/>
      </c>
      <c r="BG1632" s="304" t="str">
        <f t="shared" si="1059"/>
        <v/>
      </c>
      <c r="BH1632" s="28"/>
      <c r="BI1632" s="304" t="str">
        <f t="shared" si="1060"/>
        <v/>
      </c>
      <c r="BJ1632" s="304" t="str">
        <f t="shared" si="1060"/>
        <v/>
      </c>
      <c r="BK1632" s="28"/>
      <c r="BL1632" s="304" t="str">
        <f t="shared" si="1061"/>
        <v/>
      </c>
      <c r="BM1632" s="304" t="str">
        <f t="shared" si="1061"/>
        <v/>
      </c>
      <c r="BN1632" s="28"/>
      <c r="BO1632" s="304" t="str">
        <f t="shared" si="1062"/>
        <v/>
      </c>
      <c r="BP1632" s="304" t="str">
        <f t="shared" si="1062"/>
        <v/>
      </c>
      <c r="BQ1632" s="28"/>
      <c r="BR1632" s="304" t="str">
        <f t="shared" si="1063"/>
        <v/>
      </c>
      <c r="BS1632" s="304" t="str">
        <f t="shared" si="1063"/>
        <v/>
      </c>
      <c r="BT1632" s="28"/>
      <c r="BU1632" s="304" t="str">
        <f t="shared" si="1064"/>
        <v/>
      </c>
      <c r="BV1632" s="304" t="str">
        <f t="shared" si="1064"/>
        <v/>
      </c>
      <c r="BW1632" s="28"/>
      <c r="BX1632" s="91"/>
    </row>
    <row r="1633" spans="1:76" s="55" customFormat="1" x14ac:dyDescent="0.25">
      <c r="A1633" s="195">
        <v>9</v>
      </c>
      <c r="B1633" s="216" t="str">
        <f t="shared" si="1053"/>
        <v xml:space="preserve">: </v>
      </c>
      <c r="C1633" s="221"/>
      <c r="D1633" s="221"/>
      <c r="E1633" s="221"/>
      <c r="F1633" s="221"/>
      <c r="G1633" s="240"/>
      <c r="H1633" s="221"/>
      <c r="I1633" s="240"/>
      <c r="J1633" s="241"/>
      <c r="K1633" s="241"/>
      <c r="L1633" s="227"/>
      <c r="M1633" s="227"/>
      <c r="N1633" s="227"/>
      <c r="O1633" s="227"/>
      <c r="P1633" s="122"/>
      <c r="Q1633" s="228"/>
      <c r="R1633" s="231" t="str">
        <f t="shared" si="1065"/>
        <v/>
      </c>
      <c r="S1633" s="230" t="str">
        <f t="shared" si="1054"/>
        <v/>
      </c>
      <c r="T1633" s="231" t="str">
        <f>IF(OR(Q1633="Y",IFERROR(R1633&gt;R1645+R1649*$AA$35,0),IFERROR(R1633&lt;R1645-R1649*$AA$35,0)),"",IFERROR(R1633*N1633,""))</f>
        <v/>
      </c>
      <c r="U1633" s="232" t="str">
        <f t="shared" si="1055"/>
        <v/>
      </c>
      <c r="V1633" s="28"/>
      <c r="W1633" s="28"/>
      <c r="Y1633" s="91"/>
      <c r="AO1633" s="91"/>
      <c r="AP1633" s="28"/>
      <c r="AQ1633" s="28"/>
      <c r="AR1633" s="237"/>
      <c r="AS1633" s="28"/>
      <c r="AT1633" s="304" t="str">
        <f t="shared" si="1066"/>
        <v/>
      </c>
      <c r="AU1633" s="304" t="str">
        <f t="shared" si="1066"/>
        <v/>
      </c>
      <c r="AV1633" s="28"/>
      <c r="AW1633" s="304" t="str">
        <f t="shared" si="1056"/>
        <v/>
      </c>
      <c r="AX1633" s="304" t="str">
        <f t="shared" si="1056"/>
        <v/>
      </c>
      <c r="AY1633" s="28"/>
      <c r="AZ1633" s="304" t="str">
        <f t="shared" si="1057"/>
        <v/>
      </c>
      <c r="BA1633" s="304" t="str">
        <f t="shared" si="1057"/>
        <v/>
      </c>
      <c r="BB1633" s="28"/>
      <c r="BC1633" s="304" t="str">
        <f t="shared" si="1058"/>
        <v/>
      </c>
      <c r="BD1633" s="304" t="str">
        <f t="shared" si="1058"/>
        <v/>
      </c>
      <c r="BE1633" s="28"/>
      <c r="BF1633" s="304" t="str">
        <f t="shared" si="1059"/>
        <v/>
      </c>
      <c r="BG1633" s="304" t="str">
        <f t="shared" si="1059"/>
        <v/>
      </c>
      <c r="BH1633" s="28"/>
      <c r="BI1633" s="304" t="str">
        <f t="shared" si="1060"/>
        <v/>
      </c>
      <c r="BJ1633" s="304" t="str">
        <f t="shared" si="1060"/>
        <v/>
      </c>
      <c r="BK1633" s="28"/>
      <c r="BL1633" s="304" t="str">
        <f t="shared" si="1061"/>
        <v/>
      </c>
      <c r="BM1633" s="304" t="str">
        <f t="shared" si="1061"/>
        <v/>
      </c>
      <c r="BN1633" s="28"/>
      <c r="BO1633" s="304" t="str">
        <f t="shared" si="1062"/>
        <v/>
      </c>
      <c r="BP1633" s="304" t="str">
        <f t="shared" si="1062"/>
        <v/>
      </c>
      <c r="BQ1633" s="28"/>
      <c r="BR1633" s="304" t="str">
        <f t="shared" si="1063"/>
        <v/>
      </c>
      <c r="BS1633" s="304" t="str">
        <f t="shared" si="1063"/>
        <v/>
      </c>
      <c r="BT1633" s="28"/>
      <c r="BU1633" s="304" t="str">
        <f t="shared" si="1064"/>
        <v/>
      </c>
      <c r="BV1633" s="304" t="str">
        <f t="shared" si="1064"/>
        <v/>
      </c>
      <c r="BW1633" s="28"/>
      <c r="BX1633" s="91"/>
    </row>
    <row r="1634" spans="1:76" s="55" customFormat="1" x14ac:dyDescent="0.25">
      <c r="A1634" s="195">
        <v>10</v>
      </c>
      <c r="B1634" s="216" t="str">
        <f t="shared" si="1053"/>
        <v xml:space="preserve">: </v>
      </c>
      <c r="C1634" s="221"/>
      <c r="D1634" s="221"/>
      <c r="E1634" s="221"/>
      <c r="F1634" s="221"/>
      <c r="G1634" s="240"/>
      <c r="H1634" s="221"/>
      <c r="I1634" s="240"/>
      <c r="J1634" s="241"/>
      <c r="K1634" s="241"/>
      <c r="L1634" s="227"/>
      <c r="M1634" s="227"/>
      <c r="N1634" s="227"/>
      <c r="O1634" s="227"/>
      <c r="P1634" s="122"/>
      <c r="Q1634" s="228"/>
      <c r="R1634" s="231" t="str">
        <f t="shared" si="1065"/>
        <v/>
      </c>
      <c r="S1634" s="230" t="str">
        <f t="shared" si="1054"/>
        <v/>
      </c>
      <c r="T1634" s="231" t="str">
        <f>IF(OR(Q1634="Y",IFERROR(R1634&gt;R1645+R1649*$AA$35,0),IFERROR(R1634&lt;R1645-R1649*$AA$35,0)),"",IFERROR(R1634*N1634,""))</f>
        <v/>
      </c>
      <c r="U1634" s="232" t="str">
        <f t="shared" si="1055"/>
        <v/>
      </c>
      <c r="V1634" s="28"/>
      <c r="W1634" s="28"/>
      <c r="Y1634" s="91"/>
      <c r="AO1634" s="91"/>
      <c r="AP1634" s="28"/>
      <c r="AQ1634" s="28"/>
      <c r="AR1634" s="237"/>
      <c r="AS1634" s="28"/>
      <c r="AT1634" s="304" t="str">
        <f t="shared" si="1066"/>
        <v/>
      </c>
      <c r="AU1634" s="304" t="str">
        <f t="shared" si="1066"/>
        <v/>
      </c>
      <c r="AV1634" s="28"/>
      <c r="AW1634" s="304" t="str">
        <f t="shared" si="1056"/>
        <v/>
      </c>
      <c r="AX1634" s="304" t="str">
        <f t="shared" si="1056"/>
        <v/>
      </c>
      <c r="AY1634" s="28"/>
      <c r="AZ1634" s="304" t="str">
        <f t="shared" si="1057"/>
        <v/>
      </c>
      <c r="BA1634" s="304" t="str">
        <f t="shared" si="1057"/>
        <v/>
      </c>
      <c r="BB1634" s="28"/>
      <c r="BC1634" s="304" t="str">
        <f t="shared" si="1058"/>
        <v/>
      </c>
      <c r="BD1634" s="304" t="str">
        <f t="shared" si="1058"/>
        <v/>
      </c>
      <c r="BE1634" s="28"/>
      <c r="BF1634" s="304" t="str">
        <f t="shared" si="1059"/>
        <v/>
      </c>
      <c r="BG1634" s="304" t="str">
        <f t="shared" si="1059"/>
        <v/>
      </c>
      <c r="BH1634" s="28"/>
      <c r="BI1634" s="304" t="str">
        <f t="shared" si="1060"/>
        <v/>
      </c>
      <c r="BJ1634" s="304" t="str">
        <f t="shared" si="1060"/>
        <v/>
      </c>
      <c r="BK1634" s="28"/>
      <c r="BL1634" s="304" t="str">
        <f t="shared" si="1061"/>
        <v/>
      </c>
      <c r="BM1634" s="304" t="str">
        <f t="shared" si="1061"/>
        <v/>
      </c>
      <c r="BN1634" s="28"/>
      <c r="BO1634" s="304" t="str">
        <f t="shared" si="1062"/>
        <v/>
      </c>
      <c r="BP1634" s="304" t="str">
        <f t="shared" si="1062"/>
        <v/>
      </c>
      <c r="BQ1634" s="28"/>
      <c r="BR1634" s="304" t="str">
        <f t="shared" si="1063"/>
        <v/>
      </c>
      <c r="BS1634" s="304" t="str">
        <f t="shared" si="1063"/>
        <v/>
      </c>
      <c r="BT1634" s="28"/>
      <c r="BU1634" s="304" t="str">
        <f t="shared" si="1064"/>
        <v/>
      </c>
      <c r="BV1634" s="304" t="str">
        <f t="shared" si="1064"/>
        <v/>
      </c>
      <c r="BW1634" s="28"/>
      <c r="BX1634" s="91"/>
    </row>
    <row r="1635" spans="1:76" s="55" customFormat="1" x14ac:dyDescent="0.25">
      <c r="A1635" s="195">
        <v>11</v>
      </c>
      <c r="B1635" s="216" t="str">
        <f t="shared" si="1053"/>
        <v xml:space="preserve">: </v>
      </c>
      <c r="C1635" s="221"/>
      <c r="D1635" s="221"/>
      <c r="E1635" s="221"/>
      <c r="F1635" s="221"/>
      <c r="G1635" s="240"/>
      <c r="H1635" s="221"/>
      <c r="I1635" s="240"/>
      <c r="J1635" s="241"/>
      <c r="K1635" s="241"/>
      <c r="L1635" s="227"/>
      <c r="M1635" s="227"/>
      <c r="N1635" s="227"/>
      <c r="O1635" s="227"/>
      <c r="P1635" s="122"/>
      <c r="Q1635" s="228"/>
      <c r="R1635" s="231" t="str">
        <f t="shared" si="1065"/>
        <v/>
      </c>
      <c r="S1635" s="230" t="str">
        <f t="shared" si="1054"/>
        <v/>
      </c>
      <c r="T1635" s="231" t="str">
        <f>IF(OR(Q1635="Y",IFERROR(R1635&gt;R1645+R1649*$AA$35,0),IFERROR(R1635&lt;R1645-R1649*$AA$35,0)),"",IFERROR(R1635*N1635,""))</f>
        <v/>
      </c>
      <c r="U1635" s="232" t="str">
        <f t="shared" si="1055"/>
        <v/>
      </c>
      <c r="V1635" s="28"/>
      <c r="W1635" s="28"/>
      <c r="Y1635" s="91"/>
      <c r="AO1635" s="91"/>
      <c r="AP1635" s="28"/>
      <c r="AQ1635" s="28"/>
      <c r="AR1635" s="237"/>
      <c r="AS1635" s="28"/>
      <c r="AT1635" s="304" t="str">
        <f t="shared" si="1066"/>
        <v/>
      </c>
      <c r="AU1635" s="304" t="str">
        <f t="shared" si="1066"/>
        <v/>
      </c>
      <c r="AV1635" s="28"/>
      <c r="AW1635" s="304" t="str">
        <f t="shared" si="1056"/>
        <v/>
      </c>
      <c r="AX1635" s="304" t="str">
        <f t="shared" si="1056"/>
        <v/>
      </c>
      <c r="AY1635" s="28"/>
      <c r="AZ1635" s="304" t="str">
        <f t="shared" si="1057"/>
        <v/>
      </c>
      <c r="BA1635" s="304" t="str">
        <f t="shared" si="1057"/>
        <v/>
      </c>
      <c r="BB1635" s="28"/>
      <c r="BC1635" s="304" t="str">
        <f t="shared" si="1058"/>
        <v/>
      </c>
      <c r="BD1635" s="304" t="str">
        <f t="shared" si="1058"/>
        <v/>
      </c>
      <c r="BE1635" s="28"/>
      <c r="BF1635" s="304" t="str">
        <f t="shared" si="1059"/>
        <v/>
      </c>
      <c r="BG1635" s="304" t="str">
        <f t="shared" si="1059"/>
        <v/>
      </c>
      <c r="BH1635" s="28"/>
      <c r="BI1635" s="304" t="str">
        <f t="shared" si="1060"/>
        <v/>
      </c>
      <c r="BJ1635" s="304" t="str">
        <f t="shared" si="1060"/>
        <v/>
      </c>
      <c r="BK1635" s="28"/>
      <c r="BL1635" s="304" t="str">
        <f t="shared" si="1061"/>
        <v/>
      </c>
      <c r="BM1635" s="304" t="str">
        <f t="shared" si="1061"/>
        <v/>
      </c>
      <c r="BN1635" s="28"/>
      <c r="BO1635" s="304" t="str">
        <f t="shared" si="1062"/>
        <v/>
      </c>
      <c r="BP1635" s="304" t="str">
        <f t="shared" si="1062"/>
        <v/>
      </c>
      <c r="BQ1635" s="28"/>
      <c r="BR1635" s="304" t="str">
        <f t="shared" si="1063"/>
        <v/>
      </c>
      <c r="BS1635" s="304" t="str">
        <f t="shared" si="1063"/>
        <v/>
      </c>
      <c r="BT1635" s="28"/>
      <c r="BU1635" s="304" t="str">
        <f t="shared" si="1064"/>
        <v/>
      </c>
      <c r="BV1635" s="304" t="str">
        <f t="shared" si="1064"/>
        <v/>
      </c>
      <c r="BW1635" s="28"/>
      <c r="BX1635" s="91"/>
    </row>
    <row r="1636" spans="1:76" s="55" customFormat="1" x14ac:dyDescent="0.25">
      <c r="A1636" s="195">
        <v>12</v>
      </c>
      <c r="B1636" s="216" t="str">
        <f t="shared" si="1053"/>
        <v xml:space="preserve">: </v>
      </c>
      <c r="C1636" s="221"/>
      <c r="D1636" s="221"/>
      <c r="E1636" s="221"/>
      <c r="F1636" s="221"/>
      <c r="G1636" s="240"/>
      <c r="H1636" s="221"/>
      <c r="I1636" s="240"/>
      <c r="J1636" s="241"/>
      <c r="K1636" s="241"/>
      <c r="L1636" s="227"/>
      <c r="M1636" s="227"/>
      <c r="N1636" s="227"/>
      <c r="O1636" s="227"/>
      <c r="P1636" s="122"/>
      <c r="Q1636" s="228"/>
      <c r="R1636" s="231" t="str">
        <f t="shared" si="1065"/>
        <v/>
      </c>
      <c r="S1636" s="230" t="str">
        <f t="shared" si="1054"/>
        <v/>
      </c>
      <c r="T1636" s="231" t="str">
        <f>IF(OR(Q1636="Y",IFERROR(R1636&gt;R1645+R1649*$AA$35,0),IFERROR(R1636&lt;R1645-R1649*$AA$35,0)),"",IFERROR(R1636*N1636,""))</f>
        <v/>
      </c>
      <c r="U1636" s="232" t="str">
        <f t="shared" si="1055"/>
        <v/>
      </c>
      <c r="V1636" s="28"/>
      <c r="W1636" s="28"/>
      <c r="Y1636" s="91"/>
      <c r="AO1636" s="91"/>
      <c r="AP1636" s="28"/>
      <c r="AQ1636" s="28"/>
      <c r="AR1636" s="237"/>
      <c r="AS1636" s="28"/>
      <c r="AT1636" s="304" t="str">
        <f t="shared" si="1066"/>
        <v/>
      </c>
      <c r="AU1636" s="304" t="str">
        <f t="shared" si="1066"/>
        <v/>
      </c>
      <c r="AV1636" s="28"/>
      <c r="AW1636" s="304" t="str">
        <f t="shared" si="1056"/>
        <v/>
      </c>
      <c r="AX1636" s="304" t="str">
        <f t="shared" si="1056"/>
        <v/>
      </c>
      <c r="AY1636" s="28"/>
      <c r="AZ1636" s="304" t="str">
        <f t="shared" si="1057"/>
        <v/>
      </c>
      <c r="BA1636" s="304" t="str">
        <f t="shared" si="1057"/>
        <v/>
      </c>
      <c r="BB1636" s="28"/>
      <c r="BC1636" s="304" t="str">
        <f t="shared" si="1058"/>
        <v/>
      </c>
      <c r="BD1636" s="304" t="str">
        <f t="shared" si="1058"/>
        <v/>
      </c>
      <c r="BE1636" s="28"/>
      <c r="BF1636" s="304" t="str">
        <f t="shared" si="1059"/>
        <v/>
      </c>
      <c r="BG1636" s="304" t="str">
        <f t="shared" si="1059"/>
        <v/>
      </c>
      <c r="BH1636" s="28"/>
      <c r="BI1636" s="304" t="str">
        <f t="shared" si="1060"/>
        <v/>
      </c>
      <c r="BJ1636" s="304" t="str">
        <f t="shared" si="1060"/>
        <v/>
      </c>
      <c r="BK1636" s="28"/>
      <c r="BL1636" s="304" t="str">
        <f t="shared" si="1061"/>
        <v/>
      </c>
      <c r="BM1636" s="304" t="str">
        <f t="shared" si="1061"/>
        <v/>
      </c>
      <c r="BN1636" s="28"/>
      <c r="BO1636" s="304" t="str">
        <f t="shared" si="1062"/>
        <v/>
      </c>
      <c r="BP1636" s="304" t="str">
        <f t="shared" si="1062"/>
        <v/>
      </c>
      <c r="BQ1636" s="28"/>
      <c r="BR1636" s="304" t="str">
        <f t="shared" si="1063"/>
        <v/>
      </c>
      <c r="BS1636" s="304" t="str">
        <f t="shared" si="1063"/>
        <v/>
      </c>
      <c r="BT1636" s="28"/>
      <c r="BU1636" s="304" t="str">
        <f t="shared" si="1064"/>
        <v/>
      </c>
      <c r="BV1636" s="304" t="str">
        <f t="shared" si="1064"/>
        <v/>
      </c>
      <c r="BW1636" s="28"/>
      <c r="BX1636" s="91"/>
    </row>
    <row r="1637" spans="1:76" s="55" customFormat="1" x14ac:dyDescent="0.25">
      <c r="A1637" s="195">
        <v>13</v>
      </c>
      <c r="B1637" s="216" t="str">
        <f t="shared" si="1053"/>
        <v xml:space="preserve">: </v>
      </c>
      <c r="C1637" s="221"/>
      <c r="D1637" s="221"/>
      <c r="E1637" s="221"/>
      <c r="F1637" s="221"/>
      <c r="G1637" s="240"/>
      <c r="H1637" s="221"/>
      <c r="I1637" s="240"/>
      <c r="J1637" s="241"/>
      <c r="K1637" s="241"/>
      <c r="L1637" s="227"/>
      <c r="M1637" s="227"/>
      <c r="N1637" s="227"/>
      <c r="O1637" s="227"/>
      <c r="P1637" s="122"/>
      <c r="Q1637" s="228"/>
      <c r="R1637" s="231" t="str">
        <f t="shared" si="1065"/>
        <v/>
      </c>
      <c r="S1637" s="230" t="str">
        <f t="shared" si="1054"/>
        <v/>
      </c>
      <c r="T1637" s="231" t="str">
        <f>IF(OR(Q1637="Y",IFERROR(R1637&gt;R1645+R1649*$AA$35,0),IFERROR(R1637&lt;R1645-R1649*$AA$35,0)),"",IFERROR(R1637*N1637,""))</f>
        <v/>
      </c>
      <c r="U1637" s="232" t="str">
        <f t="shared" si="1055"/>
        <v/>
      </c>
      <c r="V1637" s="28"/>
      <c r="W1637" s="28"/>
      <c r="Y1637" s="91"/>
      <c r="AO1637" s="91"/>
      <c r="AP1637" s="28"/>
      <c r="AQ1637" s="28"/>
      <c r="AR1637" s="237"/>
      <c r="AS1637" s="28"/>
      <c r="AT1637" s="304" t="str">
        <f t="shared" si="1066"/>
        <v/>
      </c>
      <c r="AU1637" s="304" t="str">
        <f t="shared" si="1066"/>
        <v/>
      </c>
      <c r="AV1637" s="28"/>
      <c r="AW1637" s="304" t="str">
        <f t="shared" si="1056"/>
        <v/>
      </c>
      <c r="AX1637" s="304" t="str">
        <f t="shared" si="1056"/>
        <v/>
      </c>
      <c r="AY1637" s="28"/>
      <c r="AZ1637" s="304" t="str">
        <f t="shared" si="1057"/>
        <v/>
      </c>
      <c r="BA1637" s="304" t="str">
        <f t="shared" si="1057"/>
        <v/>
      </c>
      <c r="BB1637" s="28"/>
      <c r="BC1637" s="304" t="str">
        <f t="shared" si="1058"/>
        <v/>
      </c>
      <c r="BD1637" s="304" t="str">
        <f t="shared" si="1058"/>
        <v/>
      </c>
      <c r="BE1637" s="28"/>
      <c r="BF1637" s="304" t="str">
        <f t="shared" si="1059"/>
        <v/>
      </c>
      <c r="BG1637" s="304" t="str">
        <f t="shared" si="1059"/>
        <v/>
      </c>
      <c r="BH1637" s="28"/>
      <c r="BI1637" s="304" t="str">
        <f t="shared" si="1060"/>
        <v/>
      </c>
      <c r="BJ1637" s="304" t="str">
        <f t="shared" si="1060"/>
        <v/>
      </c>
      <c r="BK1637" s="28"/>
      <c r="BL1637" s="304" t="str">
        <f t="shared" si="1061"/>
        <v/>
      </c>
      <c r="BM1637" s="304" t="str">
        <f t="shared" si="1061"/>
        <v/>
      </c>
      <c r="BN1637" s="28"/>
      <c r="BO1637" s="304" t="str">
        <f t="shared" si="1062"/>
        <v/>
      </c>
      <c r="BP1637" s="304" t="str">
        <f t="shared" si="1062"/>
        <v/>
      </c>
      <c r="BQ1637" s="28"/>
      <c r="BR1637" s="304" t="str">
        <f t="shared" si="1063"/>
        <v/>
      </c>
      <c r="BS1637" s="304" t="str">
        <f t="shared" si="1063"/>
        <v/>
      </c>
      <c r="BT1637" s="28"/>
      <c r="BU1637" s="304" t="str">
        <f t="shared" si="1064"/>
        <v/>
      </c>
      <c r="BV1637" s="304" t="str">
        <f t="shared" si="1064"/>
        <v/>
      </c>
      <c r="BW1637" s="28"/>
      <c r="BX1637" s="91"/>
    </row>
    <row r="1638" spans="1:76" s="55" customFormat="1" x14ac:dyDescent="0.25">
      <c r="A1638" s="195">
        <v>14</v>
      </c>
      <c r="B1638" s="216" t="str">
        <f t="shared" si="1053"/>
        <v xml:space="preserve">: </v>
      </c>
      <c r="C1638" s="221"/>
      <c r="D1638" s="221"/>
      <c r="E1638" s="221"/>
      <c r="F1638" s="221"/>
      <c r="G1638" s="240"/>
      <c r="H1638" s="221"/>
      <c r="I1638" s="240"/>
      <c r="J1638" s="241"/>
      <c r="K1638" s="241"/>
      <c r="L1638" s="227"/>
      <c r="M1638" s="227"/>
      <c r="N1638" s="227"/>
      <c r="O1638" s="227"/>
      <c r="P1638" s="122"/>
      <c r="Q1638" s="228"/>
      <c r="R1638" s="231" t="str">
        <f t="shared" si="1065"/>
        <v/>
      </c>
      <c r="S1638" s="230" t="str">
        <f t="shared" si="1054"/>
        <v/>
      </c>
      <c r="T1638" s="231" t="str">
        <f>IF(OR(Q1638="Y",IFERROR(R1638&gt;R1645+R1649*$AA$35,0),IFERROR(R1638&lt;R1645-R1649*$AA$35,0)),"",IFERROR(R1638*N1638,""))</f>
        <v/>
      </c>
      <c r="U1638" s="232" t="str">
        <f t="shared" si="1055"/>
        <v/>
      </c>
      <c r="V1638" s="28"/>
      <c r="W1638" s="28"/>
      <c r="Y1638" s="91"/>
      <c r="AO1638" s="91"/>
      <c r="AP1638" s="28"/>
      <c r="AQ1638" s="28"/>
      <c r="AR1638" s="237"/>
      <c r="AS1638" s="28"/>
      <c r="AT1638" s="304" t="str">
        <f t="shared" si="1066"/>
        <v/>
      </c>
      <c r="AU1638" s="304" t="str">
        <f t="shared" si="1066"/>
        <v/>
      </c>
      <c r="AV1638" s="28"/>
      <c r="AW1638" s="304" t="str">
        <f t="shared" si="1056"/>
        <v/>
      </c>
      <c r="AX1638" s="304" t="str">
        <f t="shared" si="1056"/>
        <v/>
      </c>
      <c r="AY1638" s="28"/>
      <c r="AZ1638" s="304" t="str">
        <f t="shared" si="1057"/>
        <v/>
      </c>
      <c r="BA1638" s="304" t="str">
        <f t="shared" si="1057"/>
        <v/>
      </c>
      <c r="BB1638" s="28"/>
      <c r="BC1638" s="304" t="str">
        <f t="shared" si="1058"/>
        <v/>
      </c>
      <c r="BD1638" s="304" t="str">
        <f t="shared" si="1058"/>
        <v/>
      </c>
      <c r="BE1638" s="28"/>
      <c r="BF1638" s="304" t="str">
        <f t="shared" si="1059"/>
        <v/>
      </c>
      <c r="BG1638" s="304" t="str">
        <f t="shared" si="1059"/>
        <v/>
      </c>
      <c r="BH1638" s="28"/>
      <c r="BI1638" s="304" t="str">
        <f t="shared" si="1060"/>
        <v/>
      </c>
      <c r="BJ1638" s="304" t="str">
        <f t="shared" si="1060"/>
        <v/>
      </c>
      <c r="BK1638" s="28"/>
      <c r="BL1638" s="304" t="str">
        <f t="shared" si="1061"/>
        <v/>
      </c>
      <c r="BM1638" s="304" t="str">
        <f t="shared" si="1061"/>
        <v/>
      </c>
      <c r="BN1638" s="28"/>
      <c r="BO1638" s="304" t="str">
        <f t="shared" si="1062"/>
        <v/>
      </c>
      <c r="BP1638" s="304" t="str">
        <f t="shared" si="1062"/>
        <v/>
      </c>
      <c r="BQ1638" s="28"/>
      <c r="BR1638" s="304" t="str">
        <f t="shared" si="1063"/>
        <v/>
      </c>
      <c r="BS1638" s="304" t="str">
        <f t="shared" si="1063"/>
        <v/>
      </c>
      <c r="BT1638" s="28"/>
      <c r="BU1638" s="304" t="str">
        <f t="shared" si="1064"/>
        <v/>
      </c>
      <c r="BV1638" s="304" t="str">
        <f t="shared" si="1064"/>
        <v/>
      </c>
      <c r="BW1638" s="28"/>
      <c r="BX1638" s="91"/>
    </row>
    <row r="1639" spans="1:76" s="55" customFormat="1" x14ac:dyDescent="0.25">
      <c r="A1639" s="195">
        <v>15</v>
      </c>
      <c r="B1639" s="216" t="str">
        <f t="shared" si="1053"/>
        <v xml:space="preserve">: </v>
      </c>
      <c r="C1639" s="221"/>
      <c r="D1639" s="221"/>
      <c r="E1639" s="221"/>
      <c r="F1639" s="221"/>
      <c r="G1639" s="240"/>
      <c r="H1639" s="221"/>
      <c r="I1639" s="240"/>
      <c r="J1639" s="241"/>
      <c r="K1639" s="241"/>
      <c r="L1639" s="227"/>
      <c r="M1639" s="227"/>
      <c r="N1639" s="227"/>
      <c r="O1639" s="227"/>
      <c r="P1639" s="122"/>
      <c r="Q1639" s="228"/>
      <c r="R1639" s="231" t="str">
        <f t="shared" si="1065"/>
        <v/>
      </c>
      <c r="S1639" s="230" t="str">
        <f t="shared" si="1054"/>
        <v/>
      </c>
      <c r="T1639" s="231" t="str">
        <f>IF(OR(Q1639="Y",IFERROR(R1639&gt;R1645+R1649*$AA$35,0),IFERROR(R1639&lt;R1645-R1649*$AA$35,0)),"",IFERROR(R1639*N1639,""))</f>
        <v/>
      </c>
      <c r="U1639" s="232" t="str">
        <f t="shared" si="1055"/>
        <v/>
      </c>
      <c r="V1639" s="28"/>
      <c r="W1639" s="28"/>
      <c r="Y1639" s="91"/>
      <c r="AO1639" s="91"/>
      <c r="AP1639" s="28"/>
      <c r="AQ1639" s="28"/>
      <c r="AR1639" s="237"/>
      <c r="AS1639" s="28"/>
      <c r="AT1639" s="304" t="str">
        <f t="shared" si="1066"/>
        <v/>
      </c>
      <c r="AU1639" s="304" t="str">
        <f t="shared" si="1066"/>
        <v/>
      </c>
      <c r="AV1639" s="28"/>
      <c r="AW1639" s="304" t="str">
        <f t="shared" si="1056"/>
        <v/>
      </c>
      <c r="AX1639" s="304" t="str">
        <f t="shared" si="1056"/>
        <v/>
      </c>
      <c r="AY1639" s="28"/>
      <c r="AZ1639" s="304" t="str">
        <f t="shared" si="1057"/>
        <v/>
      </c>
      <c r="BA1639" s="304" t="str">
        <f t="shared" si="1057"/>
        <v/>
      </c>
      <c r="BB1639" s="28"/>
      <c r="BC1639" s="304" t="str">
        <f t="shared" si="1058"/>
        <v/>
      </c>
      <c r="BD1639" s="304" t="str">
        <f t="shared" si="1058"/>
        <v/>
      </c>
      <c r="BE1639" s="28"/>
      <c r="BF1639" s="304" t="str">
        <f t="shared" si="1059"/>
        <v/>
      </c>
      <c r="BG1639" s="304" t="str">
        <f t="shared" si="1059"/>
        <v/>
      </c>
      <c r="BH1639" s="28"/>
      <c r="BI1639" s="304" t="str">
        <f t="shared" si="1060"/>
        <v/>
      </c>
      <c r="BJ1639" s="304" t="str">
        <f t="shared" si="1060"/>
        <v/>
      </c>
      <c r="BK1639" s="28"/>
      <c r="BL1639" s="304" t="str">
        <f t="shared" si="1061"/>
        <v/>
      </c>
      <c r="BM1639" s="304" t="str">
        <f t="shared" si="1061"/>
        <v/>
      </c>
      <c r="BN1639" s="28"/>
      <c r="BO1639" s="304" t="str">
        <f t="shared" si="1062"/>
        <v/>
      </c>
      <c r="BP1639" s="304" t="str">
        <f t="shared" si="1062"/>
        <v/>
      </c>
      <c r="BQ1639" s="28"/>
      <c r="BR1639" s="304" t="str">
        <f t="shared" si="1063"/>
        <v/>
      </c>
      <c r="BS1639" s="304" t="str">
        <f t="shared" si="1063"/>
        <v/>
      </c>
      <c r="BT1639" s="28"/>
      <c r="BU1639" s="304" t="str">
        <f t="shared" si="1064"/>
        <v/>
      </c>
      <c r="BV1639" s="304" t="str">
        <f t="shared" si="1064"/>
        <v/>
      </c>
      <c r="BW1639" s="28"/>
      <c r="BX1639" s="91"/>
    </row>
    <row r="1640" spans="1:76" s="55" customFormat="1" x14ac:dyDescent="0.25">
      <c r="A1640" s="195">
        <v>16</v>
      </c>
      <c r="B1640" s="216" t="str">
        <f t="shared" si="1053"/>
        <v xml:space="preserve">: </v>
      </c>
      <c r="C1640" s="221"/>
      <c r="D1640" s="221"/>
      <c r="E1640" s="221"/>
      <c r="F1640" s="221"/>
      <c r="G1640" s="240"/>
      <c r="H1640" s="221"/>
      <c r="I1640" s="240"/>
      <c r="J1640" s="241"/>
      <c r="K1640" s="241"/>
      <c r="L1640" s="227"/>
      <c r="M1640" s="227"/>
      <c r="N1640" s="227"/>
      <c r="O1640" s="227"/>
      <c r="P1640" s="122"/>
      <c r="Q1640" s="228"/>
      <c r="R1640" s="231" t="str">
        <f t="shared" si="1065"/>
        <v/>
      </c>
      <c r="S1640" s="230" t="str">
        <f t="shared" si="1054"/>
        <v/>
      </c>
      <c r="T1640" s="231" t="str">
        <f>IF(OR(Q1640="Y",IFERROR(R1640&gt;R1645+R1649*$AA$35,0),IFERROR(R1640&lt;R1645-R1649*$AA$35,0)),"",IFERROR(R1640*N1640,""))</f>
        <v/>
      </c>
      <c r="U1640" s="232" t="str">
        <f t="shared" si="1055"/>
        <v/>
      </c>
      <c r="V1640" s="28"/>
      <c r="W1640" s="28"/>
      <c r="Y1640" s="91"/>
      <c r="AO1640" s="91"/>
      <c r="AP1640" s="28"/>
      <c r="AQ1640" s="28"/>
      <c r="AR1640" s="237"/>
      <c r="AS1640" s="28"/>
      <c r="AT1640" s="304" t="str">
        <f t="shared" si="1066"/>
        <v/>
      </c>
      <c r="AU1640" s="304" t="str">
        <f t="shared" si="1066"/>
        <v/>
      </c>
      <c r="AV1640" s="28"/>
      <c r="AW1640" s="304" t="str">
        <f t="shared" si="1056"/>
        <v/>
      </c>
      <c r="AX1640" s="304" t="str">
        <f t="shared" si="1056"/>
        <v/>
      </c>
      <c r="AY1640" s="28"/>
      <c r="AZ1640" s="304" t="str">
        <f t="shared" si="1057"/>
        <v/>
      </c>
      <c r="BA1640" s="304" t="str">
        <f t="shared" si="1057"/>
        <v/>
      </c>
      <c r="BB1640" s="28"/>
      <c r="BC1640" s="304" t="str">
        <f t="shared" si="1058"/>
        <v/>
      </c>
      <c r="BD1640" s="304" t="str">
        <f t="shared" si="1058"/>
        <v/>
      </c>
      <c r="BE1640" s="28"/>
      <c r="BF1640" s="304" t="str">
        <f t="shared" si="1059"/>
        <v/>
      </c>
      <c r="BG1640" s="304" t="str">
        <f t="shared" si="1059"/>
        <v/>
      </c>
      <c r="BH1640" s="28"/>
      <c r="BI1640" s="304" t="str">
        <f t="shared" si="1060"/>
        <v/>
      </c>
      <c r="BJ1640" s="304" t="str">
        <f t="shared" si="1060"/>
        <v/>
      </c>
      <c r="BK1640" s="28"/>
      <c r="BL1640" s="304" t="str">
        <f t="shared" si="1061"/>
        <v/>
      </c>
      <c r="BM1640" s="304" t="str">
        <f t="shared" si="1061"/>
        <v/>
      </c>
      <c r="BN1640" s="28"/>
      <c r="BO1640" s="304" t="str">
        <f t="shared" si="1062"/>
        <v/>
      </c>
      <c r="BP1640" s="304" t="str">
        <f t="shared" si="1062"/>
        <v/>
      </c>
      <c r="BQ1640" s="28"/>
      <c r="BR1640" s="304" t="str">
        <f t="shared" si="1063"/>
        <v/>
      </c>
      <c r="BS1640" s="304" t="str">
        <f t="shared" si="1063"/>
        <v/>
      </c>
      <c r="BT1640" s="28"/>
      <c r="BU1640" s="304" t="str">
        <f t="shared" si="1064"/>
        <v/>
      </c>
      <c r="BV1640" s="304" t="str">
        <f t="shared" si="1064"/>
        <v/>
      </c>
      <c r="BW1640" s="28"/>
      <c r="BX1640" s="91"/>
    </row>
    <row r="1641" spans="1:76" s="55" customFormat="1" x14ac:dyDescent="0.25">
      <c r="A1641" s="195">
        <v>17</v>
      </c>
      <c r="B1641" s="216" t="str">
        <f t="shared" si="1053"/>
        <v xml:space="preserve">: </v>
      </c>
      <c r="C1641" s="221"/>
      <c r="D1641" s="221"/>
      <c r="E1641" s="221"/>
      <c r="F1641" s="221"/>
      <c r="G1641" s="240"/>
      <c r="H1641" s="221"/>
      <c r="I1641" s="240"/>
      <c r="J1641" s="241"/>
      <c r="K1641" s="241"/>
      <c r="L1641" s="227"/>
      <c r="M1641" s="227"/>
      <c r="N1641" s="227"/>
      <c r="O1641" s="227"/>
      <c r="P1641" s="122"/>
      <c r="Q1641" s="228"/>
      <c r="R1641" s="231" t="str">
        <f t="shared" si="1065"/>
        <v/>
      </c>
      <c r="S1641" s="230" t="str">
        <f t="shared" si="1054"/>
        <v/>
      </c>
      <c r="T1641" s="231" t="str">
        <f>IF(OR(Q1641="Y",IFERROR(R1641&gt;R1645+R1649*$AA$35,0),IFERROR(R1641&lt;R1645-R1649*$AA$35,0)),"",IFERROR(R1641*N1641,""))</f>
        <v/>
      </c>
      <c r="U1641" s="232" t="str">
        <f t="shared" si="1055"/>
        <v/>
      </c>
      <c r="V1641" s="28"/>
      <c r="W1641" s="28"/>
      <c r="Y1641" s="91"/>
      <c r="AO1641" s="91"/>
      <c r="AP1641" s="28"/>
      <c r="AQ1641" s="28"/>
      <c r="AR1641" s="237"/>
      <c r="AS1641" s="28"/>
      <c r="AT1641" s="304" t="str">
        <f t="shared" si="1066"/>
        <v/>
      </c>
      <c r="AU1641" s="304" t="str">
        <f t="shared" si="1066"/>
        <v/>
      </c>
      <c r="AV1641" s="28"/>
      <c r="AW1641" s="304" t="str">
        <f t="shared" si="1056"/>
        <v/>
      </c>
      <c r="AX1641" s="304" t="str">
        <f t="shared" si="1056"/>
        <v/>
      </c>
      <c r="AY1641" s="28"/>
      <c r="AZ1641" s="304" t="str">
        <f t="shared" si="1057"/>
        <v/>
      </c>
      <c r="BA1641" s="304" t="str">
        <f t="shared" si="1057"/>
        <v/>
      </c>
      <c r="BB1641" s="28"/>
      <c r="BC1641" s="304" t="str">
        <f t="shared" si="1058"/>
        <v/>
      </c>
      <c r="BD1641" s="304" t="str">
        <f t="shared" si="1058"/>
        <v/>
      </c>
      <c r="BE1641" s="28"/>
      <c r="BF1641" s="304" t="str">
        <f t="shared" si="1059"/>
        <v/>
      </c>
      <c r="BG1641" s="304" t="str">
        <f t="shared" si="1059"/>
        <v/>
      </c>
      <c r="BH1641" s="28"/>
      <c r="BI1641" s="304" t="str">
        <f t="shared" si="1060"/>
        <v/>
      </c>
      <c r="BJ1641" s="304" t="str">
        <f t="shared" si="1060"/>
        <v/>
      </c>
      <c r="BK1641" s="28"/>
      <c r="BL1641" s="304" t="str">
        <f t="shared" si="1061"/>
        <v/>
      </c>
      <c r="BM1641" s="304" t="str">
        <f t="shared" si="1061"/>
        <v/>
      </c>
      <c r="BN1641" s="28"/>
      <c r="BO1641" s="304" t="str">
        <f t="shared" si="1062"/>
        <v/>
      </c>
      <c r="BP1641" s="304" t="str">
        <f t="shared" si="1062"/>
        <v/>
      </c>
      <c r="BQ1641" s="28"/>
      <c r="BR1641" s="304" t="str">
        <f t="shared" si="1063"/>
        <v/>
      </c>
      <c r="BS1641" s="304" t="str">
        <f t="shared" si="1063"/>
        <v/>
      </c>
      <c r="BT1641" s="28"/>
      <c r="BU1641" s="304" t="str">
        <f t="shared" si="1064"/>
        <v/>
      </c>
      <c r="BV1641" s="304" t="str">
        <f t="shared" si="1064"/>
        <v/>
      </c>
      <c r="BW1641" s="28"/>
      <c r="BX1641" s="91"/>
    </row>
    <row r="1642" spans="1:76" s="55" customFormat="1" x14ac:dyDescent="0.25">
      <c r="A1642" s="195">
        <v>18</v>
      </c>
      <c r="B1642" s="216" t="str">
        <f t="shared" si="1053"/>
        <v xml:space="preserve">: </v>
      </c>
      <c r="C1642" s="221"/>
      <c r="D1642" s="221"/>
      <c r="E1642" s="221"/>
      <c r="F1642" s="221"/>
      <c r="G1642" s="240"/>
      <c r="H1642" s="221"/>
      <c r="I1642" s="240"/>
      <c r="J1642" s="241"/>
      <c r="K1642" s="241"/>
      <c r="L1642" s="227"/>
      <c r="M1642" s="227"/>
      <c r="N1642" s="227"/>
      <c r="O1642" s="227"/>
      <c r="P1642" s="122"/>
      <c r="Q1642" s="228"/>
      <c r="R1642" s="231" t="str">
        <f t="shared" si="1065"/>
        <v/>
      </c>
      <c r="S1642" s="230" t="str">
        <f t="shared" si="1054"/>
        <v/>
      </c>
      <c r="T1642" s="231" t="str">
        <f>IF(OR(Q1642="Y",IFERROR(R1642&gt;R1645+R1649*$AA$35,0),IFERROR(R1642&lt;R1645-R1649*$AA$35,0)),"",IFERROR(R1642*N1642,""))</f>
        <v/>
      </c>
      <c r="U1642" s="232" t="str">
        <f t="shared" si="1055"/>
        <v/>
      </c>
      <c r="V1642" s="28"/>
      <c r="W1642" s="28"/>
      <c r="Y1642" s="91"/>
      <c r="AO1642" s="91"/>
      <c r="AP1642" s="28"/>
      <c r="AQ1642" s="28"/>
      <c r="AR1642" s="237"/>
      <c r="AS1642" s="28"/>
      <c r="AT1642" s="304" t="str">
        <f t="shared" si="1066"/>
        <v/>
      </c>
      <c r="AU1642" s="304" t="str">
        <f t="shared" si="1066"/>
        <v/>
      </c>
      <c r="AV1642" s="28"/>
      <c r="AW1642" s="304" t="str">
        <f t="shared" si="1056"/>
        <v/>
      </c>
      <c r="AX1642" s="304" t="str">
        <f t="shared" si="1056"/>
        <v/>
      </c>
      <c r="AY1642" s="28"/>
      <c r="AZ1642" s="304" t="str">
        <f t="shared" si="1057"/>
        <v/>
      </c>
      <c r="BA1642" s="304" t="str">
        <f t="shared" si="1057"/>
        <v/>
      </c>
      <c r="BB1642" s="28"/>
      <c r="BC1642" s="304" t="str">
        <f t="shared" si="1058"/>
        <v/>
      </c>
      <c r="BD1642" s="304" t="str">
        <f t="shared" si="1058"/>
        <v/>
      </c>
      <c r="BE1642" s="28"/>
      <c r="BF1642" s="304" t="str">
        <f t="shared" si="1059"/>
        <v/>
      </c>
      <c r="BG1642" s="304" t="str">
        <f t="shared" si="1059"/>
        <v/>
      </c>
      <c r="BH1642" s="28"/>
      <c r="BI1642" s="304" t="str">
        <f t="shared" si="1060"/>
        <v/>
      </c>
      <c r="BJ1642" s="304" t="str">
        <f t="shared" si="1060"/>
        <v/>
      </c>
      <c r="BK1642" s="28"/>
      <c r="BL1642" s="304" t="str">
        <f t="shared" si="1061"/>
        <v/>
      </c>
      <c r="BM1642" s="304" t="str">
        <f t="shared" si="1061"/>
        <v/>
      </c>
      <c r="BN1642" s="28"/>
      <c r="BO1642" s="304" t="str">
        <f t="shared" si="1062"/>
        <v/>
      </c>
      <c r="BP1642" s="304" t="str">
        <f t="shared" si="1062"/>
        <v/>
      </c>
      <c r="BQ1642" s="28"/>
      <c r="BR1642" s="304" t="str">
        <f t="shared" si="1063"/>
        <v/>
      </c>
      <c r="BS1642" s="304" t="str">
        <f t="shared" si="1063"/>
        <v/>
      </c>
      <c r="BT1642" s="28"/>
      <c r="BU1642" s="304" t="str">
        <f t="shared" si="1064"/>
        <v/>
      </c>
      <c r="BV1642" s="304" t="str">
        <f t="shared" si="1064"/>
        <v/>
      </c>
      <c r="BW1642" s="28"/>
      <c r="BX1642" s="91"/>
    </row>
    <row r="1643" spans="1:76" s="55" customFormat="1" x14ac:dyDescent="0.25">
      <c r="A1643" s="195">
        <v>19</v>
      </c>
      <c r="B1643" s="216" t="str">
        <f t="shared" si="1053"/>
        <v xml:space="preserve">: </v>
      </c>
      <c r="C1643" s="221"/>
      <c r="D1643" s="221"/>
      <c r="E1643" s="221"/>
      <c r="F1643" s="221"/>
      <c r="G1643" s="240"/>
      <c r="H1643" s="221"/>
      <c r="I1643" s="240"/>
      <c r="J1643" s="241"/>
      <c r="K1643" s="241"/>
      <c r="L1643" s="227"/>
      <c r="M1643" s="227"/>
      <c r="N1643" s="227"/>
      <c r="O1643" s="227"/>
      <c r="P1643" s="122"/>
      <c r="Q1643" s="228"/>
      <c r="R1643" s="231" t="str">
        <f t="shared" si="1065"/>
        <v/>
      </c>
      <c r="S1643" s="230" t="str">
        <f t="shared" si="1054"/>
        <v/>
      </c>
      <c r="T1643" s="231" t="str">
        <f>IF(OR(Q1643="Y",IFERROR(R1643&gt;R1645+R1649*$AA$35,0),IFERROR(R1643&lt;R1645-R1649*$AA$35,0)),"",IFERROR(R1643*N1643,""))</f>
        <v/>
      </c>
      <c r="U1643" s="232" t="str">
        <f t="shared" si="1055"/>
        <v/>
      </c>
      <c r="V1643" s="28"/>
      <c r="W1643" s="28"/>
      <c r="Y1643" s="91"/>
      <c r="AO1643" s="91"/>
      <c r="AP1643" s="28"/>
      <c r="AQ1643" s="28"/>
      <c r="AR1643" s="237"/>
      <c r="AS1643" s="28"/>
      <c r="AT1643" s="304" t="str">
        <f t="shared" si="1066"/>
        <v/>
      </c>
      <c r="AU1643" s="304" t="str">
        <f t="shared" si="1066"/>
        <v/>
      </c>
      <c r="AV1643" s="28"/>
      <c r="AW1643" s="304" t="str">
        <f t="shared" si="1056"/>
        <v/>
      </c>
      <c r="AX1643" s="304" t="str">
        <f t="shared" si="1056"/>
        <v/>
      </c>
      <c r="AY1643" s="28"/>
      <c r="AZ1643" s="304" t="str">
        <f t="shared" si="1057"/>
        <v/>
      </c>
      <c r="BA1643" s="304" t="str">
        <f t="shared" si="1057"/>
        <v/>
      </c>
      <c r="BB1643" s="28"/>
      <c r="BC1643" s="304" t="str">
        <f t="shared" si="1058"/>
        <v/>
      </c>
      <c r="BD1643" s="304" t="str">
        <f t="shared" si="1058"/>
        <v/>
      </c>
      <c r="BE1643" s="28"/>
      <c r="BF1643" s="304" t="str">
        <f t="shared" si="1059"/>
        <v/>
      </c>
      <c r="BG1643" s="304" t="str">
        <f t="shared" si="1059"/>
        <v/>
      </c>
      <c r="BH1643" s="28"/>
      <c r="BI1643" s="304" t="str">
        <f t="shared" si="1060"/>
        <v/>
      </c>
      <c r="BJ1643" s="304" t="str">
        <f t="shared" si="1060"/>
        <v/>
      </c>
      <c r="BK1643" s="28"/>
      <c r="BL1643" s="304" t="str">
        <f t="shared" si="1061"/>
        <v/>
      </c>
      <c r="BM1643" s="304" t="str">
        <f t="shared" si="1061"/>
        <v/>
      </c>
      <c r="BN1643" s="28"/>
      <c r="BO1643" s="304" t="str">
        <f t="shared" si="1062"/>
        <v/>
      </c>
      <c r="BP1643" s="304" t="str">
        <f t="shared" si="1062"/>
        <v/>
      </c>
      <c r="BQ1643" s="28"/>
      <c r="BR1643" s="304" t="str">
        <f t="shared" si="1063"/>
        <v/>
      </c>
      <c r="BS1643" s="304" t="str">
        <f t="shared" si="1063"/>
        <v/>
      </c>
      <c r="BT1643" s="28"/>
      <c r="BU1643" s="304" t="str">
        <f t="shared" si="1064"/>
        <v/>
      </c>
      <c r="BV1643" s="304" t="str">
        <f t="shared" si="1064"/>
        <v/>
      </c>
      <c r="BW1643" s="28"/>
      <c r="BX1643" s="91"/>
    </row>
    <row r="1644" spans="1:76" s="55" customFormat="1" x14ac:dyDescent="0.25">
      <c r="A1644" s="195">
        <v>20</v>
      </c>
      <c r="B1644" s="216" t="str">
        <f t="shared" si="1053"/>
        <v xml:space="preserve">: </v>
      </c>
      <c r="C1644" s="221"/>
      <c r="D1644" s="221"/>
      <c r="E1644" s="221"/>
      <c r="F1644" s="221"/>
      <c r="G1644" s="240"/>
      <c r="H1644" s="221"/>
      <c r="I1644" s="240"/>
      <c r="J1644" s="241"/>
      <c r="K1644" s="241"/>
      <c r="L1644" s="227"/>
      <c r="M1644" s="227"/>
      <c r="N1644" s="227"/>
      <c r="O1644" s="227"/>
      <c r="P1644" s="122"/>
      <c r="Q1644" s="228"/>
      <c r="R1644" s="231" t="str">
        <f t="shared" si="1065"/>
        <v/>
      </c>
      <c r="S1644" s="230" t="str">
        <f t="shared" si="1054"/>
        <v/>
      </c>
      <c r="T1644" s="231" t="str">
        <f>IF(OR(Q1644="Y",IFERROR(R1644&gt;R1645+R1649*$AA$35,0),IFERROR(R1644&lt;R1645-R1649*$AA$35,0)),"",IFERROR(R1644*N1644,""))</f>
        <v/>
      </c>
      <c r="U1644" s="232" t="str">
        <f t="shared" si="1055"/>
        <v/>
      </c>
      <c r="V1644" s="28"/>
      <c r="W1644" s="28"/>
      <c r="Y1644" s="91"/>
      <c r="AO1644" s="91"/>
      <c r="AP1644" s="28"/>
      <c r="AQ1644" s="28"/>
      <c r="AR1644" s="237"/>
      <c r="AS1644" s="28"/>
      <c r="AT1644" s="304" t="str">
        <f t="shared" si="1066"/>
        <v/>
      </c>
      <c r="AU1644" s="304" t="str">
        <f t="shared" si="1066"/>
        <v/>
      </c>
      <c r="AV1644" s="28"/>
      <c r="AW1644" s="304" t="str">
        <f t="shared" si="1056"/>
        <v/>
      </c>
      <c r="AX1644" s="304" t="str">
        <f t="shared" si="1056"/>
        <v/>
      </c>
      <c r="AY1644" s="28"/>
      <c r="AZ1644" s="304" t="str">
        <f t="shared" si="1057"/>
        <v/>
      </c>
      <c r="BA1644" s="304" t="str">
        <f t="shared" si="1057"/>
        <v/>
      </c>
      <c r="BB1644" s="28"/>
      <c r="BC1644" s="304" t="str">
        <f t="shared" si="1058"/>
        <v/>
      </c>
      <c r="BD1644" s="304" t="str">
        <f t="shared" si="1058"/>
        <v/>
      </c>
      <c r="BE1644" s="28"/>
      <c r="BF1644" s="304" t="str">
        <f t="shared" si="1059"/>
        <v/>
      </c>
      <c r="BG1644" s="304" t="str">
        <f t="shared" si="1059"/>
        <v/>
      </c>
      <c r="BH1644" s="28"/>
      <c r="BI1644" s="304" t="str">
        <f t="shared" si="1060"/>
        <v/>
      </c>
      <c r="BJ1644" s="304" t="str">
        <f t="shared" si="1060"/>
        <v/>
      </c>
      <c r="BK1644" s="28"/>
      <c r="BL1644" s="304" t="str">
        <f t="shared" si="1061"/>
        <v/>
      </c>
      <c r="BM1644" s="304" t="str">
        <f t="shared" si="1061"/>
        <v/>
      </c>
      <c r="BN1644" s="28"/>
      <c r="BO1644" s="304" t="str">
        <f t="shared" si="1062"/>
        <v/>
      </c>
      <c r="BP1644" s="304" t="str">
        <f t="shared" si="1062"/>
        <v/>
      </c>
      <c r="BQ1644" s="28"/>
      <c r="BR1644" s="304" t="str">
        <f t="shared" si="1063"/>
        <v/>
      </c>
      <c r="BS1644" s="304" t="str">
        <f t="shared" si="1063"/>
        <v/>
      </c>
      <c r="BT1644" s="28"/>
      <c r="BU1644" s="304" t="str">
        <f t="shared" si="1064"/>
        <v/>
      </c>
      <c r="BV1644" s="304" t="str">
        <f t="shared" si="1064"/>
        <v/>
      </c>
      <c r="BW1644" s="28"/>
      <c r="BX1644" s="91"/>
    </row>
    <row r="1645" spans="1:76" s="55" customFormat="1" x14ac:dyDescent="0.25">
      <c r="A1645" s="195"/>
      <c r="B1645" s="244" t="s">
        <v>163</v>
      </c>
      <c r="C1645" s="199"/>
      <c r="D1645" s="199"/>
      <c r="E1645" s="199"/>
      <c r="F1645" s="199"/>
      <c r="H1645" s="28"/>
      <c r="I1645" s="245"/>
      <c r="J1645" s="122"/>
      <c r="K1645" s="122"/>
      <c r="L1645" s="122" t="s">
        <v>134</v>
      </c>
      <c r="M1645" s="122"/>
      <c r="N1645" s="122"/>
      <c r="O1645" s="122"/>
      <c r="P1645" s="122"/>
      <c r="Q1645" s="305" t="s">
        <v>136</v>
      </c>
      <c r="R1645" s="246" t="e">
        <f>AVERAGE(R1625:R1644)</f>
        <v>#DIV/0!</v>
      </c>
      <c r="S1645" s="247" t="e">
        <f>IF(R1653="Y",SUM(S1625:S1644)/SUMPRODUCT(N1625:N1644,--ISNUMBER(S1625:S1644)),AVERAGE(S1625:S1644))</f>
        <v>#DIV/0!</v>
      </c>
      <c r="T1645" s="248" t="e">
        <f>SUM(T1625:T1644)/SUMPRODUCT(N1625:N1644,--ISNUMBER(T1625:T1644))</f>
        <v>#DIV/0!</v>
      </c>
      <c r="U1645" s="28"/>
      <c r="V1645" s="28"/>
      <c r="W1645" s="28"/>
      <c r="Y1645" s="249"/>
      <c r="AO1645" s="91"/>
      <c r="AP1645" s="28"/>
      <c r="AQ1645" s="28"/>
      <c r="AR1645" s="28"/>
      <c r="AS1645" s="245" t="s">
        <v>136</v>
      </c>
      <c r="AT1645" s="307" t="e">
        <f>AVERAGE(AT1625:AT1644)</f>
        <v>#DIV/0!</v>
      </c>
      <c r="AU1645" s="307" t="e">
        <f>SUM(AU1625:AU1644)/COUNTIF(AU1625:AU1644,"&gt;0")</f>
        <v>#DIV/0!</v>
      </c>
      <c r="AV1645" s="245"/>
      <c r="AW1645" s="307" t="e">
        <f>AVERAGE(AW1625:AW1644)</f>
        <v>#DIV/0!</v>
      </c>
      <c r="AX1645" s="307" t="e">
        <f>SUM(AX1625:AX1644)/COUNTIF(AX1625:AX1644,"&gt;0")</f>
        <v>#DIV/0!</v>
      </c>
      <c r="AY1645" s="28"/>
      <c r="AZ1645" s="307" t="e">
        <f>AVERAGE(AZ1625:AZ1644)</f>
        <v>#DIV/0!</v>
      </c>
      <c r="BA1645" s="307" t="e">
        <f>SUM(BA1625:BA1644)/COUNTIF(BA1625:BA1644,"&gt;0")</f>
        <v>#DIV/0!</v>
      </c>
      <c r="BB1645" s="28"/>
      <c r="BC1645" s="307" t="e">
        <f>AVERAGE(BC1625:BC1644)</f>
        <v>#DIV/0!</v>
      </c>
      <c r="BD1645" s="307" t="e">
        <f>SUM(BD1625:BD1644)/COUNTIF(BD1625:BD1644,"&gt;0")</f>
        <v>#DIV/0!</v>
      </c>
      <c r="BE1645" s="28"/>
      <c r="BF1645" s="307" t="e">
        <f>AVERAGE(BF1625:BF1644)</f>
        <v>#DIV/0!</v>
      </c>
      <c r="BG1645" s="307" t="e">
        <f>SUM(BG1625:BG1644)/COUNTIF(BG1625:BG1644,"&gt;0")</f>
        <v>#DIV/0!</v>
      </c>
      <c r="BH1645" s="28"/>
      <c r="BI1645" s="307" t="e">
        <f>AVERAGE(BI1625:BI1644)</f>
        <v>#DIV/0!</v>
      </c>
      <c r="BJ1645" s="307" t="e">
        <f>SUM(BJ1625:BJ1644)/COUNTIF(BJ1625:BJ1644,"&gt;0")</f>
        <v>#DIV/0!</v>
      </c>
      <c r="BK1645" s="245"/>
      <c r="BL1645" s="307" t="e">
        <f>AVERAGE(BL1625:BL1644)</f>
        <v>#DIV/0!</v>
      </c>
      <c r="BM1645" s="307" t="e">
        <f>SUM(BM1625:BM1644)/COUNTIF(BM1625:BM1644,"&gt;0")</f>
        <v>#DIV/0!</v>
      </c>
      <c r="BN1645" s="28"/>
      <c r="BO1645" s="307" t="e">
        <f>AVERAGE(BO1625:BO1644)</f>
        <v>#DIV/0!</v>
      </c>
      <c r="BP1645" s="307" t="e">
        <f>SUM(BP1625:BP1644)/COUNTIF(BP1625:BP1644,"&gt;0")</f>
        <v>#DIV/0!</v>
      </c>
      <c r="BQ1645" s="28"/>
      <c r="BR1645" s="307" t="e">
        <f>AVERAGE(BR1625:BR1644)</f>
        <v>#DIV/0!</v>
      </c>
      <c r="BS1645" s="307" t="e">
        <f>SUM(BS1625:BS1644)/COUNTIF(BS1625:BS1644,"&gt;0")</f>
        <v>#DIV/0!</v>
      </c>
      <c r="BT1645" s="28"/>
      <c r="BU1645" s="307" t="e">
        <f>AVERAGE(BU1625:BU1644)</f>
        <v>#DIV/0!</v>
      </c>
      <c r="BV1645" s="307" t="e">
        <f>SUM(BV1625:BV1644)/COUNTIF(BV1625:BV1644,"&gt;0")</f>
        <v>#DIV/0!</v>
      </c>
      <c r="BW1645" s="28"/>
      <c r="BX1645" s="91"/>
    </row>
    <row r="1646" spans="1:76" s="55" customFormat="1" x14ac:dyDescent="0.25">
      <c r="A1646" s="195"/>
      <c r="B1646" s="244" t="s">
        <v>164</v>
      </c>
      <c r="C1646" s="199" t="s">
        <v>139</v>
      </c>
      <c r="D1646" s="252"/>
      <c r="E1646" s="253"/>
      <c r="F1646" s="253"/>
      <c r="G1646" s="253"/>
      <c r="H1646" s="253"/>
      <c r="I1646" s="253"/>
      <c r="J1646" s="254"/>
      <c r="K1646" s="122"/>
      <c r="L1646" s="122"/>
      <c r="M1646" s="122"/>
      <c r="N1646" s="122"/>
      <c r="O1646" s="122"/>
      <c r="P1646" s="122"/>
      <c r="Q1646" s="306" t="s">
        <v>144</v>
      </c>
      <c r="R1646" s="257" t="e">
        <f>R1645+U1646*R1649</f>
        <v>#DIV/0!</v>
      </c>
      <c r="S1646" s="257" t="e">
        <f>S1645+U1646*S1649</f>
        <v>#DIV/0!</v>
      </c>
      <c r="T1646" s="257" t="e">
        <f>T1645+U1646*T1649</f>
        <v>#DIV/0!</v>
      </c>
      <c r="U1646" s="258">
        <v>1</v>
      </c>
      <c r="V1646" s="122" t="s">
        <v>142</v>
      </c>
      <c r="W1646" s="28"/>
      <c r="X1646" s="259" t="s">
        <v>143</v>
      </c>
      <c r="Y1646" s="260"/>
      <c r="AO1646" s="91"/>
      <c r="AP1646" s="28"/>
      <c r="AQ1646" s="28"/>
      <c r="AR1646" s="28"/>
      <c r="AS1646" s="256" t="s">
        <v>144</v>
      </c>
      <c r="AT1646" s="261" t="e">
        <f>AT1645+(AT1651*AT1648)</f>
        <v>#DIV/0!</v>
      </c>
      <c r="AU1646" s="261" t="e">
        <f>AU1645+(AU1651*AT1648)</f>
        <v>#DIV/0!</v>
      </c>
      <c r="AV1646" s="256"/>
      <c r="AW1646" s="261" t="e">
        <f>AW1645+(AW1651*AW1648)</f>
        <v>#DIV/0!</v>
      </c>
      <c r="AX1646" s="261" t="e">
        <f>AX1645+(AX1651*AW1648)</f>
        <v>#DIV/0!</v>
      </c>
      <c r="AY1646" s="28"/>
      <c r="AZ1646" s="261" t="e">
        <f>AZ1645+(AZ1651*AZ1648)</f>
        <v>#DIV/0!</v>
      </c>
      <c r="BA1646" s="261" t="e">
        <f>BA1645+(BA1651*AZ1648)</f>
        <v>#DIV/0!</v>
      </c>
      <c r="BB1646" s="28"/>
      <c r="BC1646" s="261" t="e">
        <f>BC1645+(BC1651*BC1648)</f>
        <v>#DIV/0!</v>
      </c>
      <c r="BD1646" s="261" t="e">
        <f>BD1645+(BD1651*BC1648)</f>
        <v>#DIV/0!</v>
      </c>
      <c r="BE1646" s="28"/>
      <c r="BF1646" s="261" t="e">
        <f>BF1645+(BF1651*BF1648)</f>
        <v>#DIV/0!</v>
      </c>
      <c r="BG1646" s="261" t="e">
        <f>BG1645+(BG1651*BF1648)</f>
        <v>#DIV/0!</v>
      </c>
      <c r="BH1646" s="28"/>
      <c r="BI1646" s="261" t="e">
        <f>BI1645+(BI1651*BI1648)</f>
        <v>#DIV/0!</v>
      </c>
      <c r="BJ1646" s="261" t="e">
        <f>BJ1645+(BJ1651*BI1648)</f>
        <v>#DIV/0!</v>
      </c>
      <c r="BK1646" s="256"/>
      <c r="BL1646" s="261" t="e">
        <f>BL1645+(BL1651*BL1648)</f>
        <v>#DIV/0!</v>
      </c>
      <c r="BM1646" s="261" t="e">
        <f>BM1645+(BM1651*BL1648)</f>
        <v>#DIV/0!</v>
      </c>
      <c r="BN1646" s="28"/>
      <c r="BO1646" s="261" t="e">
        <f>BO1645+(BO1651*BO1648)</f>
        <v>#DIV/0!</v>
      </c>
      <c r="BP1646" s="261" t="e">
        <f>BP1645+(BP1651*BO1648)</f>
        <v>#DIV/0!</v>
      </c>
      <c r="BQ1646" s="28"/>
      <c r="BR1646" s="261" t="e">
        <f>BR1645+(BR1651*BR1648)</f>
        <v>#DIV/0!</v>
      </c>
      <c r="BS1646" s="261" t="e">
        <f>BS1645+(BS1651*BR1648)</f>
        <v>#DIV/0!</v>
      </c>
      <c r="BT1646" s="28"/>
      <c r="BU1646" s="261" t="e">
        <f>BU1645+(BU1651*BU1648)</f>
        <v>#DIV/0!</v>
      </c>
      <c r="BV1646" s="261" t="e">
        <f>BV1645+(BV1651*BU1648)</f>
        <v>#DIV/0!</v>
      </c>
      <c r="BW1646" s="28"/>
      <c r="BX1646" s="91"/>
    </row>
    <row r="1647" spans="1:76" s="55" customFormat="1" x14ac:dyDescent="0.25">
      <c r="A1647" s="195"/>
      <c r="B1647" s="244" t="s">
        <v>165</v>
      </c>
      <c r="C1647" s="195"/>
      <c r="D1647" s="263"/>
      <c r="E1647" s="264"/>
      <c r="F1647" s="264"/>
      <c r="G1647" s="264"/>
      <c r="H1647" s="264"/>
      <c r="I1647" s="264"/>
      <c r="J1647" s="265"/>
      <c r="K1647" s="28"/>
      <c r="L1647" s="28"/>
      <c r="M1647" s="122"/>
      <c r="N1647" s="122"/>
      <c r="O1647" s="122"/>
      <c r="P1647" s="122"/>
      <c r="Q1647" s="306" t="s">
        <v>150</v>
      </c>
      <c r="R1647" s="257" t="e">
        <f>IF($X1647="Y",MIN(R1625:R1644),R1645-$U1647*R1649)</f>
        <v>#DIV/0!</v>
      </c>
      <c r="S1647" s="257" t="e">
        <f>IF($X1647="Y",MIN(S1625:S1644),S1645-$U1647*S1649)</f>
        <v>#DIV/0!</v>
      </c>
      <c r="T1647" s="257" t="e">
        <f>IF($X1647="Y",MIN(T1625:T1644),T1645-$U1647*T1649)</f>
        <v>#DIV/0!</v>
      </c>
      <c r="U1647" s="258">
        <v>1</v>
      </c>
      <c r="V1647" s="122" t="s">
        <v>148</v>
      </c>
      <c r="W1647" s="28"/>
      <c r="X1647" s="266" t="s">
        <v>149</v>
      </c>
      <c r="Y1647" s="260"/>
      <c r="AO1647" s="91"/>
      <c r="AP1647" s="28"/>
      <c r="AQ1647" s="28"/>
      <c r="AR1647" s="28"/>
      <c r="AS1647" s="256" t="s">
        <v>150</v>
      </c>
      <c r="AT1647" s="261" t="e">
        <f>AT1645-(AT1651*AT1649)</f>
        <v>#DIV/0!</v>
      </c>
      <c r="AU1647" s="261" t="e">
        <f>AU1645-(AU1651*AT1649)</f>
        <v>#DIV/0!</v>
      </c>
      <c r="AV1647" s="256"/>
      <c r="AW1647" s="261" t="e">
        <f>AW1645-(AW1651*AW1649)</f>
        <v>#DIV/0!</v>
      </c>
      <c r="AX1647" s="261" t="e">
        <f>AX1645-(AX1651*AW1649)</f>
        <v>#DIV/0!</v>
      </c>
      <c r="AY1647" s="28"/>
      <c r="AZ1647" s="261" t="e">
        <f>AZ1645-(AZ1651*AZ1649)</f>
        <v>#DIV/0!</v>
      </c>
      <c r="BA1647" s="261" t="e">
        <f>BA1645-(BA1651*AZ1649)</f>
        <v>#DIV/0!</v>
      </c>
      <c r="BB1647" s="28"/>
      <c r="BC1647" s="261" t="e">
        <f>BC1645-(BC1651*BC1649)</f>
        <v>#DIV/0!</v>
      </c>
      <c r="BD1647" s="261" t="e">
        <f>BD1645-(BD1651*BC1649)</f>
        <v>#DIV/0!</v>
      </c>
      <c r="BE1647" s="28"/>
      <c r="BF1647" s="261" t="e">
        <f>BF1645-(BF1651*BF1649)</f>
        <v>#DIV/0!</v>
      </c>
      <c r="BG1647" s="261" t="e">
        <f>BG1645-(BG1651*BF1649)</f>
        <v>#DIV/0!</v>
      </c>
      <c r="BH1647" s="28"/>
      <c r="BI1647" s="261" t="e">
        <f>BI1645-(BI1651*BI1649)</f>
        <v>#DIV/0!</v>
      </c>
      <c r="BJ1647" s="261" t="e">
        <f>BJ1645-(BJ1651*BI1649)</f>
        <v>#DIV/0!</v>
      </c>
      <c r="BK1647" s="256"/>
      <c r="BL1647" s="261" t="e">
        <f>BL1645-(BL1651*BL1649)</f>
        <v>#DIV/0!</v>
      </c>
      <c r="BM1647" s="261" t="e">
        <f>BM1645-(BM1651*BL1649)</f>
        <v>#DIV/0!</v>
      </c>
      <c r="BN1647" s="28"/>
      <c r="BO1647" s="261" t="e">
        <f>BO1645-(BO1651*BO1649)</f>
        <v>#DIV/0!</v>
      </c>
      <c r="BP1647" s="261" t="e">
        <f>BP1645-(BP1651*BO1649)</f>
        <v>#DIV/0!</v>
      </c>
      <c r="BQ1647" s="28"/>
      <c r="BR1647" s="261" t="e">
        <f>BR1645-(BR1651*BR1649)</f>
        <v>#DIV/0!</v>
      </c>
      <c r="BS1647" s="261" t="e">
        <f>BS1645-(BS1651*BR1649)</f>
        <v>#DIV/0!</v>
      </c>
      <c r="BT1647" s="28"/>
      <c r="BU1647" s="261" t="e">
        <f>BU1645-(BU1651*BU1649)</f>
        <v>#DIV/0!</v>
      </c>
      <c r="BV1647" s="261" t="e">
        <f>BV1645-(BV1651*BU1649)</f>
        <v>#DIV/0!</v>
      </c>
      <c r="BW1647" s="28"/>
      <c r="BX1647" s="91"/>
    </row>
    <row r="1648" spans="1:76" s="55" customFormat="1" ht="14.25" x14ac:dyDescent="0.2">
      <c r="A1648" s="195"/>
      <c r="B1648" s="196"/>
      <c r="C1648" s="195"/>
      <c r="D1648" s="263"/>
      <c r="E1648" s="264"/>
      <c r="F1648" s="264"/>
      <c r="G1648" s="264"/>
      <c r="H1648" s="264"/>
      <c r="I1648" s="264"/>
      <c r="J1648" s="265"/>
      <c r="K1648" s="122"/>
      <c r="L1648" s="122"/>
      <c r="M1648" s="122"/>
      <c r="N1648" s="122"/>
      <c r="O1648" s="122"/>
      <c r="P1648" s="122"/>
      <c r="Q1648" s="306" t="s">
        <v>151</v>
      </c>
      <c r="R1648" s="257" t="e">
        <f>IF((0.67*R1649)&gt;R1645,"no","yes")</f>
        <v>#DIV/0!</v>
      </c>
      <c r="S1648" s="257" t="e">
        <f>IF((0.67*S1649)&gt;S1645,"no","yes")</f>
        <v>#DIV/0!</v>
      </c>
      <c r="T1648" s="257" t="e">
        <f>IF((0.67*T1649)&gt;T1645,"no","yes")</f>
        <v>#DIV/0!</v>
      </c>
      <c r="U1648" s="122"/>
      <c r="V1648" s="122"/>
      <c r="W1648" s="122"/>
      <c r="Y1648" s="260"/>
      <c r="AO1648" s="91"/>
      <c r="AP1648" s="122"/>
      <c r="AQ1648" s="122"/>
      <c r="AR1648" s="267" t="s">
        <v>152</v>
      </c>
      <c r="AS1648" s="268"/>
      <c r="AT1648" s="258">
        <v>1</v>
      </c>
      <c r="AU1648" s="122"/>
      <c r="AV1648" s="308"/>
      <c r="AW1648" s="258">
        <v>1</v>
      </c>
      <c r="AX1648" s="122"/>
      <c r="AY1648" s="122"/>
      <c r="AZ1648" s="258">
        <v>1</v>
      </c>
      <c r="BA1648" s="122"/>
      <c r="BB1648" s="122"/>
      <c r="BC1648" s="258">
        <v>1</v>
      </c>
      <c r="BD1648" s="122"/>
      <c r="BE1648" s="122"/>
      <c r="BF1648" s="258">
        <v>1</v>
      </c>
      <c r="BG1648" s="122"/>
      <c r="BH1648" s="122"/>
      <c r="BI1648" s="258">
        <v>1</v>
      </c>
      <c r="BJ1648" s="122"/>
      <c r="BK1648" s="256"/>
      <c r="BL1648" s="258">
        <v>1</v>
      </c>
      <c r="BM1648" s="122"/>
      <c r="BN1648" s="122"/>
      <c r="BO1648" s="258">
        <v>1</v>
      </c>
      <c r="BP1648" s="122"/>
      <c r="BQ1648" s="122"/>
      <c r="BR1648" s="258">
        <v>1</v>
      </c>
      <c r="BS1648" s="122"/>
      <c r="BT1648" s="122"/>
      <c r="BU1648" s="258">
        <v>1</v>
      </c>
      <c r="BV1648" s="122"/>
      <c r="BW1648" s="122"/>
      <c r="BX1648" s="91"/>
    </row>
    <row r="1649" spans="1:76" s="55" customFormat="1" ht="28.5" x14ac:dyDescent="0.2">
      <c r="A1649" s="195"/>
      <c r="B1649" s="196"/>
      <c r="C1649" s="195"/>
      <c r="D1649" s="263"/>
      <c r="E1649" s="264"/>
      <c r="F1649" s="264"/>
      <c r="G1649" s="264"/>
      <c r="H1649" s="264"/>
      <c r="I1649" s="264"/>
      <c r="J1649" s="265"/>
      <c r="K1649" s="122"/>
      <c r="L1649" s="122"/>
      <c r="M1649" s="122"/>
      <c r="N1649" s="122"/>
      <c r="O1649" s="122"/>
      <c r="P1649" s="122"/>
      <c r="Q1649" s="306" t="s">
        <v>157</v>
      </c>
      <c r="R1649" s="257">
        <f>IF(COUNT(R1625:R1644)&gt;1,_xlfn.STDEV.S(R1625:R1644),0)</f>
        <v>0</v>
      </c>
      <c r="S1649" s="257" t="e">
        <f t="array" ref="S1649">IF(R1653="Y",SQRT(SUM(IFERROR(N1625:N1644*(R1625:R1644-(S1645))^2,0))/((COUNT(S1625:S1644)-1)/COUNT(S1625:S1644)*SUMPRODUCT(N1625:N1644,--ISNUMBER(S1625:S1644)))),_xlfn.STDEV.S(S1625:S1644))</f>
        <v>#DIV/0!</v>
      </c>
      <c r="T1649" s="257" t="e">
        <f t="array" ref="T1649">SQRT(SUM(IFERROR(N1625:N1644*(R1625:R1644-(T1645))^2,0))/((COUNT(T1625:T1644)-1)/COUNT(T1625:T1644)*SUMPRODUCT(N1625:N1644,--ISNUMBER(T1625:T1644))))</f>
        <v>#DIV/0!</v>
      </c>
      <c r="U1649" s="122"/>
      <c r="V1649" s="122"/>
      <c r="W1649" s="122"/>
      <c r="Y1649" s="260"/>
      <c r="AO1649" s="91"/>
      <c r="AP1649" s="122"/>
      <c r="AQ1649" s="122"/>
      <c r="AR1649" s="267"/>
      <c r="AS1649" s="268"/>
      <c r="AT1649" s="258">
        <v>1</v>
      </c>
      <c r="AU1649" s="122"/>
      <c r="AV1649" s="308"/>
      <c r="AW1649" s="258">
        <v>1</v>
      </c>
      <c r="AX1649" s="122"/>
      <c r="AY1649" s="122"/>
      <c r="AZ1649" s="258">
        <v>1</v>
      </c>
      <c r="BA1649" s="122"/>
      <c r="BB1649" s="122"/>
      <c r="BC1649" s="258">
        <v>1</v>
      </c>
      <c r="BD1649" s="122"/>
      <c r="BE1649" s="122"/>
      <c r="BF1649" s="258">
        <v>1</v>
      </c>
      <c r="BG1649" s="122"/>
      <c r="BH1649" s="122"/>
      <c r="BI1649" s="258">
        <v>1</v>
      </c>
      <c r="BJ1649" s="122"/>
      <c r="BK1649" s="256"/>
      <c r="BL1649" s="258">
        <v>1</v>
      </c>
      <c r="BM1649" s="122"/>
      <c r="BN1649" s="122"/>
      <c r="BO1649" s="258">
        <v>1</v>
      </c>
      <c r="BP1649" s="122"/>
      <c r="BQ1649" s="122"/>
      <c r="BR1649" s="258">
        <v>1</v>
      </c>
      <c r="BS1649" s="122"/>
      <c r="BT1649" s="122"/>
      <c r="BU1649" s="258">
        <v>1</v>
      </c>
      <c r="BV1649" s="122"/>
      <c r="BW1649" s="122"/>
      <c r="BX1649" s="91"/>
    </row>
    <row r="1650" spans="1:76" s="55" customFormat="1" ht="15" customHeight="1" x14ac:dyDescent="0.25">
      <c r="A1650" s="122"/>
      <c r="B1650" s="118"/>
      <c r="C1650" s="195"/>
      <c r="D1650" s="263"/>
      <c r="E1650" s="264"/>
      <c r="F1650" s="264"/>
      <c r="G1650" s="264"/>
      <c r="H1650" s="264"/>
      <c r="I1650" s="264"/>
      <c r="J1650" s="265"/>
      <c r="K1650" s="122"/>
      <c r="L1650" s="122"/>
      <c r="M1650" s="122"/>
      <c r="N1650" s="122"/>
      <c r="O1650" s="122"/>
      <c r="P1650" s="122"/>
      <c r="Q1650" s="309" t="s">
        <v>159</v>
      </c>
      <c r="R1650" s="310">
        <f>COUNT(R1625:R1644)</f>
        <v>0</v>
      </c>
      <c r="S1650" s="310">
        <f>COUNT(S1625:S1644)</f>
        <v>0</v>
      </c>
      <c r="T1650" s="118"/>
      <c r="U1650" s="273" t="s">
        <v>155</v>
      </c>
      <c r="V1650" s="122"/>
      <c r="W1650" s="122"/>
      <c r="Y1650" s="91"/>
      <c r="AO1650" s="91"/>
      <c r="AP1650" s="122"/>
      <c r="AQ1650" s="122"/>
      <c r="AR1650" s="122"/>
      <c r="AS1650" s="256" t="s">
        <v>151</v>
      </c>
      <c r="AT1650" s="261" t="e">
        <f>IF((0.67*AT1651)&gt;AT1645,"no","yes")</f>
        <v>#DIV/0!</v>
      </c>
      <c r="AU1650" s="261" t="e">
        <f>IF((0.67*AU1651)&gt;AU1645,"no","yes")</f>
        <v>#DIV/0!</v>
      </c>
      <c r="AV1650" s="256"/>
      <c r="AW1650" s="261" t="e">
        <f>IF((0.67*AW1651)&gt;AW1645,"no","yes")</f>
        <v>#DIV/0!</v>
      </c>
      <c r="AX1650" s="261" t="e">
        <f>IF((0.67*AX1651)&gt;AX1645,"no","yes")</f>
        <v>#DIV/0!</v>
      </c>
      <c r="AY1650" s="122"/>
      <c r="AZ1650" s="261" t="e">
        <f>IF((0.67*AZ1651)&gt;AZ1645,"no","yes")</f>
        <v>#DIV/0!</v>
      </c>
      <c r="BA1650" s="261" t="e">
        <f>IF((0.67*BA1651)&gt;BA1645,"no","yes")</f>
        <v>#DIV/0!</v>
      </c>
      <c r="BB1650" s="122"/>
      <c r="BC1650" s="261" t="e">
        <f>IF((0.67*BC1651)&gt;BC1645,"no","yes")</f>
        <v>#DIV/0!</v>
      </c>
      <c r="BD1650" s="261" t="e">
        <f>IF((0.67*BD1651)&gt;BD1645,"no","yes")</f>
        <v>#DIV/0!</v>
      </c>
      <c r="BE1650" s="122"/>
      <c r="BF1650" s="261" t="e">
        <f>IF((0.67*BF1651)&gt;BF1645,"no","yes")</f>
        <v>#DIV/0!</v>
      </c>
      <c r="BG1650" s="261" t="e">
        <f>IF((0.67*BG1651)&gt;BG1645,"no","yes")</f>
        <v>#DIV/0!</v>
      </c>
      <c r="BH1650" s="122"/>
      <c r="BI1650" s="261" t="e">
        <f>IF((0.67*BI1651)&gt;BI1645,"no","yes")</f>
        <v>#DIV/0!</v>
      </c>
      <c r="BJ1650" s="261" t="e">
        <f>IF((0.67*BJ1651)&gt;BJ1645,"no","yes")</f>
        <v>#DIV/0!</v>
      </c>
      <c r="BK1650" s="133"/>
      <c r="BL1650" s="261" t="e">
        <f>IF((0.67*BL1651)&gt;BL1645,"no","yes")</f>
        <v>#DIV/0!</v>
      </c>
      <c r="BM1650" s="261" t="e">
        <f>IF((0.67*BM1651)&gt;BM1645,"no","yes")</f>
        <v>#DIV/0!</v>
      </c>
      <c r="BN1650" s="122"/>
      <c r="BO1650" s="261" t="e">
        <f>IF((0.67*BO1651)&gt;BO1645,"no","yes")</f>
        <v>#DIV/0!</v>
      </c>
      <c r="BP1650" s="261" t="e">
        <f>IF((0.67*BP1651)&gt;BP1645,"no","yes")</f>
        <v>#DIV/0!</v>
      </c>
      <c r="BQ1650" s="122"/>
      <c r="BR1650" s="261" t="e">
        <f>IF((0.67*BR1651)&gt;BR1645,"no","yes")</f>
        <v>#DIV/0!</v>
      </c>
      <c r="BS1650" s="261" t="e">
        <f>IF((0.67*BS1651)&gt;BS1645,"no","yes")</f>
        <v>#DIV/0!</v>
      </c>
      <c r="BT1650" s="122"/>
      <c r="BU1650" s="261" t="e">
        <f>IF((0.67*BU1651)&gt;BU1645,"no","yes")</f>
        <v>#DIV/0!</v>
      </c>
      <c r="BV1650" s="261" t="e">
        <f>IF((0.67*BV1651)&gt;BV1645,"no","yes")</f>
        <v>#DIV/0!</v>
      </c>
      <c r="BW1650" s="122"/>
      <c r="BX1650" s="91"/>
    </row>
    <row r="1651" spans="1:76" s="55" customFormat="1" ht="14.25" x14ac:dyDescent="0.2">
      <c r="B1651" s="23"/>
      <c r="C1651" s="195"/>
      <c r="D1651" s="263"/>
      <c r="E1651" s="264"/>
      <c r="F1651" s="264"/>
      <c r="G1651" s="264"/>
      <c r="H1651" s="264"/>
      <c r="I1651" s="264"/>
      <c r="J1651" s="265"/>
      <c r="K1651" s="122"/>
      <c r="L1651" s="122"/>
      <c r="M1651" s="122"/>
      <c r="N1651" s="122"/>
      <c r="O1651" s="122"/>
      <c r="P1651" s="122"/>
      <c r="Q1651" s="311"/>
      <c r="R1651" s="389"/>
      <c r="S1651" s="118"/>
      <c r="T1651" s="118"/>
      <c r="U1651" s="274"/>
      <c r="V1651" s="275"/>
      <c r="W1651" s="276"/>
      <c r="Y1651" s="91"/>
      <c r="AO1651" s="91"/>
      <c r="AP1651" s="122"/>
      <c r="AQ1651" s="122"/>
      <c r="AR1651" s="122"/>
      <c r="AS1651" s="256" t="s">
        <v>157</v>
      </c>
      <c r="AT1651" s="261">
        <f>IF(AT1652&gt;1,_xlfn.STDEV.S(AT1625:AT1644),0)</f>
        <v>0</v>
      </c>
      <c r="AU1651" s="261">
        <f>IF(AU1652&gt;1,_xlfn.STDEV.S(AU1625:AU1644),0)</f>
        <v>0</v>
      </c>
      <c r="AV1651" s="122"/>
      <c r="AW1651" s="261">
        <f t="shared" ref="AW1651:AX1651" si="1067">IF(AW1652&gt;1,_xlfn.STDEV.S(AW1625:AW1644),0)</f>
        <v>0</v>
      </c>
      <c r="AX1651" s="261">
        <f t="shared" si="1067"/>
        <v>0</v>
      </c>
      <c r="AY1651" s="122"/>
      <c r="AZ1651" s="261">
        <f t="shared" ref="AZ1651:BA1651" si="1068">IF(AZ1652&gt;1,_xlfn.STDEV.S(AZ1625:AZ1644),0)</f>
        <v>0</v>
      </c>
      <c r="BA1651" s="261">
        <f t="shared" si="1068"/>
        <v>0</v>
      </c>
      <c r="BB1651" s="122"/>
      <c r="BC1651" s="261">
        <f t="shared" ref="BC1651:BD1651" si="1069">IF(BC1652&gt;1,_xlfn.STDEV.S(BC1625:BC1644),0)</f>
        <v>0</v>
      </c>
      <c r="BD1651" s="261">
        <f t="shared" si="1069"/>
        <v>0</v>
      </c>
      <c r="BE1651" s="122"/>
      <c r="BF1651" s="261">
        <f t="shared" ref="BF1651:BG1651" si="1070">IF(BF1652&gt;1,_xlfn.STDEV.S(BF1625:BF1644),0)</f>
        <v>0</v>
      </c>
      <c r="BG1651" s="261">
        <f t="shared" si="1070"/>
        <v>0</v>
      </c>
      <c r="BH1651" s="122"/>
      <c r="BI1651" s="261">
        <f t="shared" ref="BI1651:BJ1651" si="1071">IF(BI1652&gt;1,_xlfn.STDEV.S(BI1625:BI1644),0)</f>
        <v>0</v>
      </c>
      <c r="BJ1651" s="261">
        <f t="shared" si="1071"/>
        <v>0</v>
      </c>
      <c r="BK1651" s="122"/>
      <c r="BL1651" s="261">
        <f t="shared" ref="BL1651:BM1651" si="1072">IF(BL1652&gt;1,_xlfn.STDEV.S(BL1625:BL1644),0)</f>
        <v>0</v>
      </c>
      <c r="BM1651" s="261">
        <f t="shared" si="1072"/>
        <v>0</v>
      </c>
      <c r="BN1651" s="122"/>
      <c r="BO1651" s="261">
        <f t="shared" ref="BO1651:BP1651" si="1073">IF(BO1652&gt;1,_xlfn.STDEV.S(BO1625:BO1644),0)</f>
        <v>0</v>
      </c>
      <c r="BP1651" s="261">
        <f t="shared" si="1073"/>
        <v>0</v>
      </c>
      <c r="BQ1651" s="122"/>
      <c r="BR1651" s="261">
        <f t="shared" ref="BR1651:BS1651" si="1074">IF(BR1652&gt;1,_xlfn.STDEV.S(BR1625:BR1644),0)</f>
        <v>0</v>
      </c>
      <c r="BS1651" s="261">
        <f t="shared" si="1074"/>
        <v>0</v>
      </c>
      <c r="BT1651" s="122"/>
      <c r="BU1651" s="261">
        <f t="shared" ref="BU1651:BV1651" si="1075">IF(BU1652&gt;1,_xlfn.STDEV.S(BU1625:BU1644),0)</f>
        <v>0</v>
      </c>
      <c r="BV1651" s="261">
        <f t="shared" si="1075"/>
        <v>0</v>
      </c>
      <c r="BW1651" s="122"/>
      <c r="BX1651" s="91"/>
    </row>
    <row r="1652" spans="1:76" s="55" customFormat="1" x14ac:dyDescent="0.2">
      <c r="B1652" s="23"/>
      <c r="C1652" s="195"/>
      <c r="D1652" s="277"/>
      <c r="E1652" s="278"/>
      <c r="F1652" s="278"/>
      <c r="G1652" s="278"/>
      <c r="H1652" s="278"/>
      <c r="I1652" s="278"/>
      <c r="J1652" s="279"/>
      <c r="K1652" s="122"/>
      <c r="L1652" s="122"/>
      <c r="M1652" s="122"/>
      <c r="N1652" s="122"/>
      <c r="O1652" s="122"/>
      <c r="P1652" s="122"/>
      <c r="Q1652" s="311"/>
      <c r="R1652" s="362" t="s">
        <v>158</v>
      </c>
      <c r="S1652" s="122"/>
      <c r="T1652" s="122"/>
      <c r="U1652" s="281"/>
      <c r="V1652" s="282"/>
      <c r="W1652" s="283"/>
      <c r="Y1652" s="91"/>
      <c r="AO1652" s="91"/>
      <c r="AP1652" s="122"/>
      <c r="AQ1652" s="122"/>
      <c r="AR1652" s="122"/>
      <c r="AS1652" s="133" t="s">
        <v>159</v>
      </c>
      <c r="AT1652" s="284">
        <f>COUNT(AT1625:AT1644)</f>
        <v>0</v>
      </c>
      <c r="AU1652" s="284">
        <f>COUNT(AU1625:AU1644)</f>
        <v>0</v>
      </c>
      <c r="AV1652" s="122"/>
      <c r="AW1652" s="284">
        <f t="shared" ref="AW1652:AX1652" si="1076">COUNT(AW1625:AW1644)</f>
        <v>0</v>
      </c>
      <c r="AX1652" s="284">
        <f t="shared" si="1076"/>
        <v>0</v>
      </c>
      <c r="AY1652" s="122"/>
      <c r="AZ1652" s="284">
        <f t="shared" ref="AZ1652:BA1652" si="1077">COUNT(AZ1625:AZ1644)</f>
        <v>0</v>
      </c>
      <c r="BA1652" s="284">
        <f t="shared" si="1077"/>
        <v>0</v>
      </c>
      <c r="BB1652" s="122"/>
      <c r="BC1652" s="284">
        <f t="shared" ref="BC1652:BD1652" si="1078">COUNT(BC1625:BC1644)</f>
        <v>0</v>
      </c>
      <c r="BD1652" s="284">
        <f t="shared" si="1078"/>
        <v>0</v>
      </c>
      <c r="BE1652" s="122"/>
      <c r="BF1652" s="284">
        <f t="shared" ref="BF1652:BG1652" si="1079">COUNT(BF1625:BF1644)</f>
        <v>0</v>
      </c>
      <c r="BG1652" s="284">
        <f t="shared" si="1079"/>
        <v>0</v>
      </c>
      <c r="BH1652" s="122"/>
      <c r="BI1652" s="284">
        <f t="shared" ref="BI1652:BJ1652" si="1080">COUNT(BI1625:BI1644)</f>
        <v>0</v>
      </c>
      <c r="BJ1652" s="284">
        <f t="shared" si="1080"/>
        <v>0</v>
      </c>
      <c r="BK1652" s="122"/>
      <c r="BL1652" s="284">
        <f t="shared" ref="BL1652:BM1652" si="1081">COUNT(BL1625:BL1644)</f>
        <v>0</v>
      </c>
      <c r="BM1652" s="284">
        <f t="shared" si="1081"/>
        <v>0</v>
      </c>
      <c r="BN1652" s="122"/>
      <c r="BO1652" s="284">
        <f t="shared" ref="BO1652:BP1652" si="1082">COUNT(BO1625:BO1644)</f>
        <v>0</v>
      </c>
      <c r="BP1652" s="284">
        <f t="shared" si="1082"/>
        <v>0</v>
      </c>
      <c r="BQ1652" s="122"/>
      <c r="BR1652" s="284">
        <f t="shared" ref="BR1652:BS1652" si="1083">COUNT(BR1625:BR1644)</f>
        <v>0</v>
      </c>
      <c r="BS1652" s="284">
        <f t="shared" si="1083"/>
        <v>0</v>
      </c>
      <c r="BT1652" s="122"/>
      <c r="BU1652" s="284">
        <f t="shared" ref="BU1652:BV1652" si="1084">COUNT(BU1625:BU1644)</f>
        <v>0</v>
      </c>
      <c r="BV1652" s="284">
        <f t="shared" si="1084"/>
        <v>0</v>
      </c>
      <c r="BW1652" s="122"/>
      <c r="BX1652" s="91"/>
    </row>
    <row r="1653" spans="1:76" s="55" customFormat="1" ht="14.25" x14ac:dyDescent="0.2">
      <c r="B1653" s="23"/>
      <c r="C1653" s="195"/>
      <c r="D1653" s="122"/>
      <c r="E1653" s="122"/>
      <c r="F1653" s="122"/>
      <c r="G1653" s="122"/>
      <c r="H1653" s="122"/>
      <c r="I1653" s="122"/>
      <c r="J1653" s="122"/>
      <c r="K1653" s="122"/>
      <c r="L1653" s="122"/>
      <c r="M1653" s="122"/>
      <c r="N1653" s="122"/>
      <c r="O1653" s="122"/>
      <c r="P1653" s="122"/>
      <c r="Q1653" s="311"/>
      <c r="R1653" s="287" t="s">
        <v>149</v>
      </c>
      <c r="S1653" s="122"/>
      <c r="T1653" s="122"/>
      <c r="U1653" s="281"/>
      <c r="V1653" s="282"/>
      <c r="W1653" s="283"/>
      <c r="Y1653" s="91"/>
      <c r="AO1653" s="91"/>
      <c r="BX1653" s="91"/>
    </row>
    <row r="1654" spans="1:76" s="55" customFormat="1" ht="14.25" x14ac:dyDescent="0.2">
      <c r="B1654" s="23"/>
      <c r="C1654" s="195"/>
      <c r="D1654" s="122"/>
      <c r="E1654" s="122"/>
      <c r="F1654" s="122"/>
      <c r="G1654" s="122"/>
      <c r="H1654" s="122"/>
      <c r="I1654" s="122"/>
      <c r="J1654" s="122"/>
      <c r="K1654" s="122"/>
      <c r="L1654" s="122"/>
      <c r="M1654" s="122"/>
      <c r="N1654" s="122"/>
      <c r="O1654" s="122"/>
      <c r="P1654" s="122"/>
      <c r="Q1654" s="311"/>
      <c r="R1654" s="122"/>
      <c r="S1654" s="122"/>
      <c r="T1654" s="122"/>
      <c r="U1654" s="288"/>
      <c r="V1654" s="289"/>
      <c r="W1654" s="290"/>
      <c r="Y1654" s="91"/>
      <c r="AO1654" s="91"/>
      <c r="BX1654" s="91"/>
    </row>
    <row r="1655" spans="1:76" s="55" customFormat="1" ht="26.25" customHeight="1" x14ac:dyDescent="0.25">
      <c r="A1655" s="270" t="e">
        <f ca="1">HYPERLINK("#"&amp;"'"&amp;A$1&amp;"'!a1","Back to top")</f>
        <v>#VALUE!</v>
      </c>
      <c r="B1655" s="271"/>
      <c r="C1655" s="122"/>
      <c r="Q1655" s="81"/>
      <c r="T1655" s="122"/>
      <c r="U1655" s="122"/>
      <c r="V1655" s="122"/>
      <c r="W1655" s="122"/>
      <c r="Y1655" s="91"/>
      <c r="AO1655" s="296"/>
      <c r="AP1655" s="345"/>
      <c r="AQ1655" s="345"/>
      <c r="AR1655" s="346"/>
      <c r="AS1655" s="346"/>
      <c r="AT1655" s="346"/>
      <c r="AU1655" s="346"/>
      <c r="AV1655" s="346"/>
      <c r="AW1655" s="346"/>
      <c r="AX1655" s="346"/>
      <c r="AY1655" s="346"/>
      <c r="AZ1655" s="346"/>
      <c r="BA1655" s="346"/>
      <c r="BB1655" s="346"/>
      <c r="BC1655" s="346"/>
      <c r="BD1655" s="346"/>
      <c r="BE1655" s="346"/>
      <c r="BF1655" s="346"/>
      <c r="BG1655" s="346"/>
      <c r="BH1655" s="346"/>
      <c r="BI1655" s="346"/>
      <c r="BJ1655" s="346"/>
      <c r="BK1655" s="346"/>
      <c r="BL1655" s="346"/>
      <c r="BM1655" s="346"/>
      <c r="BN1655" s="346"/>
      <c r="BO1655" s="346"/>
      <c r="BP1655" s="346"/>
      <c r="BQ1655" s="346"/>
      <c r="BR1655" s="346"/>
      <c r="BS1655" s="346"/>
      <c r="BT1655" s="346"/>
      <c r="BU1655" s="346"/>
      <c r="BV1655" s="346"/>
      <c r="BW1655" s="346"/>
      <c r="BX1655" s="296"/>
    </row>
    <row r="1656" spans="1:76" s="55" customFormat="1" ht="14.25" x14ac:dyDescent="0.2">
      <c r="B1656" s="23"/>
      <c r="Q1656" s="81"/>
      <c r="Y1656" s="91"/>
      <c r="AO1656" s="91"/>
      <c r="BX1656" s="91"/>
    </row>
    <row r="1657" spans="1:76" s="55" customFormat="1" ht="14.25" x14ac:dyDescent="0.2">
      <c r="B1657" s="23"/>
      <c r="Q1657" s="81"/>
      <c r="Y1657" s="91"/>
      <c r="AO1657" s="91"/>
      <c r="BX1657" s="91"/>
    </row>
    <row r="1658" spans="1:76" s="9" customFormat="1" ht="18" x14ac:dyDescent="0.25">
      <c r="A1658" s="188">
        <f>A1622+1</f>
        <v>28</v>
      </c>
      <c r="B1658" s="189"/>
      <c r="C1658" s="293" t="s">
        <v>771</v>
      </c>
      <c r="D1658" s="191"/>
      <c r="E1658" s="191"/>
      <c r="F1658" s="191"/>
      <c r="G1658" s="191"/>
      <c r="J1658" s="191"/>
      <c r="K1658" s="191"/>
      <c r="L1658" s="192"/>
      <c r="M1658" s="192"/>
      <c r="N1658" s="192"/>
      <c r="Q1658" s="193"/>
      <c r="R1658" s="194" t="s">
        <v>93</v>
      </c>
      <c r="S1658" s="194"/>
      <c r="T1658" s="194"/>
      <c r="U1658" s="194"/>
      <c r="AP1658" s="175">
        <f>A1658</f>
        <v>28</v>
      </c>
      <c r="AQ1658" s="175" t="str">
        <f>C1658</f>
        <v>VARIABLE28</v>
      </c>
    </row>
    <row r="1659" spans="1:76" s="55" customFormat="1" x14ac:dyDescent="0.25">
      <c r="A1659" s="195"/>
      <c r="B1659" s="196"/>
      <c r="C1659" s="195"/>
      <c r="D1659" s="120"/>
      <c r="E1659" s="120"/>
      <c r="F1659" s="120"/>
      <c r="G1659" s="120"/>
      <c r="J1659" s="120"/>
      <c r="K1659" s="120"/>
      <c r="L1659" s="122"/>
      <c r="M1659" s="122"/>
      <c r="N1659" s="122"/>
      <c r="Q1659" s="81"/>
      <c r="Y1659" s="91"/>
      <c r="AO1659" s="91"/>
      <c r="AP1659" s="28"/>
      <c r="AQ1659" s="28"/>
      <c r="AR1659" s="28"/>
      <c r="AS1659" s="28"/>
      <c r="AT1659" s="198" t="s">
        <v>171</v>
      </c>
      <c r="AU1659" s="198"/>
      <c r="AV1659" s="28"/>
      <c r="AW1659" s="198" t="s">
        <v>96</v>
      </c>
      <c r="AX1659" s="198"/>
      <c r="AY1659" s="28"/>
      <c r="AZ1659" s="198" t="s">
        <v>97</v>
      </c>
      <c r="BA1659" s="198"/>
      <c r="BB1659" s="28"/>
      <c r="BC1659" s="198" t="s">
        <v>98</v>
      </c>
      <c r="BD1659" s="198"/>
      <c r="BE1659" s="28"/>
      <c r="BF1659" s="198" t="s">
        <v>99</v>
      </c>
      <c r="BG1659" s="198"/>
      <c r="BH1659" s="28"/>
      <c r="BI1659" s="198" t="s">
        <v>100</v>
      </c>
      <c r="BJ1659" s="198"/>
      <c r="BK1659" s="28"/>
      <c r="BL1659" s="198" t="s">
        <v>101</v>
      </c>
      <c r="BM1659" s="198"/>
      <c r="BN1659" s="28"/>
      <c r="BO1659" s="198" t="s">
        <v>102</v>
      </c>
      <c r="BP1659" s="198"/>
      <c r="BQ1659" s="28"/>
      <c r="BR1659" s="198" t="s">
        <v>103</v>
      </c>
      <c r="BS1659" s="198"/>
      <c r="BT1659" s="28"/>
      <c r="BU1659" s="198" t="s">
        <v>104</v>
      </c>
      <c r="BV1659" s="198"/>
      <c r="BW1659" s="28"/>
      <c r="BX1659" s="91"/>
    </row>
    <row r="1660" spans="1:76" s="55" customFormat="1" ht="30.75" thickBot="1" x14ac:dyDescent="0.3">
      <c r="A1660" s="199" t="s">
        <v>105</v>
      </c>
      <c r="B1660" s="200" t="s">
        <v>106</v>
      </c>
      <c r="C1660" s="201" t="s">
        <v>107</v>
      </c>
      <c r="D1660" s="202" t="s">
        <v>108</v>
      </c>
      <c r="E1660" s="202" t="s">
        <v>109</v>
      </c>
      <c r="F1660" s="201" t="s">
        <v>110</v>
      </c>
      <c r="G1660" s="201" t="s">
        <v>111</v>
      </c>
      <c r="H1660" s="202" t="s">
        <v>112</v>
      </c>
      <c r="I1660" s="203" t="s">
        <v>113</v>
      </c>
      <c r="J1660" s="204" t="s">
        <v>114</v>
      </c>
      <c r="K1660" s="205" t="s">
        <v>115</v>
      </c>
      <c r="L1660" s="206" t="s">
        <v>116</v>
      </c>
      <c r="M1660" s="207" t="s">
        <v>117</v>
      </c>
      <c r="N1660" s="208" t="s">
        <v>118</v>
      </c>
      <c r="O1660" s="207" t="s">
        <v>119</v>
      </c>
      <c r="P1660" s="210"/>
      <c r="Q1660" s="211" t="s">
        <v>120</v>
      </c>
      <c r="R1660" s="212" t="s">
        <v>121</v>
      </c>
      <c r="S1660" s="212" t="s">
        <v>122</v>
      </c>
      <c r="T1660" s="212" t="s">
        <v>123</v>
      </c>
      <c r="U1660" s="213" t="s">
        <v>124</v>
      </c>
      <c r="V1660" s="210"/>
      <c r="W1660" s="210"/>
      <c r="Y1660" s="91"/>
      <c r="AO1660" s="91"/>
      <c r="AP1660" s="210"/>
      <c r="AQ1660" s="210"/>
      <c r="AR1660" s="213" t="s">
        <v>125</v>
      </c>
      <c r="AS1660" s="210"/>
      <c r="AT1660" s="215" t="s">
        <v>121</v>
      </c>
      <c r="AU1660" s="215" t="s">
        <v>122</v>
      </c>
      <c r="AV1660" s="210"/>
      <c r="AW1660" s="215" t="s">
        <v>121</v>
      </c>
      <c r="AX1660" s="215" t="s">
        <v>122</v>
      </c>
      <c r="AY1660" s="210"/>
      <c r="AZ1660" s="215" t="s">
        <v>121</v>
      </c>
      <c r="BA1660" s="215" t="s">
        <v>122</v>
      </c>
      <c r="BB1660" s="210"/>
      <c r="BC1660" s="215" t="s">
        <v>121</v>
      </c>
      <c r="BD1660" s="215" t="s">
        <v>122</v>
      </c>
      <c r="BE1660" s="210"/>
      <c r="BF1660" s="215" t="s">
        <v>121</v>
      </c>
      <c r="BG1660" s="215" t="s">
        <v>122</v>
      </c>
      <c r="BH1660" s="210"/>
      <c r="BI1660" s="215" t="s">
        <v>121</v>
      </c>
      <c r="BJ1660" s="215" t="s">
        <v>122</v>
      </c>
      <c r="BK1660" s="210"/>
      <c r="BL1660" s="215" t="s">
        <v>121</v>
      </c>
      <c r="BM1660" s="215" t="s">
        <v>122</v>
      </c>
      <c r="BN1660" s="210"/>
      <c r="BO1660" s="215" t="s">
        <v>121</v>
      </c>
      <c r="BP1660" s="215" t="s">
        <v>122</v>
      </c>
      <c r="BQ1660" s="210"/>
      <c r="BR1660" s="215" t="s">
        <v>121</v>
      </c>
      <c r="BS1660" s="215" t="s">
        <v>122</v>
      </c>
      <c r="BT1660" s="210"/>
      <c r="BU1660" s="215" t="s">
        <v>121</v>
      </c>
      <c r="BV1660" s="215" t="s">
        <v>122</v>
      </c>
      <c r="BW1660" s="210"/>
      <c r="BX1660" s="91"/>
    </row>
    <row r="1661" spans="1:76" s="55" customFormat="1" x14ac:dyDescent="0.25">
      <c r="A1661" s="195">
        <v>1</v>
      </c>
      <c r="B1661" s="216" t="str">
        <f t="shared" ref="B1661:B1680" si="1085">CONCATENATE(E1661,": ",C1661)</f>
        <v xml:space="preserve">: </v>
      </c>
      <c r="C1661" s="219"/>
      <c r="D1661" s="219"/>
      <c r="E1661" s="219"/>
      <c r="F1661" s="219"/>
      <c r="G1661" s="220"/>
      <c r="H1661" s="221"/>
      <c r="I1661" s="220"/>
      <c r="J1661" s="365"/>
      <c r="K1661" s="226"/>
      <c r="L1661" s="227"/>
      <c r="M1661" s="227"/>
      <c r="N1661" s="227"/>
      <c r="O1661" s="227"/>
      <c r="P1661" s="122"/>
      <c r="Q1661" s="228"/>
      <c r="R1661" s="231" t="str">
        <f>IF(Q1661="Y","",IF(AND(L1661="",J1661=""),"",IF(L1661="",J1661,L1661)))</f>
        <v/>
      </c>
      <c r="S1661" s="230" t="str">
        <f t="shared" ref="S1661:S1680" si="1086">IF(R1661="","",IF($R$1689="Y",T1661,IF(R1661&gt;=$R$1681-$AA$35*$R$1685,IF(R1661&lt;=$R$1681+$AA$35*$R$1685,R1661,""),"")))</f>
        <v/>
      </c>
      <c r="T1661" s="231" t="str">
        <f>IF(OR(Q1661="Y",IFERROR(R1661&gt;R1681+R1685*$AA$35,0),IFERROR(R1661&lt;R1681-R1685*$AA$35,0)),"",IFERROR(R1661*N1661,""))</f>
        <v/>
      </c>
      <c r="U1661" s="232" t="str">
        <f t="shared" ref="U1661:U1680" si="1087">IF(AND(M1661="",K1661=""),"",IF(M1661="",K1661,M1661))</f>
        <v/>
      </c>
      <c r="V1661" s="28"/>
      <c r="W1661" s="28"/>
      <c r="Y1661" s="91"/>
      <c r="AO1661" s="91"/>
      <c r="AP1661" s="28"/>
      <c r="AQ1661" s="28"/>
      <c r="AR1661" s="233" t="str">
        <f>$U1661</f>
        <v/>
      </c>
      <c r="AS1661" s="28"/>
      <c r="AT1661" s="304" t="str">
        <f>IF($E1661=$AT$47,R1661,"")</f>
        <v/>
      </c>
      <c r="AU1661" s="304" t="str">
        <f>IF($E1661=$AT$47,S1661,"")</f>
        <v/>
      </c>
      <c r="AV1661" s="28"/>
      <c r="AW1661" s="304" t="str">
        <f t="shared" ref="AW1661:AX1680" si="1088">IF($E1661=$AW$83,R1661,"")</f>
        <v/>
      </c>
      <c r="AX1661" s="304" t="str">
        <f t="shared" si="1088"/>
        <v/>
      </c>
      <c r="AY1661" s="28"/>
      <c r="AZ1661" s="304" t="str">
        <f t="shared" ref="AZ1661:BA1680" si="1089">IF($E1661=$AZ$83,R1661,"")</f>
        <v/>
      </c>
      <c r="BA1661" s="304" t="str">
        <f t="shared" si="1089"/>
        <v/>
      </c>
      <c r="BB1661" s="28"/>
      <c r="BC1661" s="304" t="str">
        <f t="shared" ref="BC1661:BD1680" si="1090">IF($E1661=$BC$83,R1661,"")</f>
        <v/>
      </c>
      <c r="BD1661" s="304" t="str">
        <f t="shared" si="1090"/>
        <v/>
      </c>
      <c r="BE1661" s="28"/>
      <c r="BF1661" s="304" t="str">
        <f t="shared" ref="BF1661:BG1680" si="1091">IF($E1661=$BF$83,R1661,"")</f>
        <v/>
      </c>
      <c r="BG1661" s="304" t="str">
        <f t="shared" si="1091"/>
        <v/>
      </c>
      <c r="BH1661" s="28"/>
      <c r="BI1661" s="304" t="str">
        <f t="shared" ref="BI1661:BJ1680" si="1092">IF($E1661=$BI$83,R1661,"")</f>
        <v/>
      </c>
      <c r="BJ1661" s="304" t="str">
        <f t="shared" si="1092"/>
        <v/>
      </c>
      <c r="BK1661" s="28"/>
      <c r="BL1661" s="304" t="str">
        <f t="shared" ref="BL1661:BM1680" si="1093">IF($E1661=$BL$83,R1661,"")</f>
        <v/>
      </c>
      <c r="BM1661" s="304" t="str">
        <f t="shared" si="1093"/>
        <v/>
      </c>
      <c r="BN1661" s="28"/>
      <c r="BO1661" s="304" t="str">
        <f t="shared" ref="BO1661:BP1680" si="1094">IF($E1661=$BO$83,R1661,"")</f>
        <v/>
      </c>
      <c r="BP1661" s="304" t="str">
        <f t="shared" si="1094"/>
        <v/>
      </c>
      <c r="BQ1661" s="28"/>
      <c r="BR1661" s="304" t="str">
        <f t="shared" ref="BR1661:BS1680" si="1095">IF($E1661=$BR$83,R1661,"")</f>
        <v/>
      </c>
      <c r="BS1661" s="304" t="str">
        <f t="shared" si="1095"/>
        <v/>
      </c>
      <c r="BT1661" s="28"/>
      <c r="BU1661" s="304" t="str">
        <f t="shared" ref="BU1661:BV1680" si="1096">IF($E1661=$BU$83,R1661,"")</f>
        <v/>
      </c>
      <c r="BV1661" s="304" t="str">
        <f t="shared" si="1096"/>
        <v/>
      </c>
      <c r="BW1661" s="28"/>
      <c r="BX1661" s="91"/>
    </row>
    <row r="1662" spans="1:76" s="55" customFormat="1" x14ac:dyDescent="0.25">
      <c r="A1662" s="195">
        <v>2</v>
      </c>
      <c r="B1662" s="216" t="str">
        <f t="shared" si="1085"/>
        <v xml:space="preserve">: </v>
      </c>
      <c r="C1662" s="219"/>
      <c r="D1662" s="219"/>
      <c r="E1662" s="219"/>
      <c r="F1662" s="219"/>
      <c r="G1662" s="220"/>
      <c r="H1662" s="221"/>
      <c r="I1662" s="220"/>
      <c r="J1662" s="365"/>
      <c r="K1662" s="227"/>
      <c r="L1662" s="227"/>
      <c r="M1662" s="227"/>
      <c r="N1662" s="227"/>
      <c r="O1662" s="227"/>
      <c r="P1662" s="122"/>
      <c r="Q1662" s="228"/>
      <c r="R1662" s="231" t="str">
        <f t="shared" ref="R1662:R1680" si="1097">IF(Q1662="Y","",IF(AND(L1662="",J1662=""),"",IF(L1662="",J1662,L1662)))</f>
        <v/>
      </c>
      <c r="S1662" s="230" t="str">
        <f t="shared" si="1086"/>
        <v/>
      </c>
      <c r="T1662" s="231" t="str">
        <f>IF(OR(Q1662="Y",IFERROR(R1662&gt;R1681+R1685*$AA$35,0),IFERROR(R1662&lt;R1681-R1685*$AA$35,0)),"",IFERROR(R1662*N1662,""))</f>
        <v/>
      </c>
      <c r="U1662" s="232" t="str">
        <f t="shared" si="1087"/>
        <v/>
      </c>
      <c r="V1662" s="28"/>
      <c r="W1662" s="28"/>
      <c r="Y1662" s="91"/>
      <c r="AO1662" s="91"/>
      <c r="AP1662" s="28"/>
      <c r="AQ1662" s="28"/>
      <c r="AR1662" s="237"/>
      <c r="AS1662" s="28"/>
      <c r="AT1662" s="304" t="str">
        <f t="shared" ref="AT1662:AU1680" si="1098">IF($E1662=$AT$47,R1662,"")</f>
        <v/>
      </c>
      <c r="AU1662" s="304" t="str">
        <f t="shared" si="1098"/>
        <v/>
      </c>
      <c r="AV1662" s="28"/>
      <c r="AW1662" s="304" t="str">
        <f t="shared" si="1088"/>
        <v/>
      </c>
      <c r="AX1662" s="304" t="str">
        <f t="shared" si="1088"/>
        <v/>
      </c>
      <c r="AY1662" s="28"/>
      <c r="AZ1662" s="304" t="str">
        <f t="shared" si="1089"/>
        <v/>
      </c>
      <c r="BA1662" s="304" t="str">
        <f t="shared" si="1089"/>
        <v/>
      </c>
      <c r="BB1662" s="28"/>
      <c r="BC1662" s="304" t="str">
        <f t="shared" si="1090"/>
        <v/>
      </c>
      <c r="BD1662" s="304" t="str">
        <f t="shared" si="1090"/>
        <v/>
      </c>
      <c r="BE1662" s="28"/>
      <c r="BF1662" s="304" t="str">
        <f t="shared" si="1091"/>
        <v/>
      </c>
      <c r="BG1662" s="304" t="str">
        <f t="shared" si="1091"/>
        <v/>
      </c>
      <c r="BH1662" s="28"/>
      <c r="BI1662" s="304" t="str">
        <f t="shared" si="1092"/>
        <v/>
      </c>
      <c r="BJ1662" s="304" t="str">
        <f t="shared" si="1092"/>
        <v/>
      </c>
      <c r="BK1662" s="28"/>
      <c r="BL1662" s="304" t="str">
        <f t="shared" si="1093"/>
        <v/>
      </c>
      <c r="BM1662" s="304" t="str">
        <f t="shared" si="1093"/>
        <v/>
      </c>
      <c r="BN1662" s="28"/>
      <c r="BO1662" s="304" t="str">
        <f t="shared" si="1094"/>
        <v/>
      </c>
      <c r="BP1662" s="304" t="str">
        <f t="shared" si="1094"/>
        <v/>
      </c>
      <c r="BQ1662" s="28"/>
      <c r="BR1662" s="304" t="str">
        <f t="shared" si="1095"/>
        <v/>
      </c>
      <c r="BS1662" s="304" t="str">
        <f t="shared" si="1095"/>
        <v/>
      </c>
      <c r="BT1662" s="28"/>
      <c r="BU1662" s="304" t="str">
        <f t="shared" si="1096"/>
        <v/>
      </c>
      <c r="BV1662" s="304" t="str">
        <f t="shared" si="1096"/>
        <v/>
      </c>
      <c r="BW1662" s="28"/>
      <c r="BX1662" s="91"/>
    </row>
    <row r="1663" spans="1:76" s="55" customFormat="1" x14ac:dyDescent="0.25">
      <c r="A1663" s="195">
        <v>3</v>
      </c>
      <c r="B1663" s="216" t="str">
        <f>CONCATENATE(E1663,": ",C1663)</f>
        <v xml:space="preserve">: </v>
      </c>
      <c r="C1663" s="221"/>
      <c r="D1663" s="221"/>
      <c r="E1663" s="221"/>
      <c r="F1663" s="221"/>
      <c r="G1663" s="240"/>
      <c r="H1663" s="221"/>
      <c r="I1663" s="240"/>
      <c r="J1663" s="400"/>
      <c r="K1663" s="241"/>
      <c r="L1663" s="227"/>
      <c r="M1663" s="227"/>
      <c r="N1663" s="227"/>
      <c r="O1663" s="227"/>
      <c r="P1663" s="122"/>
      <c r="Q1663" s="228"/>
      <c r="R1663" s="231" t="str">
        <f t="shared" si="1097"/>
        <v/>
      </c>
      <c r="S1663" s="230" t="str">
        <f t="shared" si="1086"/>
        <v/>
      </c>
      <c r="T1663" s="231" t="str">
        <f>IF(OR(Q1663="Y",IFERROR(R1663&gt;R1681+R1685*$AA$35,0),IFERROR(R1663&lt;R1681-R1685*$AA$35,0)),"",IFERROR(R1663*N1663,""))</f>
        <v/>
      </c>
      <c r="U1663" s="232" t="str">
        <f t="shared" si="1087"/>
        <v/>
      </c>
      <c r="V1663" s="28"/>
      <c r="W1663" s="28"/>
      <c r="Y1663" s="91"/>
      <c r="AO1663" s="91"/>
      <c r="AP1663" s="28"/>
      <c r="AQ1663" s="28"/>
      <c r="AR1663" s="237"/>
      <c r="AS1663" s="28"/>
      <c r="AT1663" s="304" t="str">
        <f t="shared" si="1098"/>
        <v/>
      </c>
      <c r="AU1663" s="304" t="str">
        <f t="shared" si="1098"/>
        <v/>
      </c>
      <c r="AV1663" s="28"/>
      <c r="AW1663" s="304" t="str">
        <f t="shared" si="1088"/>
        <v/>
      </c>
      <c r="AX1663" s="304" t="str">
        <f t="shared" si="1088"/>
        <v/>
      </c>
      <c r="AY1663" s="28"/>
      <c r="AZ1663" s="304" t="str">
        <f t="shared" si="1089"/>
        <v/>
      </c>
      <c r="BA1663" s="304" t="str">
        <f t="shared" si="1089"/>
        <v/>
      </c>
      <c r="BB1663" s="28"/>
      <c r="BC1663" s="304" t="str">
        <f t="shared" si="1090"/>
        <v/>
      </c>
      <c r="BD1663" s="304" t="str">
        <f t="shared" si="1090"/>
        <v/>
      </c>
      <c r="BE1663" s="28"/>
      <c r="BF1663" s="304" t="str">
        <f t="shared" si="1091"/>
        <v/>
      </c>
      <c r="BG1663" s="304" t="str">
        <f t="shared" si="1091"/>
        <v/>
      </c>
      <c r="BH1663" s="28"/>
      <c r="BI1663" s="304" t="str">
        <f t="shared" si="1092"/>
        <v/>
      </c>
      <c r="BJ1663" s="304" t="str">
        <f t="shared" si="1092"/>
        <v/>
      </c>
      <c r="BK1663" s="28"/>
      <c r="BL1663" s="304" t="str">
        <f t="shared" si="1093"/>
        <v/>
      </c>
      <c r="BM1663" s="304" t="str">
        <f t="shared" si="1093"/>
        <v/>
      </c>
      <c r="BN1663" s="28"/>
      <c r="BO1663" s="304" t="str">
        <f t="shared" si="1094"/>
        <v/>
      </c>
      <c r="BP1663" s="304" t="str">
        <f t="shared" si="1094"/>
        <v/>
      </c>
      <c r="BQ1663" s="28"/>
      <c r="BR1663" s="304" t="str">
        <f t="shared" si="1095"/>
        <v/>
      </c>
      <c r="BS1663" s="304" t="str">
        <f t="shared" si="1095"/>
        <v/>
      </c>
      <c r="BT1663" s="28"/>
      <c r="BU1663" s="304" t="str">
        <f t="shared" si="1096"/>
        <v/>
      </c>
      <c r="BV1663" s="304" t="str">
        <f t="shared" si="1096"/>
        <v/>
      </c>
      <c r="BW1663" s="28"/>
      <c r="BX1663" s="91"/>
    </row>
    <row r="1664" spans="1:76" s="55" customFormat="1" x14ac:dyDescent="0.25">
      <c r="A1664" s="195">
        <v>4</v>
      </c>
      <c r="B1664" s="216" t="str">
        <f t="shared" si="1085"/>
        <v xml:space="preserve">: </v>
      </c>
      <c r="C1664" s="221"/>
      <c r="D1664" s="221"/>
      <c r="E1664" s="221"/>
      <c r="F1664" s="221"/>
      <c r="G1664" s="240"/>
      <c r="H1664" s="221"/>
      <c r="I1664" s="240"/>
      <c r="J1664" s="400"/>
      <c r="K1664" s="241"/>
      <c r="L1664" s="227"/>
      <c r="M1664" s="227"/>
      <c r="N1664" s="227"/>
      <c r="O1664" s="227"/>
      <c r="P1664" s="122"/>
      <c r="Q1664" s="228"/>
      <c r="R1664" s="231" t="str">
        <f t="shared" si="1097"/>
        <v/>
      </c>
      <c r="S1664" s="230" t="str">
        <f t="shared" si="1086"/>
        <v/>
      </c>
      <c r="T1664" s="231" t="str">
        <f>IF(OR(Q1664="Y",IFERROR(R1664&gt;R1681+R1685*$AA$35,0),IFERROR(R1664&lt;R1681-R1685*$AA$35,0)),"",IFERROR(R1664*N1664,""))</f>
        <v/>
      </c>
      <c r="U1664" s="232" t="str">
        <f t="shared" si="1087"/>
        <v/>
      </c>
      <c r="V1664" s="28"/>
      <c r="W1664" s="28"/>
      <c r="Y1664" s="91"/>
      <c r="AO1664" s="91"/>
      <c r="AP1664" s="28"/>
      <c r="AQ1664" s="28"/>
      <c r="AR1664" s="237"/>
      <c r="AS1664" s="28"/>
      <c r="AT1664" s="304" t="str">
        <f t="shared" si="1098"/>
        <v/>
      </c>
      <c r="AU1664" s="304" t="str">
        <f t="shared" si="1098"/>
        <v/>
      </c>
      <c r="AV1664" s="28"/>
      <c r="AW1664" s="304" t="str">
        <f t="shared" si="1088"/>
        <v/>
      </c>
      <c r="AX1664" s="304" t="str">
        <f t="shared" si="1088"/>
        <v/>
      </c>
      <c r="AY1664" s="28"/>
      <c r="AZ1664" s="304" t="str">
        <f t="shared" si="1089"/>
        <v/>
      </c>
      <c r="BA1664" s="304" t="str">
        <f t="shared" si="1089"/>
        <v/>
      </c>
      <c r="BB1664" s="28"/>
      <c r="BC1664" s="304" t="str">
        <f t="shared" si="1090"/>
        <v/>
      </c>
      <c r="BD1664" s="304" t="str">
        <f t="shared" si="1090"/>
        <v/>
      </c>
      <c r="BE1664" s="28"/>
      <c r="BF1664" s="304" t="str">
        <f t="shared" si="1091"/>
        <v/>
      </c>
      <c r="BG1664" s="304" t="str">
        <f t="shared" si="1091"/>
        <v/>
      </c>
      <c r="BH1664" s="28"/>
      <c r="BI1664" s="304" t="str">
        <f t="shared" si="1092"/>
        <v/>
      </c>
      <c r="BJ1664" s="304" t="str">
        <f t="shared" si="1092"/>
        <v/>
      </c>
      <c r="BK1664" s="28"/>
      <c r="BL1664" s="304" t="str">
        <f t="shared" si="1093"/>
        <v/>
      </c>
      <c r="BM1664" s="304" t="str">
        <f t="shared" si="1093"/>
        <v/>
      </c>
      <c r="BN1664" s="28"/>
      <c r="BO1664" s="304" t="str">
        <f t="shared" si="1094"/>
        <v/>
      </c>
      <c r="BP1664" s="304" t="str">
        <f t="shared" si="1094"/>
        <v/>
      </c>
      <c r="BQ1664" s="28"/>
      <c r="BR1664" s="304" t="str">
        <f t="shared" si="1095"/>
        <v/>
      </c>
      <c r="BS1664" s="304" t="str">
        <f t="shared" si="1095"/>
        <v/>
      </c>
      <c r="BT1664" s="28"/>
      <c r="BU1664" s="304" t="str">
        <f t="shared" si="1096"/>
        <v/>
      </c>
      <c r="BV1664" s="304" t="str">
        <f t="shared" si="1096"/>
        <v/>
      </c>
      <c r="BW1664" s="28"/>
      <c r="BX1664" s="91"/>
    </row>
    <row r="1665" spans="1:76" s="55" customFormat="1" x14ac:dyDescent="0.25">
      <c r="A1665" s="195">
        <v>5</v>
      </c>
      <c r="B1665" s="216" t="str">
        <f t="shared" si="1085"/>
        <v xml:space="preserve">: </v>
      </c>
      <c r="C1665" s="221"/>
      <c r="D1665" s="221"/>
      <c r="E1665" s="221"/>
      <c r="F1665" s="221"/>
      <c r="G1665" s="240"/>
      <c r="H1665" s="221"/>
      <c r="I1665" s="240"/>
      <c r="J1665" s="400"/>
      <c r="K1665" s="241"/>
      <c r="L1665" s="227"/>
      <c r="M1665" s="227"/>
      <c r="N1665" s="227"/>
      <c r="O1665" s="227"/>
      <c r="P1665" s="122"/>
      <c r="Q1665" s="228"/>
      <c r="R1665" s="231" t="str">
        <f t="shared" si="1097"/>
        <v/>
      </c>
      <c r="S1665" s="230" t="str">
        <f t="shared" si="1086"/>
        <v/>
      </c>
      <c r="T1665" s="231" t="str">
        <f>IF(OR(Q1665="Y",IFERROR(R1665&gt;R1681+R1685*$AA$35,0),IFERROR(R1665&lt;R1681-R1685*$AA$35,0)),"",IFERROR(R1665*N1665,""))</f>
        <v/>
      </c>
      <c r="U1665" s="232" t="str">
        <f t="shared" si="1087"/>
        <v/>
      </c>
      <c r="V1665" s="28"/>
      <c r="W1665" s="28"/>
      <c r="Y1665" s="91"/>
      <c r="AO1665" s="91"/>
      <c r="AP1665" s="28"/>
      <c r="AQ1665" s="28"/>
      <c r="AR1665" s="237"/>
      <c r="AS1665" s="28"/>
      <c r="AT1665" s="304" t="str">
        <f t="shared" si="1098"/>
        <v/>
      </c>
      <c r="AU1665" s="304" t="str">
        <f t="shared" si="1098"/>
        <v/>
      </c>
      <c r="AV1665" s="28"/>
      <c r="AW1665" s="304" t="str">
        <f t="shared" si="1088"/>
        <v/>
      </c>
      <c r="AX1665" s="304" t="str">
        <f t="shared" si="1088"/>
        <v/>
      </c>
      <c r="AY1665" s="28"/>
      <c r="AZ1665" s="304" t="str">
        <f t="shared" si="1089"/>
        <v/>
      </c>
      <c r="BA1665" s="304" t="str">
        <f t="shared" si="1089"/>
        <v/>
      </c>
      <c r="BB1665" s="28"/>
      <c r="BC1665" s="304" t="str">
        <f t="shared" si="1090"/>
        <v/>
      </c>
      <c r="BD1665" s="304" t="str">
        <f t="shared" si="1090"/>
        <v/>
      </c>
      <c r="BE1665" s="28"/>
      <c r="BF1665" s="304" t="str">
        <f t="shared" si="1091"/>
        <v/>
      </c>
      <c r="BG1665" s="304" t="str">
        <f t="shared" si="1091"/>
        <v/>
      </c>
      <c r="BH1665" s="28"/>
      <c r="BI1665" s="304" t="str">
        <f t="shared" si="1092"/>
        <v/>
      </c>
      <c r="BJ1665" s="304" t="str">
        <f t="shared" si="1092"/>
        <v/>
      </c>
      <c r="BK1665" s="28"/>
      <c r="BL1665" s="304" t="str">
        <f t="shared" si="1093"/>
        <v/>
      </c>
      <c r="BM1665" s="304" t="str">
        <f t="shared" si="1093"/>
        <v/>
      </c>
      <c r="BN1665" s="28"/>
      <c r="BO1665" s="304" t="str">
        <f t="shared" si="1094"/>
        <v/>
      </c>
      <c r="BP1665" s="304" t="str">
        <f t="shared" si="1094"/>
        <v/>
      </c>
      <c r="BQ1665" s="28"/>
      <c r="BR1665" s="304" t="str">
        <f t="shared" si="1095"/>
        <v/>
      </c>
      <c r="BS1665" s="304" t="str">
        <f t="shared" si="1095"/>
        <v/>
      </c>
      <c r="BT1665" s="28"/>
      <c r="BU1665" s="304" t="str">
        <f t="shared" si="1096"/>
        <v/>
      </c>
      <c r="BV1665" s="304" t="str">
        <f t="shared" si="1096"/>
        <v/>
      </c>
      <c r="BW1665" s="28"/>
      <c r="BX1665" s="91"/>
    </row>
    <row r="1666" spans="1:76" s="55" customFormat="1" x14ac:dyDescent="0.25">
      <c r="A1666" s="195">
        <v>6</v>
      </c>
      <c r="B1666" s="216" t="str">
        <f t="shared" si="1085"/>
        <v xml:space="preserve">: </v>
      </c>
      <c r="C1666" s="221"/>
      <c r="D1666" s="221"/>
      <c r="E1666" s="221"/>
      <c r="F1666" s="221"/>
      <c r="G1666" s="240"/>
      <c r="H1666" s="221"/>
      <c r="I1666" s="240"/>
      <c r="J1666" s="400"/>
      <c r="K1666" s="241"/>
      <c r="L1666" s="227"/>
      <c r="M1666" s="227"/>
      <c r="N1666" s="227"/>
      <c r="O1666" s="227"/>
      <c r="P1666" s="122"/>
      <c r="Q1666" s="228"/>
      <c r="R1666" s="231" t="str">
        <f t="shared" si="1097"/>
        <v/>
      </c>
      <c r="S1666" s="230" t="str">
        <f t="shared" si="1086"/>
        <v/>
      </c>
      <c r="T1666" s="231" t="str">
        <f>IF(OR(Q1666="Y",IFERROR(R1666&gt;R1681+R1685*$AA$35,0),IFERROR(R1666&lt;R1681-R1685*$AA$35,0)),"",IFERROR(R1666*N1666,""))</f>
        <v/>
      </c>
      <c r="U1666" s="232" t="str">
        <f t="shared" si="1087"/>
        <v/>
      </c>
      <c r="V1666" s="28"/>
      <c r="W1666" s="28"/>
      <c r="Y1666" s="91"/>
      <c r="AO1666" s="91"/>
      <c r="AP1666" s="28"/>
      <c r="AQ1666" s="28"/>
      <c r="AR1666" s="237"/>
      <c r="AS1666" s="28"/>
      <c r="AT1666" s="304" t="str">
        <f t="shared" si="1098"/>
        <v/>
      </c>
      <c r="AU1666" s="304" t="str">
        <f t="shared" si="1098"/>
        <v/>
      </c>
      <c r="AV1666" s="28"/>
      <c r="AW1666" s="304" t="str">
        <f t="shared" si="1088"/>
        <v/>
      </c>
      <c r="AX1666" s="304" t="str">
        <f t="shared" si="1088"/>
        <v/>
      </c>
      <c r="AY1666" s="28"/>
      <c r="AZ1666" s="304" t="str">
        <f t="shared" si="1089"/>
        <v/>
      </c>
      <c r="BA1666" s="304" t="str">
        <f t="shared" si="1089"/>
        <v/>
      </c>
      <c r="BB1666" s="28"/>
      <c r="BC1666" s="304" t="str">
        <f t="shared" si="1090"/>
        <v/>
      </c>
      <c r="BD1666" s="304" t="str">
        <f t="shared" si="1090"/>
        <v/>
      </c>
      <c r="BE1666" s="28"/>
      <c r="BF1666" s="304" t="str">
        <f t="shared" si="1091"/>
        <v/>
      </c>
      <c r="BG1666" s="304" t="str">
        <f t="shared" si="1091"/>
        <v/>
      </c>
      <c r="BH1666" s="28"/>
      <c r="BI1666" s="304" t="str">
        <f t="shared" si="1092"/>
        <v/>
      </c>
      <c r="BJ1666" s="304" t="str">
        <f t="shared" si="1092"/>
        <v/>
      </c>
      <c r="BK1666" s="28"/>
      <c r="BL1666" s="304" t="str">
        <f t="shared" si="1093"/>
        <v/>
      </c>
      <c r="BM1666" s="304" t="str">
        <f t="shared" si="1093"/>
        <v/>
      </c>
      <c r="BN1666" s="28"/>
      <c r="BO1666" s="304" t="str">
        <f t="shared" si="1094"/>
        <v/>
      </c>
      <c r="BP1666" s="304" t="str">
        <f t="shared" si="1094"/>
        <v/>
      </c>
      <c r="BQ1666" s="28"/>
      <c r="BR1666" s="304" t="str">
        <f t="shared" si="1095"/>
        <v/>
      </c>
      <c r="BS1666" s="304" t="str">
        <f t="shared" si="1095"/>
        <v/>
      </c>
      <c r="BT1666" s="28"/>
      <c r="BU1666" s="304" t="str">
        <f t="shared" si="1096"/>
        <v/>
      </c>
      <c r="BV1666" s="304" t="str">
        <f t="shared" si="1096"/>
        <v/>
      </c>
      <c r="BW1666" s="28"/>
      <c r="BX1666" s="91"/>
    </row>
    <row r="1667" spans="1:76" s="55" customFormat="1" x14ac:dyDescent="0.25">
      <c r="A1667" s="195">
        <v>7</v>
      </c>
      <c r="B1667" s="216" t="str">
        <f t="shared" si="1085"/>
        <v xml:space="preserve">: </v>
      </c>
      <c r="C1667" s="221"/>
      <c r="D1667" s="221"/>
      <c r="E1667" s="221"/>
      <c r="F1667" s="221"/>
      <c r="G1667" s="240"/>
      <c r="H1667" s="221"/>
      <c r="I1667" s="240"/>
      <c r="J1667" s="241"/>
      <c r="K1667" s="241"/>
      <c r="L1667" s="227"/>
      <c r="M1667" s="227"/>
      <c r="N1667" s="227"/>
      <c r="O1667" s="227"/>
      <c r="P1667" s="122"/>
      <c r="Q1667" s="228"/>
      <c r="R1667" s="231" t="str">
        <f t="shared" si="1097"/>
        <v/>
      </c>
      <c r="S1667" s="230" t="str">
        <f t="shared" si="1086"/>
        <v/>
      </c>
      <c r="T1667" s="231" t="str">
        <f>IF(OR(Q1667="Y",IFERROR(R1667&gt;R1681+R1685*$AA$35,0),IFERROR(R1667&lt;R1681-R1685*$AA$35,0)),"",IFERROR(R1667*N1667,""))</f>
        <v/>
      </c>
      <c r="U1667" s="232" t="str">
        <f t="shared" si="1087"/>
        <v/>
      </c>
      <c r="V1667" s="28"/>
      <c r="W1667" s="28"/>
      <c r="Y1667" s="91"/>
      <c r="AO1667" s="91"/>
      <c r="AP1667" s="28"/>
      <c r="AQ1667" s="28"/>
      <c r="AR1667" s="237"/>
      <c r="AS1667" s="28"/>
      <c r="AT1667" s="304" t="str">
        <f t="shared" si="1098"/>
        <v/>
      </c>
      <c r="AU1667" s="304" t="str">
        <f t="shared" si="1098"/>
        <v/>
      </c>
      <c r="AV1667" s="28"/>
      <c r="AW1667" s="304" t="str">
        <f t="shared" si="1088"/>
        <v/>
      </c>
      <c r="AX1667" s="304" t="str">
        <f t="shared" si="1088"/>
        <v/>
      </c>
      <c r="AY1667" s="28"/>
      <c r="AZ1667" s="304" t="str">
        <f t="shared" si="1089"/>
        <v/>
      </c>
      <c r="BA1667" s="304" t="str">
        <f t="shared" si="1089"/>
        <v/>
      </c>
      <c r="BB1667" s="28"/>
      <c r="BC1667" s="304" t="str">
        <f t="shared" si="1090"/>
        <v/>
      </c>
      <c r="BD1667" s="304" t="str">
        <f t="shared" si="1090"/>
        <v/>
      </c>
      <c r="BE1667" s="28"/>
      <c r="BF1667" s="304" t="str">
        <f t="shared" si="1091"/>
        <v/>
      </c>
      <c r="BG1667" s="304" t="str">
        <f t="shared" si="1091"/>
        <v/>
      </c>
      <c r="BH1667" s="28"/>
      <c r="BI1667" s="304" t="str">
        <f t="shared" si="1092"/>
        <v/>
      </c>
      <c r="BJ1667" s="304" t="str">
        <f t="shared" si="1092"/>
        <v/>
      </c>
      <c r="BK1667" s="28"/>
      <c r="BL1667" s="304" t="str">
        <f t="shared" si="1093"/>
        <v/>
      </c>
      <c r="BM1667" s="304" t="str">
        <f t="shared" si="1093"/>
        <v/>
      </c>
      <c r="BN1667" s="28"/>
      <c r="BO1667" s="304" t="str">
        <f t="shared" si="1094"/>
        <v/>
      </c>
      <c r="BP1667" s="304" t="str">
        <f t="shared" si="1094"/>
        <v/>
      </c>
      <c r="BQ1667" s="28"/>
      <c r="BR1667" s="304" t="str">
        <f t="shared" si="1095"/>
        <v/>
      </c>
      <c r="BS1667" s="304" t="str">
        <f t="shared" si="1095"/>
        <v/>
      </c>
      <c r="BT1667" s="28"/>
      <c r="BU1667" s="304" t="str">
        <f t="shared" si="1096"/>
        <v/>
      </c>
      <c r="BV1667" s="304" t="str">
        <f t="shared" si="1096"/>
        <v/>
      </c>
      <c r="BW1667" s="28"/>
      <c r="BX1667" s="91"/>
    </row>
    <row r="1668" spans="1:76" s="55" customFormat="1" x14ac:dyDescent="0.25">
      <c r="A1668" s="195">
        <v>8</v>
      </c>
      <c r="B1668" s="216" t="str">
        <f t="shared" si="1085"/>
        <v xml:space="preserve">: </v>
      </c>
      <c r="C1668" s="221"/>
      <c r="D1668" s="221"/>
      <c r="E1668" s="221"/>
      <c r="F1668" s="221"/>
      <c r="G1668" s="240"/>
      <c r="H1668" s="221"/>
      <c r="I1668" s="240"/>
      <c r="J1668" s="241"/>
      <c r="K1668" s="241"/>
      <c r="L1668" s="227"/>
      <c r="M1668" s="227"/>
      <c r="N1668" s="227"/>
      <c r="O1668" s="227"/>
      <c r="P1668" s="122"/>
      <c r="Q1668" s="228"/>
      <c r="R1668" s="231" t="str">
        <f t="shared" si="1097"/>
        <v/>
      </c>
      <c r="S1668" s="230" t="str">
        <f t="shared" si="1086"/>
        <v/>
      </c>
      <c r="T1668" s="231" t="str">
        <f>IF(OR(Q1668="Y",IFERROR(R1668&gt;R1681+R1685*$AA$35,0),IFERROR(R1668&lt;R1681-R1685*$AA$35,0)),"",IFERROR(R1668*N1668,""))</f>
        <v/>
      </c>
      <c r="U1668" s="232" t="str">
        <f t="shared" si="1087"/>
        <v/>
      </c>
      <c r="V1668" s="28"/>
      <c r="W1668" s="28"/>
      <c r="Y1668" s="91"/>
      <c r="AO1668" s="91"/>
      <c r="AP1668" s="28"/>
      <c r="AQ1668" s="28"/>
      <c r="AR1668" s="237"/>
      <c r="AS1668" s="28"/>
      <c r="AT1668" s="304" t="str">
        <f t="shared" si="1098"/>
        <v/>
      </c>
      <c r="AU1668" s="304" t="str">
        <f t="shared" si="1098"/>
        <v/>
      </c>
      <c r="AV1668" s="28"/>
      <c r="AW1668" s="304" t="str">
        <f t="shared" si="1088"/>
        <v/>
      </c>
      <c r="AX1668" s="304" t="str">
        <f t="shared" si="1088"/>
        <v/>
      </c>
      <c r="AY1668" s="28"/>
      <c r="AZ1668" s="304" t="str">
        <f t="shared" si="1089"/>
        <v/>
      </c>
      <c r="BA1668" s="304" t="str">
        <f t="shared" si="1089"/>
        <v/>
      </c>
      <c r="BB1668" s="28"/>
      <c r="BC1668" s="304" t="str">
        <f t="shared" si="1090"/>
        <v/>
      </c>
      <c r="BD1668" s="304" t="str">
        <f t="shared" si="1090"/>
        <v/>
      </c>
      <c r="BE1668" s="28"/>
      <c r="BF1668" s="304" t="str">
        <f t="shared" si="1091"/>
        <v/>
      </c>
      <c r="BG1668" s="304" t="str">
        <f t="shared" si="1091"/>
        <v/>
      </c>
      <c r="BH1668" s="28"/>
      <c r="BI1668" s="304" t="str">
        <f t="shared" si="1092"/>
        <v/>
      </c>
      <c r="BJ1668" s="304" t="str">
        <f t="shared" si="1092"/>
        <v/>
      </c>
      <c r="BK1668" s="28"/>
      <c r="BL1668" s="304" t="str">
        <f t="shared" si="1093"/>
        <v/>
      </c>
      <c r="BM1668" s="304" t="str">
        <f t="shared" si="1093"/>
        <v/>
      </c>
      <c r="BN1668" s="28"/>
      <c r="BO1668" s="304" t="str">
        <f t="shared" si="1094"/>
        <v/>
      </c>
      <c r="BP1668" s="304" t="str">
        <f t="shared" si="1094"/>
        <v/>
      </c>
      <c r="BQ1668" s="28"/>
      <c r="BR1668" s="304" t="str">
        <f t="shared" si="1095"/>
        <v/>
      </c>
      <c r="BS1668" s="304" t="str">
        <f t="shared" si="1095"/>
        <v/>
      </c>
      <c r="BT1668" s="28"/>
      <c r="BU1668" s="304" t="str">
        <f t="shared" si="1096"/>
        <v/>
      </c>
      <c r="BV1668" s="304" t="str">
        <f t="shared" si="1096"/>
        <v/>
      </c>
      <c r="BW1668" s="28"/>
      <c r="BX1668" s="91"/>
    </row>
    <row r="1669" spans="1:76" s="55" customFormat="1" x14ac:dyDescent="0.25">
      <c r="A1669" s="195">
        <v>9</v>
      </c>
      <c r="B1669" s="216" t="str">
        <f t="shared" si="1085"/>
        <v xml:space="preserve">: </v>
      </c>
      <c r="C1669" s="221"/>
      <c r="D1669" s="221"/>
      <c r="E1669" s="221"/>
      <c r="F1669" s="221"/>
      <c r="G1669" s="240"/>
      <c r="H1669" s="221"/>
      <c r="I1669" s="240"/>
      <c r="J1669" s="241"/>
      <c r="K1669" s="241"/>
      <c r="L1669" s="227"/>
      <c r="M1669" s="227"/>
      <c r="N1669" s="227"/>
      <c r="O1669" s="227"/>
      <c r="P1669" s="122"/>
      <c r="Q1669" s="228"/>
      <c r="R1669" s="231" t="str">
        <f t="shared" si="1097"/>
        <v/>
      </c>
      <c r="S1669" s="230" t="str">
        <f t="shared" si="1086"/>
        <v/>
      </c>
      <c r="T1669" s="231" t="str">
        <f>IF(OR(Q1669="Y",IFERROR(R1669&gt;R1681+R1685*$AA$35,0),IFERROR(R1669&lt;R1681-R1685*$AA$35,0)),"",IFERROR(R1669*N1669,""))</f>
        <v/>
      </c>
      <c r="U1669" s="232" t="str">
        <f t="shared" si="1087"/>
        <v/>
      </c>
      <c r="V1669" s="28"/>
      <c r="W1669" s="28"/>
      <c r="Y1669" s="91"/>
      <c r="AO1669" s="91"/>
      <c r="AP1669" s="28"/>
      <c r="AQ1669" s="28"/>
      <c r="AR1669" s="237"/>
      <c r="AS1669" s="28"/>
      <c r="AT1669" s="304" t="str">
        <f t="shared" si="1098"/>
        <v/>
      </c>
      <c r="AU1669" s="304" t="str">
        <f t="shared" si="1098"/>
        <v/>
      </c>
      <c r="AV1669" s="28"/>
      <c r="AW1669" s="304" t="str">
        <f t="shared" si="1088"/>
        <v/>
      </c>
      <c r="AX1669" s="304" t="str">
        <f t="shared" si="1088"/>
        <v/>
      </c>
      <c r="AY1669" s="28"/>
      <c r="AZ1669" s="304" t="str">
        <f t="shared" si="1089"/>
        <v/>
      </c>
      <c r="BA1669" s="304" t="str">
        <f t="shared" si="1089"/>
        <v/>
      </c>
      <c r="BB1669" s="28"/>
      <c r="BC1669" s="304" t="str">
        <f t="shared" si="1090"/>
        <v/>
      </c>
      <c r="BD1669" s="304" t="str">
        <f t="shared" si="1090"/>
        <v/>
      </c>
      <c r="BE1669" s="28"/>
      <c r="BF1669" s="304" t="str">
        <f t="shared" si="1091"/>
        <v/>
      </c>
      <c r="BG1669" s="304" t="str">
        <f t="shared" si="1091"/>
        <v/>
      </c>
      <c r="BH1669" s="28"/>
      <c r="BI1669" s="304" t="str">
        <f t="shared" si="1092"/>
        <v/>
      </c>
      <c r="BJ1669" s="304" t="str">
        <f t="shared" si="1092"/>
        <v/>
      </c>
      <c r="BK1669" s="28"/>
      <c r="BL1669" s="304" t="str">
        <f t="shared" si="1093"/>
        <v/>
      </c>
      <c r="BM1669" s="304" t="str">
        <f t="shared" si="1093"/>
        <v/>
      </c>
      <c r="BN1669" s="28"/>
      <c r="BO1669" s="304" t="str">
        <f t="shared" si="1094"/>
        <v/>
      </c>
      <c r="BP1669" s="304" t="str">
        <f t="shared" si="1094"/>
        <v/>
      </c>
      <c r="BQ1669" s="28"/>
      <c r="BR1669" s="304" t="str">
        <f t="shared" si="1095"/>
        <v/>
      </c>
      <c r="BS1669" s="304" t="str">
        <f t="shared" si="1095"/>
        <v/>
      </c>
      <c r="BT1669" s="28"/>
      <c r="BU1669" s="304" t="str">
        <f t="shared" si="1096"/>
        <v/>
      </c>
      <c r="BV1669" s="304" t="str">
        <f t="shared" si="1096"/>
        <v/>
      </c>
      <c r="BW1669" s="28"/>
      <c r="BX1669" s="91"/>
    </row>
    <row r="1670" spans="1:76" s="55" customFormat="1" x14ac:dyDescent="0.25">
      <c r="A1670" s="195">
        <v>10</v>
      </c>
      <c r="B1670" s="216" t="str">
        <f t="shared" si="1085"/>
        <v xml:space="preserve">: </v>
      </c>
      <c r="C1670" s="221"/>
      <c r="D1670" s="221"/>
      <c r="E1670" s="221"/>
      <c r="F1670" s="221"/>
      <c r="G1670" s="240"/>
      <c r="H1670" s="221"/>
      <c r="I1670" s="240"/>
      <c r="J1670" s="241"/>
      <c r="K1670" s="241"/>
      <c r="L1670" s="227"/>
      <c r="M1670" s="227"/>
      <c r="N1670" s="227"/>
      <c r="O1670" s="227"/>
      <c r="P1670" s="122"/>
      <c r="Q1670" s="228"/>
      <c r="R1670" s="231" t="str">
        <f t="shared" si="1097"/>
        <v/>
      </c>
      <c r="S1670" s="230" t="str">
        <f t="shared" si="1086"/>
        <v/>
      </c>
      <c r="T1670" s="231" t="str">
        <f>IF(OR(Q1670="Y",IFERROR(R1670&gt;R1681+R1685*$AA$35,0),IFERROR(R1670&lt;R1681-R1685*$AA$35,0)),"",IFERROR(R1670*N1670,""))</f>
        <v/>
      </c>
      <c r="U1670" s="232" t="str">
        <f t="shared" si="1087"/>
        <v/>
      </c>
      <c r="V1670" s="28"/>
      <c r="W1670" s="28"/>
      <c r="Y1670" s="91"/>
      <c r="AO1670" s="91"/>
      <c r="AP1670" s="28"/>
      <c r="AQ1670" s="28"/>
      <c r="AR1670" s="237"/>
      <c r="AS1670" s="28"/>
      <c r="AT1670" s="304" t="str">
        <f t="shared" si="1098"/>
        <v/>
      </c>
      <c r="AU1670" s="304" t="str">
        <f t="shared" si="1098"/>
        <v/>
      </c>
      <c r="AV1670" s="28"/>
      <c r="AW1670" s="304" t="str">
        <f t="shared" si="1088"/>
        <v/>
      </c>
      <c r="AX1670" s="304" t="str">
        <f t="shared" si="1088"/>
        <v/>
      </c>
      <c r="AY1670" s="28"/>
      <c r="AZ1670" s="304" t="str">
        <f t="shared" si="1089"/>
        <v/>
      </c>
      <c r="BA1670" s="304" t="str">
        <f t="shared" si="1089"/>
        <v/>
      </c>
      <c r="BB1670" s="28"/>
      <c r="BC1670" s="304" t="str">
        <f t="shared" si="1090"/>
        <v/>
      </c>
      <c r="BD1670" s="304" t="str">
        <f t="shared" si="1090"/>
        <v/>
      </c>
      <c r="BE1670" s="28"/>
      <c r="BF1670" s="304" t="str">
        <f t="shared" si="1091"/>
        <v/>
      </c>
      <c r="BG1670" s="304" t="str">
        <f t="shared" si="1091"/>
        <v/>
      </c>
      <c r="BH1670" s="28"/>
      <c r="BI1670" s="304" t="str">
        <f t="shared" si="1092"/>
        <v/>
      </c>
      <c r="BJ1670" s="304" t="str">
        <f t="shared" si="1092"/>
        <v/>
      </c>
      <c r="BK1670" s="28"/>
      <c r="BL1670" s="304" t="str">
        <f t="shared" si="1093"/>
        <v/>
      </c>
      <c r="BM1670" s="304" t="str">
        <f t="shared" si="1093"/>
        <v/>
      </c>
      <c r="BN1670" s="28"/>
      <c r="BO1670" s="304" t="str">
        <f t="shared" si="1094"/>
        <v/>
      </c>
      <c r="BP1670" s="304" t="str">
        <f t="shared" si="1094"/>
        <v/>
      </c>
      <c r="BQ1670" s="28"/>
      <c r="BR1670" s="304" t="str">
        <f t="shared" si="1095"/>
        <v/>
      </c>
      <c r="BS1670" s="304" t="str">
        <f t="shared" si="1095"/>
        <v/>
      </c>
      <c r="BT1670" s="28"/>
      <c r="BU1670" s="304" t="str">
        <f t="shared" si="1096"/>
        <v/>
      </c>
      <c r="BV1670" s="304" t="str">
        <f t="shared" si="1096"/>
        <v/>
      </c>
      <c r="BW1670" s="28"/>
      <c r="BX1670" s="91"/>
    </row>
    <row r="1671" spans="1:76" s="55" customFormat="1" x14ac:dyDescent="0.25">
      <c r="A1671" s="195">
        <v>11</v>
      </c>
      <c r="B1671" s="216" t="str">
        <f t="shared" si="1085"/>
        <v xml:space="preserve">: </v>
      </c>
      <c r="C1671" s="221"/>
      <c r="D1671" s="221"/>
      <c r="E1671" s="221"/>
      <c r="F1671" s="221"/>
      <c r="G1671" s="240"/>
      <c r="H1671" s="221"/>
      <c r="I1671" s="240"/>
      <c r="J1671" s="241"/>
      <c r="K1671" s="241"/>
      <c r="L1671" s="227"/>
      <c r="M1671" s="227"/>
      <c r="N1671" s="227"/>
      <c r="O1671" s="227"/>
      <c r="P1671" s="122"/>
      <c r="Q1671" s="228"/>
      <c r="R1671" s="231" t="str">
        <f t="shared" si="1097"/>
        <v/>
      </c>
      <c r="S1671" s="230" t="str">
        <f t="shared" si="1086"/>
        <v/>
      </c>
      <c r="T1671" s="231" t="str">
        <f>IF(OR(Q1671="Y",IFERROR(R1671&gt;R1681+R1685*$AA$35,0),IFERROR(R1671&lt;R1681-R1685*$AA$35,0)),"",IFERROR(R1671*N1671,""))</f>
        <v/>
      </c>
      <c r="U1671" s="232" t="str">
        <f t="shared" si="1087"/>
        <v/>
      </c>
      <c r="V1671" s="28"/>
      <c r="W1671" s="28"/>
      <c r="Y1671" s="91"/>
      <c r="AO1671" s="91"/>
      <c r="AP1671" s="28"/>
      <c r="AQ1671" s="28"/>
      <c r="AR1671" s="237"/>
      <c r="AS1671" s="28"/>
      <c r="AT1671" s="304" t="str">
        <f t="shared" si="1098"/>
        <v/>
      </c>
      <c r="AU1671" s="304" t="str">
        <f t="shared" si="1098"/>
        <v/>
      </c>
      <c r="AV1671" s="28"/>
      <c r="AW1671" s="304" t="str">
        <f t="shared" si="1088"/>
        <v/>
      </c>
      <c r="AX1671" s="304" t="str">
        <f t="shared" si="1088"/>
        <v/>
      </c>
      <c r="AY1671" s="28"/>
      <c r="AZ1671" s="304" t="str">
        <f t="shared" si="1089"/>
        <v/>
      </c>
      <c r="BA1671" s="304" t="str">
        <f t="shared" si="1089"/>
        <v/>
      </c>
      <c r="BB1671" s="28"/>
      <c r="BC1671" s="304" t="str">
        <f t="shared" si="1090"/>
        <v/>
      </c>
      <c r="BD1671" s="304" t="str">
        <f t="shared" si="1090"/>
        <v/>
      </c>
      <c r="BE1671" s="28"/>
      <c r="BF1671" s="304" t="str">
        <f t="shared" si="1091"/>
        <v/>
      </c>
      <c r="BG1671" s="304" t="str">
        <f t="shared" si="1091"/>
        <v/>
      </c>
      <c r="BH1671" s="28"/>
      <c r="BI1671" s="304" t="str">
        <f t="shared" si="1092"/>
        <v/>
      </c>
      <c r="BJ1671" s="304" t="str">
        <f t="shared" si="1092"/>
        <v/>
      </c>
      <c r="BK1671" s="28"/>
      <c r="BL1671" s="304" t="str">
        <f t="shared" si="1093"/>
        <v/>
      </c>
      <c r="BM1671" s="304" t="str">
        <f t="shared" si="1093"/>
        <v/>
      </c>
      <c r="BN1671" s="28"/>
      <c r="BO1671" s="304" t="str">
        <f t="shared" si="1094"/>
        <v/>
      </c>
      <c r="BP1671" s="304" t="str">
        <f t="shared" si="1094"/>
        <v/>
      </c>
      <c r="BQ1671" s="28"/>
      <c r="BR1671" s="304" t="str">
        <f t="shared" si="1095"/>
        <v/>
      </c>
      <c r="BS1671" s="304" t="str">
        <f t="shared" si="1095"/>
        <v/>
      </c>
      <c r="BT1671" s="28"/>
      <c r="BU1671" s="304" t="str">
        <f t="shared" si="1096"/>
        <v/>
      </c>
      <c r="BV1671" s="304" t="str">
        <f t="shared" si="1096"/>
        <v/>
      </c>
      <c r="BW1671" s="28"/>
      <c r="BX1671" s="91"/>
    </row>
    <row r="1672" spans="1:76" s="55" customFormat="1" x14ac:dyDescent="0.25">
      <c r="A1672" s="195">
        <v>12</v>
      </c>
      <c r="B1672" s="216" t="str">
        <f t="shared" si="1085"/>
        <v xml:space="preserve">: </v>
      </c>
      <c r="C1672" s="221"/>
      <c r="D1672" s="221"/>
      <c r="E1672" s="221"/>
      <c r="F1672" s="221"/>
      <c r="G1672" s="240"/>
      <c r="H1672" s="221"/>
      <c r="I1672" s="240"/>
      <c r="J1672" s="241"/>
      <c r="K1672" s="241"/>
      <c r="L1672" s="227"/>
      <c r="M1672" s="227"/>
      <c r="N1672" s="227"/>
      <c r="O1672" s="227"/>
      <c r="P1672" s="122"/>
      <c r="Q1672" s="228"/>
      <c r="R1672" s="231" t="str">
        <f t="shared" si="1097"/>
        <v/>
      </c>
      <c r="S1672" s="230" t="str">
        <f t="shared" si="1086"/>
        <v/>
      </c>
      <c r="T1672" s="231" t="str">
        <f>IF(OR(Q1672="Y",IFERROR(R1672&gt;R1681+R1685*$AA$35,0),IFERROR(R1672&lt;R1681-R1685*$AA$35,0)),"",IFERROR(R1672*N1672,""))</f>
        <v/>
      </c>
      <c r="U1672" s="232" t="str">
        <f t="shared" si="1087"/>
        <v/>
      </c>
      <c r="V1672" s="28"/>
      <c r="W1672" s="28"/>
      <c r="Y1672" s="91"/>
      <c r="AO1672" s="91"/>
      <c r="AP1672" s="28"/>
      <c r="AQ1672" s="28"/>
      <c r="AR1672" s="237"/>
      <c r="AS1672" s="28"/>
      <c r="AT1672" s="304" t="str">
        <f t="shared" si="1098"/>
        <v/>
      </c>
      <c r="AU1672" s="304" t="str">
        <f t="shared" si="1098"/>
        <v/>
      </c>
      <c r="AV1672" s="28"/>
      <c r="AW1672" s="304" t="str">
        <f t="shared" si="1088"/>
        <v/>
      </c>
      <c r="AX1672" s="304" t="str">
        <f t="shared" si="1088"/>
        <v/>
      </c>
      <c r="AY1672" s="28"/>
      <c r="AZ1672" s="304" t="str">
        <f t="shared" si="1089"/>
        <v/>
      </c>
      <c r="BA1672" s="304" t="str">
        <f t="shared" si="1089"/>
        <v/>
      </c>
      <c r="BB1672" s="28"/>
      <c r="BC1672" s="304" t="str">
        <f t="shared" si="1090"/>
        <v/>
      </c>
      <c r="BD1672" s="304" t="str">
        <f t="shared" si="1090"/>
        <v/>
      </c>
      <c r="BE1672" s="28"/>
      <c r="BF1672" s="304" t="str">
        <f t="shared" si="1091"/>
        <v/>
      </c>
      <c r="BG1672" s="304" t="str">
        <f t="shared" si="1091"/>
        <v/>
      </c>
      <c r="BH1672" s="28"/>
      <c r="BI1672" s="304" t="str">
        <f t="shared" si="1092"/>
        <v/>
      </c>
      <c r="BJ1672" s="304" t="str">
        <f t="shared" si="1092"/>
        <v/>
      </c>
      <c r="BK1672" s="28"/>
      <c r="BL1672" s="304" t="str">
        <f t="shared" si="1093"/>
        <v/>
      </c>
      <c r="BM1672" s="304" t="str">
        <f t="shared" si="1093"/>
        <v/>
      </c>
      <c r="BN1672" s="28"/>
      <c r="BO1672" s="304" t="str">
        <f t="shared" si="1094"/>
        <v/>
      </c>
      <c r="BP1672" s="304" t="str">
        <f t="shared" si="1094"/>
        <v/>
      </c>
      <c r="BQ1672" s="28"/>
      <c r="BR1672" s="304" t="str">
        <f t="shared" si="1095"/>
        <v/>
      </c>
      <c r="BS1672" s="304" t="str">
        <f t="shared" si="1095"/>
        <v/>
      </c>
      <c r="BT1672" s="28"/>
      <c r="BU1672" s="304" t="str">
        <f t="shared" si="1096"/>
        <v/>
      </c>
      <c r="BV1672" s="304" t="str">
        <f t="shared" si="1096"/>
        <v/>
      </c>
      <c r="BW1672" s="28"/>
      <c r="BX1672" s="91"/>
    </row>
    <row r="1673" spans="1:76" s="55" customFormat="1" x14ac:dyDescent="0.25">
      <c r="A1673" s="195">
        <v>13</v>
      </c>
      <c r="B1673" s="216" t="str">
        <f t="shared" si="1085"/>
        <v xml:space="preserve">: </v>
      </c>
      <c r="C1673" s="221"/>
      <c r="D1673" s="221"/>
      <c r="E1673" s="221"/>
      <c r="F1673" s="221"/>
      <c r="G1673" s="240"/>
      <c r="H1673" s="221"/>
      <c r="I1673" s="240"/>
      <c r="J1673" s="241"/>
      <c r="K1673" s="241"/>
      <c r="L1673" s="227"/>
      <c r="M1673" s="227"/>
      <c r="N1673" s="227"/>
      <c r="O1673" s="227"/>
      <c r="P1673" s="122"/>
      <c r="Q1673" s="228"/>
      <c r="R1673" s="231" t="str">
        <f t="shared" si="1097"/>
        <v/>
      </c>
      <c r="S1673" s="230" t="str">
        <f t="shared" si="1086"/>
        <v/>
      </c>
      <c r="T1673" s="231" t="str">
        <f>IF(OR(Q1673="Y",IFERROR(R1673&gt;R1681+R1685*$AA$35,0),IFERROR(R1673&lt;R1681-R1685*$AA$35,0)),"",IFERROR(R1673*N1673,""))</f>
        <v/>
      </c>
      <c r="U1673" s="232" t="str">
        <f t="shared" si="1087"/>
        <v/>
      </c>
      <c r="V1673" s="28"/>
      <c r="W1673" s="28"/>
      <c r="Y1673" s="91"/>
      <c r="AO1673" s="91"/>
      <c r="AP1673" s="28"/>
      <c r="AQ1673" s="28"/>
      <c r="AR1673" s="237"/>
      <c r="AS1673" s="28"/>
      <c r="AT1673" s="304" t="str">
        <f t="shared" si="1098"/>
        <v/>
      </c>
      <c r="AU1673" s="304" t="str">
        <f t="shared" si="1098"/>
        <v/>
      </c>
      <c r="AV1673" s="28"/>
      <c r="AW1673" s="304" t="str">
        <f t="shared" si="1088"/>
        <v/>
      </c>
      <c r="AX1673" s="304" t="str">
        <f t="shared" si="1088"/>
        <v/>
      </c>
      <c r="AY1673" s="28"/>
      <c r="AZ1673" s="304" t="str">
        <f t="shared" si="1089"/>
        <v/>
      </c>
      <c r="BA1673" s="304" t="str">
        <f t="shared" si="1089"/>
        <v/>
      </c>
      <c r="BB1673" s="28"/>
      <c r="BC1673" s="304" t="str">
        <f t="shared" si="1090"/>
        <v/>
      </c>
      <c r="BD1673" s="304" t="str">
        <f t="shared" si="1090"/>
        <v/>
      </c>
      <c r="BE1673" s="28"/>
      <c r="BF1673" s="304" t="str">
        <f t="shared" si="1091"/>
        <v/>
      </c>
      <c r="BG1673" s="304" t="str">
        <f t="shared" si="1091"/>
        <v/>
      </c>
      <c r="BH1673" s="28"/>
      <c r="BI1673" s="304" t="str">
        <f t="shared" si="1092"/>
        <v/>
      </c>
      <c r="BJ1673" s="304" t="str">
        <f t="shared" si="1092"/>
        <v/>
      </c>
      <c r="BK1673" s="28"/>
      <c r="BL1673" s="304" t="str">
        <f t="shared" si="1093"/>
        <v/>
      </c>
      <c r="BM1673" s="304" t="str">
        <f t="shared" si="1093"/>
        <v/>
      </c>
      <c r="BN1673" s="28"/>
      <c r="BO1673" s="304" t="str">
        <f t="shared" si="1094"/>
        <v/>
      </c>
      <c r="BP1673" s="304" t="str">
        <f t="shared" si="1094"/>
        <v/>
      </c>
      <c r="BQ1673" s="28"/>
      <c r="BR1673" s="304" t="str">
        <f t="shared" si="1095"/>
        <v/>
      </c>
      <c r="BS1673" s="304" t="str">
        <f t="shared" si="1095"/>
        <v/>
      </c>
      <c r="BT1673" s="28"/>
      <c r="BU1673" s="304" t="str">
        <f t="shared" si="1096"/>
        <v/>
      </c>
      <c r="BV1673" s="304" t="str">
        <f t="shared" si="1096"/>
        <v/>
      </c>
      <c r="BW1673" s="28"/>
      <c r="BX1673" s="91"/>
    </row>
    <row r="1674" spans="1:76" s="55" customFormat="1" x14ac:dyDescent="0.25">
      <c r="A1674" s="195">
        <v>14</v>
      </c>
      <c r="B1674" s="216" t="str">
        <f t="shared" si="1085"/>
        <v xml:space="preserve">: </v>
      </c>
      <c r="C1674" s="221"/>
      <c r="D1674" s="221"/>
      <c r="E1674" s="221"/>
      <c r="F1674" s="221"/>
      <c r="G1674" s="240"/>
      <c r="H1674" s="221"/>
      <c r="I1674" s="240"/>
      <c r="J1674" s="241"/>
      <c r="K1674" s="241"/>
      <c r="L1674" s="227"/>
      <c r="M1674" s="227"/>
      <c r="N1674" s="227"/>
      <c r="O1674" s="227"/>
      <c r="P1674" s="122"/>
      <c r="Q1674" s="228"/>
      <c r="R1674" s="231" t="str">
        <f t="shared" si="1097"/>
        <v/>
      </c>
      <c r="S1674" s="230" t="str">
        <f t="shared" si="1086"/>
        <v/>
      </c>
      <c r="T1674" s="231" t="str">
        <f>IF(OR(Q1674="Y",IFERROR(R1674&gt;R1681+R1685*$AA$35,0),IFERROR(R1674&lt;R1681-R1685*$AA$35,0)),"",IFERROR(R1674*N1674,""))</f>
        <v/>
      </c>
      <c r="U1674" s="232" t="str">
        <f t="shared" si="1087"/>
        <v/>
      </c>
      <c r="V1674" s="28"/>
      <c r="W1674" s="28"/>
      <c r="Y1674" s="91"/>
      <c r="AO1674" s="91"/>
      <c r="AP1674" s="28"/>
      <c r="AQ1674" s="28"/>
      <c r="AR1674" s="237"/>
      <c r="AS1674" s="28"/>
      <c r="AT1674" s="304" t="str">
        <f t="shared" si="1098"/>
        <v/>
      </c>
      <c r="AU1674" s="304" t="str">
        <f t="shared" si="1098"/>
        <v/>
      </c>
      <c r="AV1674" s="28"/>
      <c r="AW1674" s="304" t="str">
        <f t="shared" si="1088"/>
        <v/>
      </c>
      <c r="AX1674" s="304" t="str">
        <f t="shared" si="1088"/>
        <v/>
      </c>
      <c r="AY1674" s="28"/>
      <c r="AZ1674" s="304" t="str">
        <f t="shared" si="1089"/>
        <v/>
      </c>
      <c r="BA1674" s="304" t="str">
        <f t="shared" si="1089"/>
        <v/>
      </c>
      <c r="BB1674" s="28"/>
      <c r="BC1674" s="304" t="str">
        <f t="shared" si="1090"/>
        <v/>
      </c>
      <c r="BD1674" s="304" t="str">
        <f t="shared" si="1090"/>
        <v/>
      </c>
      <c r="BE1674" s="28"/>
      <c r="BF1674" s="304" t="str">
        <f t="shared" si="1091"/>
        <v/>
      </c>
      <c r="BG1674" s="304" t="str">
        <f t="shared" si="1091"/>
        <v/>
      </c>
      <c r="BH1674" s="28"/>
      <c r="BI1674" s="304" t="str">
        <f t="shared" si="1092"/>
        <v/>
      </c>
      <c r="BJ1674" s="304" t="str">
        <f t="shared" si="1092"/>
        <v/>
      </c>
      <c r="BK1674" s="28"/>
      <c r="BL1674" s="304" t="str">
        <f t="shared" si="1093"/>
        <v/>
      </c>
      <c r="BM1674" s="304" t="str">
        <f t="shared" si="1093"/>
        <v/>
      </c>
      <c r="BN1674" s="28"/>
      <c r="BO1674" s="304" t="str">
        <f t="shared" si="1094"/>
        <v/>
      </c>
      <c r="BP1674" s="304" t="str">
        <f t="shared" si="1094"/>
        <v/>
      </c>
      <c r="BQ1674" s="28"/>
      <c r="BR1674" s="304" t="str">
        <f t="shared" si="1095"/>
        <v/>
      </c>
      <c r="BS1674" s="304" t="str">
        <f t="shared" si="1095"/>
        <v/>
      </c>
      <c r="BT1674" s="28"/>
      <c r="BU1674" s="304" t="str">
        <f t="shared" si="1096"/>
        <v/>
      </c>
      <c r="BV1674" s="304" t="str">
        <f t="shared" si="1096"/>
        <v/>
      </c>
      <c r="BW1674" s="28"/>
      <c r="BX1674" s="91"/>
    </row>
    <row r="1675" spans="1:76" s="55" customFormat="1" x14ac:dyDescent="0.25">
      <c r="A1675" s="195">
        <v>15</v>
      </c>
      <c r="B1675" s="216" t="str">
        <f t="shared" si="1085"/>
        <v xml:space="preserve">: </v>
      </c>
      <c r="C1675" s="221"/>
      <c r="D1675" s="221"/>
      <c r="E1675" s="221"/>
      <c r="F1675" s="221"/>
      <c r="G1675" s="240"/>
      <c r="H1675" s="221"/>
      <c r="I1675" s="240"/>
      <c r="J1675" s="241"/>
      <c r="K1675" s="241"/>
      <c r="L1675" s="227"/>
      <c r="M1675" s="227"/>
      <c r="N1675" s="227"/>
      <c r="O1675" s="227"/>
      <c r="P1675" s="122"/>
      <c r="Q1675" s="228"/>
      <c r="R1675" s="231" t="str">
        <f t="shared" si="1097"/>
        <v/>
      </c>
      <c r="S1675" s="230" t="str">
        <f t="shared" si="1086"/>
        <v/>
      </c>
      <c r="T1675" s="231" t="str">
        <f>IF(OR(Q1675="Y",IFERROR(R1675&gt;R1681+R1685*$AA$35,0),IFERROR(R1675&lt;R1681-R1685*$AA$35,0)),"",IFERROR(R1675*N1675,""))</f>
        <v/>
      </c>
      <c r="U1675" s="232" t="str">
        <f t="shared" si="1087"/>
        <v/>
      </c>
      <c r="V1675" s="28"/>
      <c r="W1675" s="28"/>
      <c r="Y1675" s="91"/>
      <c r="AO1675" s="91"/>
      <c r="AP1675" s="28"/>
      <c r="AQ1675" s="28"/>
      <c r="AR1675" s="237"/>
      <c r="AS1675" s="28"/>
      <c r="AT1675" s="304" t="str">
        <f t="shared" si="1098"/>
        <v/>
      </c>
      <c r="AU1675" s="304" t="str">
        <f t="shared" si="1098"/>
        <v/>
      </c>
      <c r="AV1675" s="28"/>
      <c r="AW1675" s="304" t="str">
        <f t="shared" si="1088"/>
        <v/>
      </c>
      <c r="AX1675" s="304" t="str">
        <f t="shared" si="1088"/>
        <v/>
      </c>
      <c r="AY1675" s="28"/>
      <c r="AZ1675" s="304" t="str">
        <f t="shared" si="1089"/>
        <v/>
      </c>
      <c r="BA1675" s="304" t="str">
        <f t="shared" si="1089"/>
        <v/>
      </c>
      <c r="BB1675" s="28"/>
      <c r="BC1675" s="304" t="str">
        <f t="shared" si="1090"/>
        <v/>
      </c>
      <c r="BD1675" s="304" t="str">
        <f t="shared" si="1090"/>
        <v/>
      </c>
      <c r="BE1675" s="28"/>
      <c r="BF1675" s="304" t="str">
        <f t="shared" si="1091"/>
        <v/>
      </c>
      <c r="BG1675" s="304" t="str">
        <f t="shared" si="1091"/>
        <v/>
      </c>
      <c r="BH1675" s="28"/>
      <c r="BI1675" s="304" t="str">
        <f t="shared" si="1092"/>
        <v/>
      </c>
      <c r="BJ1675" s="304" t="str">
        <f t="shared" si="1092"/>
        <v/>
      </c>
      <c r="BK1675" s="28"/>
      <c r="BL1675" s="304" t="str">
        <f t="shared" si="1093"/>
        <v/>
      </c>
      <c r="BM1675" s="304" t="str">
        <f t="shared" si="1093"/>
        <v/>
      </c>
      <c r="BN1675" s="28"/>
      <c r="BO1675" s="304" t="str">
        <f t="shared" si="1094"/>
        <v/>
      </c>
      <c r="BP1675" s="304" t="str">
        <f t="shared" si="1094"/>
        <v/>
      </c>
      <c r="BQ1675" s="28"/>
      <c r="BR1675" s="304" t="str">
        <f t="shared" si="1095"/>
        <v/>
      </c>
      <c r="BS1675" s="304" t="str">
        <f t="shared" si="1095"/>
        <v/>
      </c>
      <c r="BT1675" s="28"/>
      <c r="BU1675" s="304" t="str">
        <f t="shared" si="1096"/>
        <v/>
      </c>
      <c r="BV1675" s="304" t="str">
        <f t="shared" si="1096"/>
        <v/>
      </c>
      <c r="BW1675" s="28"/>
      <c r="BX1675" s="91"/>
    </row>
    <row r="1676" spans="1:76" s="55" customFormat="1" x14ac:dyDescent="0.25">
      <c r="A1676" s="195">
        <v>16</v>
      </c>
      <c r="B1676" s="216" t="str">
        <f t="shared" si="1085"/>
        <v xml:space="preserve">: </v>
      </c>
      <c r="C1676" s="221"/>
      <c r="D1676" s="221"/>
      <c r="E1676" s="221"/>
      <c r="F1676" s="221"/>
      <c r="G1676" s="240"/>
      <c r="H1676" s="221"/>
      <c r="I1676" s="240"/>
      <c r="J1676" s="241"/>
      <c r="K1676" s="241"/>
      <c r="L1676" s="227"/>
      <c r="M1676" s="227"/>
      <c r="N1676" s="227"/>
      <c r="O1676" s="227"/>
      <c r="P1676" s="122"/>
      <c r="Q1676" s="228"/>
      <c r="R1676" s="231" t="str">
        <f t="shared" si="1097"/>
        <v/>
      </c>
      <c r="S1676" s="230" t="str">
        <f t="shared" si="1086"/>
        <v/>
      </c>
      <c r="T1676" s="231" t="str">
        <f>IF(OR(Q1676="Y",IFERROR(R1676&gt;R1681+R1685*$AA$35,0),IFERROR(R1676&lt;R1681-R1685*$AA$35,0)),"",IFERROR(R1676*N1676,""))</f>
        <v/>
      </c>
      <c r="U1676" s="232" t="str">
        <f t="shared" si="1087"/>
        <v/>
      </c>
      <c r="V1676" s="28"/>
      <c r="W1676" s="28"/>
      <c r="Y1676" s="91"/>
      <c r="AO1676" s="91"/>
      <c r="AP1676" s="28"/>
      <c r="AQ1676" s="28"/>
      <c r="AR1676" s="237"/>
      <c r="AS1676" s="28"/>
      <c r="AT1676" s="304" t="str">
        <f t="shared" si="1098"/>
        <v/>
      </c>
      <c r="AU1676" s="304" t="str">
        <f t="shared" si="1098"/>
        <v/>
      </c>
      <c r="AV1676" s="28"/>
      <c r="AW1676" s="304" t="str">
        <f t="shared" si="1088"/>
        <v/>
      </c>
      <c r="AX1676" s="304" t="str">
        <f t="shared" si="1088"/>
        <v/>
      </c>
      <c r="AY1676" s="28"/>
      <c r="AZ1676" s="304" t="str">
        <f t="shared" si="1089"/>
        <v/>
      </c>
      <c r="BA1676" s="304" t="str">
        <f t="shared" si="1089"/>
        <v/>
      </c>
      <c r="BB1676" s="28"/>
      <c r="BC1676" s="304" t="str">
        <f t="shared" si="1090"/>
        <v/>
      </c>
      <c r="BD1676" s="304" t="str">
        <f t="shared" si="1090"/>
        <v/>
      </c>
      <c r="BE1676" s="28"/>
      <c r="BF1676" s="304" t="str">
        <f t="shared" si="1091"/>
        <v/>
      </c>
      <c r="BG1676" s="304" t="str">
        <f t="shared" si="1091"/>
        <v/>
      </c>
      <c r="BH1676" s="28"/>
      <c r="BI1676" s="304" t="str">
        <f t="shared" si="1092"/>
        <v/>
      </c>
      <c r="BJ1676" s="304" t="str">
        <f t="shared" si="1092"/>
        <v/>
      </c>
      <c r="BK1676" s="28"/>
      <c r="BL1676" s="304" t="str">
        <f t="shared" si="1093"/>
        <v/>
      </c>
      <c r="BM1676" s="304" t="str">
        <f t="shared" si="1093"/>
        <v/>
      </c>
      <c r="BN1676" s="28"/>
      <c r="BO1676" s="304" t="str">
        <f t="shared" si="1094"/>
        <v/>
      </c>
      <c r="BP1676" s="304" t="str">
        <f t="shared" si="1094"/>
        <v/>
      </c>
      <c r="BQ1676" s="28"/>
      <c r="BR1676" s="304" t="str">
        <f t="shared" si="1095"/>
        <v/>
      </c>
      <c r="BS1676" s="304" t="str">
        <f t="shared" si="1095"/>
        <v/>
      </c>
      <c r="BT1676" s="28"/>
      <c r="BU1676" s="304" t="str">
        <f t="shared" si="1096"/>
        <v/>
      </c>
      <c r="BV1676" s="304" t="str">
        <f t="shared" si="1096"/>
        <v/>
      </c>
      <c r="BW1676" s="28"/>
      <c r="BX1676" s="91"/>
    </row>
    <row r="1677" spans="1:76" s="55" customFormat="1" x14ac:dyDescent="0.25">
      <c r="A1677" s="195">
        <v>17</v>
      </c>
      <c r="B1677" s="216" t="str">
        <f t="shared" si="1085"/>
        <v xml:space="preserve">: </v>
      </c>
      <c r="C1677" s="221"/>
      <c r="D1677" s="221"/>
      <c r="E1677" s="221"/>
      <c r="F1677" s="221"/>
      <c r="G1677" s="240"/>
      <c r="H1677" s="221"/>
      <c r="I1677" s="240"/>
      <c r="J1677" s="241"/>
      <c r="K1677" s="241"/>
      <c r="L1677" s="227"/>
      <c r="M1677" s="227"/>
      <c r="N1677" s="227"/>
      <c r="O1677" s="227"/>
      <c r="P1677" s="122"/>
      <c r="Q1677" s="228"/>
      <c r="R1677" s="231" t="str">
        <f t="shared" si="1097"/>
        <v/>
      </c>
      <c r="S1677" s="230" t="str">
        <f t="shared" si="1086"/>
        <v/>
      </c>
      <c r="T1677" s="231" t="str">
        <f>IF(OR(Q1677="Y",IFERROR(R1677&gt;R1681+R1685*$AA$35,0),IFERROR(R1677&lt;R1681-R1685*$AA$35,0)),"",IFERROR(R1677*N1677,""))</f>
        <v/>
      </c>
      <c r="U1677" s="232" t="str">
        <f t="shared" si="1087"/>
        <v/>
      </c>
      <c r="V1677" s="28"/>
      <c r="W1677" s="28"/>
      <c r="Y1677" s="91"/>
      <c r="AO1677" s="91"/>
      <c r="AP1677" s="28"/>
      <c r="AQ1677" s="28"/>
      <c r="AR1677" s="237"/>
      <c r="AS1677" s="28"/>
      <c r="AT1677" s="304" t="str">
        <f t="shared" si="1098"/>
        <v/>
      </c>
      <c r="AU1677" s="304" t="str">
        <f t="shared" si="1098"/>
        <v/>
      </c>
      <c r="AV1677" s="28"/>
      <c r="AW1677" s="304" t="str">
        <f t="shared" si="1088"/>
        <v/>
      </c>
      <c r="AX1677" s="304" t="str">
        <f t="shared" si="1088"/>
        <v/>
      </c>
      <c r="AY1677" s="28"/>
      <c r="AZ1677" s="304" t="str">
        <f t="shared" si="1089"/>
        <v/>
      </c>
      <c r="BA1677" s="304" t="str">
        <f t="shared" si="1089"/>
        <v/>
      </c>
      <c r="BB1677" s="28"/>
      <c r="BC1677" s="304" t="str">
        <f t="shared" si="1090"/>
        <v/>
      </c>
      <c r="BD1677" s="304" t="str">
        <f t="shared" si="1090"/>
        <v/>
      </c>
      <c r="BE1677" s="28"/>
      <c r="BF1677" s="304" t="str">
        <f t="shared" si="1091"/>
        <v/>
      </c>
      <c r="BG1677" s="304" t="str">
        <f t="shared" si="1091"/>
        <v/>
      </c>
      <c r="BH1677" s="28"/>
      <c r="BI1677" s="304" t="str">
        <f t="shared" si="1092"/>
        <v/>
      </c>
      <c r="BJ1677" s="304" t="str">
        <f t="shared" si="1092"/>
        <v/>
      </c>
      <c r="BK1677" s="28"/>
      <c r="BL1677" s="304" t="str">
        <f t="shared" si="1093"/>
        <v/>
      </c>
      <c r="BM1677" s="304" t="str">
        <f t="shared" si="1093"/>
        <v/>
      </c>
      <c r="BN1677" s="28"/>
      <c r="BO1677" s="304" t="str">
        <f t="shared" si="1094"/>
        <v/>
      </c>
      <c r="BP1677" s="304" t="str">
        <f t="shared" si="1094"/>
        <v/>
      </c>
      <c r="BQ1677" s="28"/>
      <c r="BR1677" s="304" t="str">
        <f t="shared" si="1095"/>
        <v/>
      </c>
      <c r="BS1677" s="304" t="str">
        <f t="shared" si="1095"/>
        <v/>
      </c>
      <c r="BT1677" s="28"/>
      <c r="BU1677" s="304" t="str">
        <f t="shared" si="1096"/>
        <v/>
      </c>
      <c r="BV1677" s="304" t="str">
        <f t="shared" si="1096"/>
        <v/>
      </c>
      <c r="BW1677" s="28"/>
      <c r="BX1677" s="91"/>
    </row>
    <row r="1678" spans="1:76" s="55" customFormat="1" x14ac:dyDescent="0.25">
      <c r="A1678" s="195">
        <v>18</v>
      </c>
      <c r="B1678" s="216" t="str">
        <f t="shared" si="1085"/>
        <v xml:space="preserve">: </v>
      </c>
      <c r="C1678" s="221"/>
      <c r="D1678" s="221"/>
      <c r="E1678" s="221"/>
      <c r="F1678" s="221"/>
      <c r="G1678" s="240"/>
      <c r="H1678" s="221"/>
      <c r="I1678" s="240"/>
      <c r="J1678" s="241"/>
      <c r="K1678" s="241"/>
      <c r="L1678" s="227"/>
      <c r="M1678" s="227"/>
      <c r="N1678" s="227"/>
      <c r="O1678" s="227"/>
      <c r="P1678" s="122"/>
      <c r="Q1678" s="228"/>
      <c r="R1678" s="231" t="str">
        <f t="shared" si="1097"/>
        <v/>
      </c>
      <c r="S1678" s="230" t="str">
        <f t="shared" si="1086"/>
        <v/>
      </c>
      <c r="T1678" s="231" t="str">
        <f>IF(OR(Q1678="Y",IFERROR(R1678&gt;R1681+R1685*$AA$35,0),IFERROR(R1678&lt;R1681-R1685*$AA$35,0)),"",IFERROR(R1678*N1678,""))</f>
        <v/>
      </c>
      <c r="U1678" s="232" t="str">
        <f t="shared" si="1087"/>
        <v/>
      </c>
      <c r="V1678" s="28"/>
      <c r="W1678" s="28"/>
      <c r="Y1678" s="91"/>
      <c r="AO1678" s="91"/>
      <c r="AP1678" s="28"/>
      <c r="AQ1678" s="28"/>
      <c r="AR1678" s="237"/>
      <c r="AS1678" s="28"/>
      <c r="AT1678" s="304" t="str">
        <f t="shared" si="1098"/>
        <v/>
      </c>
      <c r="AU1678" s="304" t="str">
        <f t="shared" si="1098"/>
        <v/>
      </c>
      <c r="AV1678" s="28"/>
      <c r="AW1678" s="304" t="str">
        <f t="shared" si="1088"/>
        <v/>
      </c>
      <c r="AX1678" s="304" t="str">
        <f t="shared" si="1088"/>
        <v/>
      </c>
      <c r="AY1678" s="28"/>
      <c r="AZ1678" s="304" t="str">
        <f t="shared" si="1089"/>
        <v/>
      </c>
      <c r="BA1678" s="304" t="str">
        <f t="shared" si="1089"/>
        <v/>
      </c>
      <c r="BB1678" s="28"/>
      <c r="BC1678" s="304" t="str">
        <f t="shared" si="1090"/>
        <v/>
      </c>
      <c r="BD1678" s="304" t="str">
        <f t="shared" si="1090"/>
        <v/>
      </c>
      <c r="BE1678" s="28"/>
      <c r="BF1678" s="304" t="str">
        <f t="shared" si="1091"/>
        <v/>
      </c>
      <c r="BG1678" s="304" t="str">
        <f t="shared" si="1091"/>
        <v/>
      </c>
      <c r="BH1678" s="28"/>
      <c r="BI1678" s="304" t="str">
        <f t="shared" si="1092"/>
        <v/>
      </c>
      <c r="BJ1678" s="304" t="str">
        <f t="shared" si="1092"/>
        <v/>
      </c>
      <c r="BK1678" s="28"/>
      <c r="BL1678" s="304" t="str">
        <f t="shared" si="1093"/>
        <v/>
      </c>
      <c r="BM1678" s="304" t="str">
        <f t="shared" si="1093"/>
        <v/>
      </c>
      <c r="BN1678" s="28"/>
      <c r="BO1678" s="304" t="str">
        <f t="shared" si="1094"/>
        <v/>
      </c>
      <c r="BP1678" s="304" t="str">
        <f t="shared" si="1094"/>
        <v/>
      </c>
      <c r="BQ1678" s="28"/>
      <c r="BR1678" s="304" t="str">
        <f t="shared" si="1095"/>
        <v/>
      </c>
      <c r="BS1678" s="304" t="str">
        <f t="shared" si="1095"/>
        <v/>
      </c>
      <c r="BT1678" s="28"/>
      <c r="BU1678" s="304" t="str">
        <f t="shared" si="1096"/>
        <v/>
      </c>
      <c r="BV1678" s="304" t="str">
        <f t="shared" si="1096"/>
        <v/>
      </c>
      <c r="BW1678" s="28"/>
      <c r="BX1678" s="91"/>
    </row>
    <row r="1679" spans="1:76" s="55" customFormat="1" x14ac:dyDescent="0.25">
      <c r="A1679" s="195">
        <v>19</v>
      </c>
      <c r="B1679" s="216" t="str">
        <f t="shared" si="1085"/>
        <v xml:space="preserve">: </v>
      </c>
      <c r="C1679" s="221"/>
      <c r="D1679" s="221"/>
      <c r="E1679" s="221"/>
      <c r="F1679" s="221"/>
      <c r="G1679" s="240"/>
      <c r="H1679" s="221"/>
      <c r="I1679" s="240"/>
      <c r="J1679" s="241"/>
      <c r="K1679" s="241"/>
      <c r="L1679" s="227"/>
      <c r="M1679" s="227"/>
      <c r="N1679" s="227"/>
      <c r="O1679" s="227"/>
      <c r="P1679" s="122"/>
      <c r="Q1679" s="228"/>
      <c r="R1679" s="231" t="str">
        <f t="shared" si="1097"/>
        <v/>
      </c>
      <c r="S1679" s="230" t="str">
        <f t="shared" si="1086"/>
        <v/>
      </c>
      <c r="T1679" s="231" t="str">
        <f>IF(OR(Q1679="Y",IFERROR(R1679&gt;R1681+R1685*$AA$35,0),IFERROR(R1679&lt;R1681-R1685*$AA$35,0)),"",IFERROR(R1679*N1679,""))</f>
        <v/>
      </c>
      <c r="U1679" s="232" t="str">
        <f t="shared" si="1087"/>
        <v/>
      </c>
      <c r="V1679" s="28"/>
      <c r="W1679" s="28"/>
      <c r="Y1679" s="91"/>
      <c r="AO1679" s="91"/>
      <c r="AP1679" s="28"/>
      <c r="AQ1679" s="28"/>
      <c r="AR1679" s="237"/>
      <c r="AS1679" s="28"/>
      <c r="AT1679" s="304" t="str">
        <f t="shared" si="1098"/>
        <v/>
      </c>
      <c r="AU1679" s="304" t="str">
        <f t="shared" si="1098"/>
        <v/>
      </c>
      <c r="AV1679" s="28"/>
      <c r="AW1679" s="304" t="str">
        <f t="shared" si="1088"/>
        <v/>
      </c>
      <c r="AX1679" s="304" t="str">
        <f t="shared" si="1088"/>
        <v/>
      </c>
      <c r="AY1679" s="28"/>
      <c r="AZ1679" s="304" t="str">
        <f t="shared" si="1089"/>
        <v/>
      </c>
      <c r="BA1679" s="304" t="str">
        <f t="shared" si="1089"/>
        <v/>
      </c>
      <c r="BB1679" s="28"/>
      <c r="BC1679" s="304" t="str">
        <f t="shared" si="1090"/>
        <v/>
      </c>
      <c r="BD1679" s="304" t="str">
        <f t="shared" si="1090"/>
        <v/>
      </c>
      <c r="BE1679" s="28"/>
      <c r="BF1679" s="304" t="str">
        <f t="shared" si="1091"/>
        <v/>
      </c>
      <c r="BG1679" s="304" t="str">
        <f t="shared" si="1091"/>
        <v/>
      </c>
      <c r="BH1679" s="28"/>
      <c r="BI1679" s="304" t="str">
        <f t="shared" si="1092"/>
        <v/>
      </c>
      <c r="BJ1679" s="304" t="str">
        <f t="shared" si="1092"/>
        <v/>
      </c>
      <c r="BK1679" s="28"/>
      <c r="BL1679" s="304" t="str">
        <f t="shared" si="1093"/>
        <v/>
      </c>
      <c r="BM1679" s="304" t="str">
        <f t="shared" si="1093"/>
        <v/>
      </c>
      <c r="BN1679" s="28"/>
      <c r="BO1679" s="304" t="str">
        <f t="shared" si="1094"/>
        <v/>
      </c>
      <c r="BP1679" s="304" t="str">
        <f t="shared" si="1094"/>
        <v/>
      </c>
      <c r="BQ1679" s="28"/>
      <c r="BR1679" s="304" t="str">
        <f t="shared" si="1095"/>
        <v/>
      </c>
      <c r="BS1679" s="304" t="str">
        <f t="shared" si="1095"/>
        <v/>
      </c>
      <c r="BT1679" s="28"/>
      <c r="BU1679" s="304" t="str">
        <f t="shared" si="1096"/>
        <v/>
      </c>
      <c r="BV1679" s="304" t="str">
        <f t="shared" si="1096"/>
        <v/>
      </c>
      <c r="BW1679" s="28"/>
      <c r="BX1679" s="91"/>
    </row>
    <row r="1680" spans="1:76" s="55" customFormat="1" x14ac:dyDescent="0.25">
      <c r="A1680" s="195">
        <v>20</v>
      </c>
      <c r="B1680" s="216" t="str">
        <f t="shared" si="1085"/>
        <v xml:space="preserve">: </v>
      </c>
      <c r="C1680" s="221"/>
      <c r="D1680" s="221"/>
      <c r="E1680" s="221"/>
      <c r="F1680" s="221"/>
      <c r="G1680" s="240"/>
      <c r="H1680" s="221"/>
      <c r="I1680" s="240"/>
      <c r="J1680" s="241"/>
      <c r="K1680" s="241"/>
      <c r="L1680" s="227"/>
      <c r="M1680" s="227"/>
      <c r="N1680" s="227"/>
      <c r="O1680" s="227"/>
      <c r="P1680" s="122"/>
      <c r="Q1680" s="228"/>
      <c r="R1680" s="231" t="str">
        <f t="shared" si="1097"/>
        <v/>
      </c>
      <c r="S1680" s="230" t="str">
        <f t="shared" si="1086"/>
        <v/>
      </c>
      <c r="T1680" s="231" t="str">
        <f>IF(OR(Q1680="Y",IFERROR(R1680&gt;R1681+R1685*$AA$35,0),IFERROR(R1680&lt;R1681-R1685*$AA$35,0)),"",IFERROR(R1680*N1680,""))</f>
        <v/>
      </c>
      <c r="U1680" s="232" t="str">
        <f t="shared" si="1087"/>
        <v/>
      </c>
      <c r="V1680" s="28"/>
      <c r="W1680" s="28"/>
      <c r="Y1680" s="91"/>
      <c r="AO1680" s="91"/>
      <c r="AP1680" s="28"/>
      <c r="AQ1680" s="28"/>
      <c r="AR1680" s="237"/>
      <c r="AS1680" s="28"/>
      <c r="AT1680" s="304" t="str">
        <f t="shared" si="1098"/>
        <v/>
      </c>
      <c r="AU1680" s="304" t="str">
        <f t="shared" si="1098"/>
        <v/>
      </c>
      <c r="AV1680" s="28"/>
      <c r="AW1680" s="304" t="str">
        <f t="shared" si="1088"/>
        <v/>
      </c>
      <c r="AX1680" s="304" t="str">
        <f t="shared" si="1088"/>
        <v/>
      </c>
      <c r="AY1680" s="28"/>
      <c r="AZ1680" s="304" t="str">
        <f t="shared" si="1089"/>
        <v/>
      </c>
      <c r="BA1680" s="304" t="str">
        <f t="shared" si="1089"/>
        <v/>
      </c>
      <c r="BB1680" s="28"/>
      <c r="BC1680" s="304" t="str">
        <f t="shared" si="1090"/>
        <v/>
      </c>
      <c r="BD1680" s="304" t="str">
        <f t="shared" si="1090"/>
        <v/>
      </c>
      <c r="BE1680" s="28"/>
      <c r="BF1680" s="304" t="str">
        <f t="shared" si="1091"/>
        <v/>
      </c>
      <c r="BG1680" s="304" t="str">
        <f t="shared" si="1091"/>
        <v/>
      </c>
      <c r="BH1680" s="28"/>
      <c r="BI1680" s="304" t="str">
        <f t="shared" si="1092"/>
        <v/>
      </c>
      <c r="BJ1680" s="304" t="str">
        <f t="shared" si="1092"/>
        <v/>
      </c>
      <c r="BK1680" s="28"/>
      <c r="BL1680" s="304" t="str">
        <f t="shared" si="1093"/>
        <v/>
      </c>
      <c r="BM1680" s="304" t="str">
        <f t="shared" si="1093"/>
        <v/>
      </c>
      <c r="BN1680" s="28"/>
      <c r="BO1680" s="304" t="str">
        <f t="shared" si="1094"/>
        <v/>
      </c>
      <c r="BP1680" s="304" t="str">
        <f t="shared" si="1094"/>
        <v/>
      </c>
      <c r="BQ1680" s="28"/>
      <c r="BR1680" s="304" t="str">
        <f t="shared" si="1095"/>
        <v/>
      </c>
      <c r="BS1680" s="304" t="str">
        <f t="shared" si="1095"/>
        <v/>
      </c>
      <c r="BT1680" s="28"/>
      <c r="BU1680" s="304" t="str">
        <f t="shared" si="1096"/>
        <v/>
      </c>
      <c r="BV1680" s="304" t="str">
        <f t="shared" si="1096"/>
        <v/>
      </c>
      <c r="BW1680" s="28"/>
      <c r="BX1680" s="91"/>
    </row>
    <row r="1681" spans="1:76" s="55" customFormat="1" x14ac:dyDescent="0.25">
      <c r="A1681" s="195"/>
      <c r="B1681" s="244" t="s">
        <v>163</v>
      </c>
      <c r="C1681" s="199"/>
      <c r="D1681" s="199"/>
      <c r="E1681" s="199"/>
      <c r="F1681" s="199"/>
      <c r="H1681" s="28"/>
      <c r="I1681" s="245"/>
      <c r="J1681" s="122"/>
      <c r="K1681" s="122"/>
      <c r="L1681" s="122" t="s">
        <v>134</v>
      </c>
      <c r="M1681" s="122"/>
      <c r="N1681" s="122"/>
      <c r="O1681" s="122"/>
      <c r="P1681" s="122"/>
      <c r="Q1681" s="305" t="s">
        <v>136</v>
      </c>
      <c r="R1681" s="246" t="e">
        <f>AVERAGE(R1661:R1680)</f>
        <v>#DIV/0!</v>
      </c>
      <c r="S1681" s="247" t="e">
        <f>IF(R1689="Y",SUM(S1661:S1680)/SUMPRODUCT(N1661:N1680,--ISNUMBER(S1661:S1680)),AVERAGE(S1661:S1680))</f>
        <v>#DIV/0!</v>
      </c>
      <c r="T1681" s="248" t="e">
        <f>SUM(T1661:T1680)/SUMPRODUCT(N1661:N1680,--ISNUMBER(T1661:T1680))</f>
        <v>#DIV/0!</v>
      </c>
      <c r="U1681" s="28"/>
      <c r="V1681" s="28"/>
      <c r="W1681" s="28"/>
      <c r="Y1681" s="249"/>
      <c r="AO1681" s="91"/>
      <c r="AP1681" s="28"/>
      <c r="AQ1681" s="28"/>
      <c r="AR1681" s="28"/>
      <c r="AS1681" s="245" t="s">
        <v>136</v>
      </c>
      <c r="AT1681" s="307" t="e">
        <f>AVERAGE(AT1661:AT1680)</f>
        <v>#DIV/0!</v>
      </c>
      <c r="AU1681" s="307" t="e">
        <f>SUM(AU1661:AU1680)/COUNTIF(AU1661:AU1680,"&gt;0")</f>
        <v>#DIV/0!</v>
      </c>
      <c r="AV1681" s="245"/>
      <c r="AW1681" s="307" t="e">
        <f>AVERAGE(AW1661:AW1680)</f>
        <v>#DIV/0!</v>
      </c>
      <c r="AX1681" s="307" t="e">
        <f>SUM(AX1661:AX1680)/COUNTIF(AX1661:AX1680,"&gt;0")</f>
        <v>#DIV/0!</v>
      </c>
      <c r="AY1681" s="28"/>
      <c r="AZ1681" s="307" t="e">
        <f>AVERAGE(AZ1661:AZ1680)</f>
        <v>#DIV/0!</v>
      </c>
      <c r="BA1681" s="307" t="e">
        <f>SUM(BA1661:BA1680)/COUNTIF(BA1661:BA1680,"&gt;0")</f>
        <v>#DIV/0!</v>
      </c>
      <c r="BB1681" s="28"/>
      <c r="BC1681" s="307" t="e">
        <f>AVERAGE(BC1661:BC1680)</f>
        <v>#DIV/0!</v>
      </c>
      <c r="BD1681" s="307" t="e">
        <f>SUM(BD1661:BD1680)/COUNTIF(BD1661:BD1680,"&gt;0")</f>
        <v>#DIV/0!</v>
      </c>
      <c r="BE1681" s="28"/>
      <c r="BF1681" s="307" t="e">
        <f>AVERAGE(BF1661:BF1680)</f>
        <v>#DIV/0!</v>
      </c>
      <c r="BG1681" s="307" t="e">
        <f>SUM(BG1661:BG1680)/COUNTIF(BG1661:BG1680,"&gt;0")</f>
        <v>#DIV/0!</v>
      </c>
      <c r="BH1681" s="28"/>
      <c r="BI1681" s="307" t="e">
        <f>AVERAGE(BI1661:BI1680)</f>
        <v>#DIV/0!</v>
      </c>
      <c r="BJ1681" s="307" t="e">
        <f>SUM(BJ1661:BJ1680)/COUNTIF(BJ1661:BJ1680,"&gt;0")</f>
        <v>#DIV/0!</v>
      </c>
      <c r="BK1681" s="245"/>
      <c r="BL1681" s="307" t="e">
        <f>AVERAGE(BL1661:BL1680)</f>
        <v>#DIV/0!</v>
      </c>
      <c r="BM1681" s="307" t="e">
        <f>SUM(BM1661:BM1680)/COUNTIF(BM1661:BM1680,"&gt;0")</f>
        <v>#DIV/0!</v>
      </c>
      <c r="BN1681" s="28"/>
      <c r="BO1681" s="307" t="e">
        <f>AVERAGE(BO1661:BO1680)</f>
        <v>#DIV/0!</v>
      </c>
      <c r="BP1681" s="307" t="e">
        <f>SUM(BP1661:BP1680)/COUNTIF(BP1661:BP1680,"&gt;0")</f>
        <v>#DIV/0!</v>
      </c>
      <c r="BQ1681" s="28"/>
      <c r="BR1681" s="307" t="e">
        <f>AVERAGE(BR1661:BR1680)</f>
        <v>#DIV/0!</v>
      </c>
      <c r="BS1681" s="307" t="e">
        <f>SUM(BS1661:BS1680)/COUNTIF(BS1661:BS1680,"&gt;0")</f>
        <v>#DIV/0!</v>
      </c>
      <c r="BT1681" s="28"/>
      <c r="BU1681" s="307" t="e">
        <f>AVERAGE(BU1661:BU1680)</f>
        <v>#DIV/0!</v>
      </c>
      <c r="BV1681" s="307" t="e">
        <f>SUM(BV1661:BV1680)/COUNTIF(BV1661:BV1680,"&gt;0")</f>
        <v>#DIV/0!</v>
      </c>
      <c r="BW1681" s="28"/>
      <c r="BX1681" s="91"/>
    </row>
    <row r="1682" spans="1:76" s="55" customFormat="1" x14ac:dyDescent="0.25">
      <c r="A1682" s="195"/>
      <c r="B1682" s="244" t="s">
        <v>164</v>
      </c>
      <c r="C1682" s="199" t="s">
        <v>139</v>
      </c>
      <c r="D1682" s="252"/>
      <c r="E1682" s="253"/>
      <c r="F1682" s="253"/>
      <c r="G1682" s="253"/>
      <c r="H1682" s="253"/>
      <c r="I1682" s="253"/>
      <c r="J1682" s="254"/>
      <c r="K1682" s="122"/>
      <c r="L1682" s="122"/>
      <c r="M1682" s="122"/>
      <c r="N1682" s="122"/>
      <c r="O1682" s="122"/>
      <c r="P1682" s="122"/>
      <c r="Q1682" s="306" t="s">
        <v>144</v>
      </c>
      <c r="R1682" s="257" t="e">
        <f>R1681+U1682*R1685</f>
        <v>#DIV/0!</v>
      </c>
      <c r="S1682" s="257" t="e">
        <f>S1681+U1682*S1685</f>
        <v>#DIV/0!</v>
      </c>
      <c r="T1682" s="257" t="e">
        <f>T1681+U1682*T1685</f>
        <v>#DIV/0!</v>
      </c>
      <c r="U1682" s="258">
        <v>1</v>
      </c>
      <c r="V1682" s="122" t="s">
        <v>142</v>
      </c>
      <c r="W1682" s="28"/>
      <c r="X1682" s="259" t="s">
        <v>143</v>
      </c>
      <c r="Y1682" s="260"/>
      <c r="AO1682" s="91"/>
      <c r="AP1682" s="28"/>
      <c r="AQ1682" s="28"/>
      <c r="AR1682" s="28"/>
      <c r="AS1682" s="256" t="s">
        <v>144</v>
      </c>
      <c r="AT1682" s="261" t="e">
        <f>AT1681+(AT1687*AT1684)</f>
        <v>#DIV/0!</v>
      </c>
      <c r="AU1682" s="261" t="e">
        <f>AU1681+(AU1687*AT1684)</f>
        <v>#DIV/0!</v>
      </c>
      <c r="AV1682" s="256"/>
      <c r="AW1682" s="261" t="e">
        <f>AW1681+(AW1687*AW1684)</f>
        <v>#DIV/0!</v>
      </c>
      <c r="AX1682" s="261" t="e">
        <f>AX1681+(AX1687*AW1684)</f>
        <v>#DIV/0!</v>
      </c>
      <c r="AY1682" s="28"/>
      <c r="AZ1682" s="261" t="e">
        <f>AZ1681+(AZ1687*AZ1684)</f>
        <v>#DIV/0!</v>
      </c>
      <c r="BA1682" s="261" t="e">
        <f>BA1681+(BA1687*AZ1684)</f>
        <v>#DIV/0!</v>
      </c>
      <c r="BB1682" s="28"/>
      <c r="BC1682" s="261" t="e">
        <f>BC1681+(BC1687*BC1684)</f>
        <v>#DIV/0!</v>
      </c>
      <c r="BD1682" s="261" t="e">
        <f>BD1681+(BD1687*BC1684)</f>
        <v>#DIV/0!</v>
      </c>
      <c r="BE1682" s="28"/>
      <c r="BF1682" s="261" t="e">
        <f>BF1681+(BF1687*BF1684)</f>
        <v>#DIV/0!</v>
      </c>
      <c r="BG1682" s="261" t="e">
        <f>BG1681+(BG1687*BF1684)</f>
        <v>#DIV/0!</v>
      </c>
      <c r="BH1682" s="28"/>
      <c r="BI1682" s="261" t="e">
        <f>BI1681+(BI1687*BI1684)</f>
        <v>#DIV/0!</v>
      </c>
      <c r="BJ1682" s="261" t="e">
        <f>BJ1681+(BJ1687*BI1684)</f>
        <v>#DIV/0!</v>
      </c>
      <c r="BK1682" s="256"/>
      <c r="BL1682" s="261" t="e">
        <f>BL1681+(BL1687*BL1684)</f>
        <v>#DIV/0!</v>
      </c>
      <c r="BM1682" s="261" t="e">
        <f>BM1681+(BM1687*BL1684)</f>
        <v>#DIV/0!</v>
      </c>
      <c r="BN1682" s="28"/>
      <c r="BO1682" s="261" t="e">
        <f>BO1681+(BO1687*BO1684)</f>
        <v>#DIV/0!</v>
      </c>
      <c r="BP1682" s="261" t="e">
        <f>BP1681+(BP1687*BO1684)</f>
        <v>#DIV/0!</v>
      </c>
      <c r="BQ1682" s="28"/>
      <c r="BR1682" s="261" t="e">
        <f>BR1681+(BR1687*BR1684)</f>
        <v>#DIV/0!</v>
      </c>
      <c r="BS1682" s="261" t="e">
        <f>BS1681+(BS1687*BR1684)</f>
        <v>#DIV/0!</v>
      </c>
      <c r="BT1682" s="28"/>
      <c r="BU1682" s="261" t="e">
        <f>BU1681+(BU1687*BU1684)</f>
        <v>#DIV/0!</v>
      </c>
      <c r="BV1682" s="261" t="e">
        <f>BV1681+(BV1687*BU1684)</f>
        <v>#DIV/0!</v>
      </c>
      <c r="BW1682" s="28"/>
      <c r="BX1682" s="91"/>
    </row>
    <row r="1683" spans="1:76" s="55" customFormat="1" x14ac:dyDescent="0.25">
      <c r="A1683" s="195"/>
      <c r="B1683" s="244" t="s">
        <v>165</v>
      </c>
      <c r="C1683" s="195"/>
      <c r="D1683" s="263"/>
      <c r="E1683" s="264"/>
      <c r="F1683" s="264"/>
      <c r="G1683" s="264"/>
      <c r="H1683" s="264"/>
      <c r="I1683" s="264"/>
      <c r="J1683" s="265"/>
      <c r="K1683" s="28"/>
      <c r="L1683" s="28"/>
      <c r="M1683" s="122"/>
      <c r="N1683" s="122"/>
      <c r="O1683" s="122"/>
      <c r="P1683" s="122"/>
      <c r="Q1683" s="306" t="s">
        <v>150</v>
      </c>
      <c r="R1683" s="257" t="e">
        <f>IF($X1683="Y",MIN(R1661:R1680),R1681-$U1683*R1685)</f>
        <v>#DIV/0!</v>
      </c>
      <c r="S1683" s="257" t="e">
        <f>IF($X1683="Y",MIN(S1661:S1680),S1681-$U1683*S1685)</f>
        <v>#DIV/0!</v>
      </c>
      <c r="T1683" s="257" t="e">
        <f>IF($X1683="Y",MIN(T1661:T1680),T1681-$U1683*T1685)</f>
        <v>#DIV/0!</v>
      </c>
      <c r="U1683" s="258">
        <v>1</v>
      </c>
      <c r="V1683" s="122" t="s">
        <v>148</v>
      </c>
      <c r="W1683" s="28"/>
      <c r="X1683" s="266" t="s">
        <v>149</v>
      </c>
      <c r="Y1683" s="260"/>
      <c r="AO1683" s="91"/>
      <c r="AP1683" s="28"/>
      <c r="AQ1683" s="28"/>
      <c r="AR1683" s="28"/>
      <c r="AS1683" s="256" t="s">
        <v>150</v>
      </c>
      <c r="AT1683" s="261" t="e">
        <f>AT1681-(AT1687*AT1685)</f>
        <v>#DIV/0!</v>
      </c>
      <c r="AU1683" s="261" t="e">
        <f>AU1681-(AU1687*AT1685)</f>
        <v>#DIV/0!</v>
      </c>
      <c r="AV1683" s="256"/>
      <c r="AW1683" s="261" t="e">
        <f>AW1681-(AW1687*AW1685)</f>
        <v>#DIV/0!</v>
      </c>
      <c r="AX1683" s="261" t="e">
        <f>AX1681-(AX1687*AW1685)</f>
        <v>#DIV/0!</v>
      </c>
      <c r="AY1683" s="28"/>
      <c r="AZ1683" s="261" t="e">
        <f>AZ1681-(AZ1687*AZ1685)</f>
        <v>#DIV/0!</v>
      </c>
      <c r="BA1683" s="261" t="e">
        <f>BA1681-(BA1687*AZ1685)</f>
        <v>#DIV/0!</v>
      </c>
      <c r="BB1683" s="28"/>
      <c r="BC1683" s="261" t="e">
        <f>BC1681-(BC1687*BC1685)</f>
        <v>#DIV/0!</v>
      </c>
      <c r="BD1683" s="261" t="e">
        <f>BD1681-(BD1687*BC1685)</f>
        <v>#DIV/0!</v>
      </c>
      <c r="BE1683" s="28"/>
      <c r="BF1683" s="261" t="e">
        <f>BF1681-(BF1687*BF1685)</f>
        <v>#DIV/0!</v>
      </c>
      <c r="BG1683" s="261" t="e">
        <f>BG1681-(BG1687*BF1685)</f>
        <v>#DIV/0!</v>
      </c>
      <c r="BH1683" s="28"/>
      <c r="BI1683" s="261" t="e">
        <f>BI1681-(BI1687*BI1685)</f>
        <v>#DIV/0!</v>
      </c>
      <c r="BJ1683" s="261" t="e">
        <f>BJ1681-(BJ1687*BI1685)</f>
        <v>#DIV/0!</v>
      </c>
      <c r="BK1683" s="256"/>
      <c r="BL1683" s="261" t="e">
        <f>BL1681-(BL1687*BL1685)</f>
        <v>#DIV/0!</v>
      </c>
      <c r="BM1683" s="261" t="e">
        <f>BM1681-(BM1687*BL1685)</f>
        <v>#DIV/0!</v>
      </c>
      <c r="BN1683" s="28"/>
      <c r="BO1683" s="261" t="e">
        <f>BO1681-(BO1687*BO1685)</f>
        <v>#DIV/0!</v>
      </c>
      <c r="BP1683" s="261" t="e">
        <f>BP1681-(BP1687*BO1685)</f>
        <v>#DIV/0!</v>
      </c>
      <c r="BQ1683" s="28"/>
      <c r="BR1683" s="261" t="e">
        <f>BR1681-(BR1687*BR1685)</f>
        <v>#DIV/0!</v>
      </c>
      <c r="BS1683" s="261" t="e">
        <f>BS1681-(BS1687*BR1685)</f>
        <v>#DIV/0!</v>
      </c>
      <c r="BT1683" s="28"/>
      <c r="BU1683" s="261" t="e">
        <f>BU1681-(BU1687*BU1685)</f>
        <v>#DIV/0!</v>
      </c>
      <c r="BV1683" s="261" t="e">
        <f>BV1681-(BV1687*BU1685)</f>
        <v>#DIV/0!</v>
      </c>
      <c r="BW1683" s="28"/>
      <c r="BX1683" s="91"/>
    </row>
    <row r="1684" spans="1:76" s="55" customFormat="1" ht="14.25" x14ac:dyDescent="0.2">
      <c r="A1684" s="195"/>
      <c r="B1684" s="196"/>
      <c r="C1684" s="195"/>
      <c r="D1684" s="263"/>
      <c r="E1684" s="264"/>
      <c r="F1684" s="264"/>
      <c r="G1684" s="264"/>
      <c r="H1684" s="264"/>
      <c r="I1684" s="264"/>
      <c r="J1684" s="265"/>
      <c r="K1684" s="122"/>
      <c r="L1684" s="122"/>
      <c r="M1684" s="122"/>
      <c r="N1684" s="122"/>
      <c r="O1684" s="122"/>
      <c r="P1684" s="122"/>
      <c r="Q1684" s="306" t="s">
        <v>151</v>
      </c>
      <c r="R1684" s="257" t="e">
        <f>IF((0.67*R1685)&gt;R1681,"no","yes")</f>
        <v>#DIV/0!</v>
      </c>
      <c r="S1684" s="257" t="e">
        <f>IF((0.67*S1685)&gt;S1681,"no","yes")</f>
        <v>#DIV/0!</v>
      </c>
      <c r="T1684" s="257" t="e">
        <f>IF((0.67*T1685)&gt;T1681,"no","yes")</f>
        <v>#DIV/0!</v>
      </c>
      <c r="U1684" s="122"/>
      <c r="V1684" s="122"/>
      <c r="W1684" s="122"/>
      <c r="Y1684" s="260"/>
      <c r="AO1684" s="91"/>
      <c r="AP1684" s="122"/>
      <c r="AQ1684" s="122"/>
      <c r="AR1684" s="267" t="s">
        <v>152</v>
      </c>
      <c r="AS1684" s="268"/>
      <c r="AT1684" s="258">
        <v>1</v>
      </c>
      <c r="AU1684" s="122"/>
      <c r="AV1684" s="308"/>
      <c r="AW1684" s="258">
        <v>1</v>
      </c>
      <c r="AX1684" s="122"/>
      <c r="AY1684" s="122"/>
      <c r="AZ1684" s="258">
        <v>1</v>
      </c>
      <c r="BA1684" s="122"/>
      <c r="BB1684" s="122"/>
      <c r="BC1684" s="258">
        <v>1</v>
      </c>
      <c r="BD1684" s="122"/>
      <c r="BE1684" s="122"/>
      <c r="BF1684" s="258">
        <v>1</v>
      </c>
      <c r="BG1684" s="122"/>
      <c r="BH1684" s="122"/>
      <c r="BI1684" s="258">
        <v>1</v>
      </c>
      <c r="BJ1684" s="122"/>
      <c r="BK1684" s="256"/>
      <c r="BL1684" s="258">
        <v>1</v>
      </c>
      <c r="BM1684" s="122"/>
      <c r="BN1684" s="122"/>
      <c r="BO1684" s="258">
        <v>1</v>
      </c>
      <c r="BP1684" s="122"/>
      <c r="BQ1684" s="122"/>
      <c r="BR1684" s="258">
        <v>1</v>
      </c>
      <c r="BS1684" s="122"/>
      <c r="BT1684" s="122"/>
      <c r="BU1684" s="258">
        <v>1</v>
      </c>
      <c r="BV1684" s="122"/>
      <c r="BW1684" s="122"/>
      <c r="BX1684" s="91"/>
    </row>
    <row r="1685" spans="1:76" s="55" customFormat="1" ht="28.5" x14ac:dyDescent="0.2">
      <c r="A1685" s="195"/>
      <c r="B1685" s="196"/>
      <c r="C1685" s="195"/>
      <c r="D1685" s="263"/>
      <c r="E1685" s="264"/>
      <c r="F1685" s="264"/>
      <c r="G1685" s="264"/>
      <c r="H1685" s="264"/>
      <c r="I1685" s="264"/>
      <c r="J1685" s="265"/>
      <c r="K1685" s="122"/>
      <c r="L1685" s="122"/>
      <c r="M1685" s="122"/>
      <c r="N1685" s="122"/>
      <c r="O1685" s="122"/>
      <c r="P1685" s="122"/>
      <c r="Q1685" s="306" t="s">
        <v>157</v>
      </c>
      <c r="R1685" s="257">
        <f>IF(COUNT(R1661:R1680)&gt;1,_xlfn.STDEV.S(R1661:R1680),0)</f>
        <v>0</v>
      </c>
      <c r="S1685" s="257" t="e">
        <f t="array" ref="S1685">IF(R1689="Y",SQRT(SUM(IFERROR(N1661:N1680*(R1661:R1680-(S1681))^2,0))/((COUNT(S1661:S1680)-1)/COUNT(S1661:S1680)*SUMPRODUCT(N1661:N1680,--ISNUMBER(S1661:S1680)))),_xlfn.STDEV.S(S1661:S1680))</f>
        <v>#DIV/0!</v>
      </c>
      <c r="T1685" s="257" t="e">
        <f t="array" ref="T1685">SQRT(SUM(IFERROR(N1661:N1680*(R1661:R1680-(T1681))^2,0))/((COUNT(T1661:T1680)-1)/COUNT(T1661:T1680)*SUMPRODUCT(N1661:N1680,--ISNUMBER(T1661:T1680))))</f>
        <v>#DIV/0!</v>
      </c>
      <c r="U1685" s="122"/>
      <c r="V1685" s="122"/>
      <c r="W1685" s="122"/>
      <c r="Y1685" s="260"/>
      <c r="AO1685" s="91"/>
      <c r="AP1685" s="122"/>
      <c r="AQ1685" s="122"/>
      <c r="AR1685" s="267"/>
      <c r="AS1685" s="268"/>
      <c r="AT1685" s="258">
        <v>1</v>
      </c>
      <c r="AU1685" s="122"/>
      <c r="AV1685" s="308"/>
      <c r="AW1685" s="258">
        <v>1</v>
      </c>
      <c r="AX1685" s="122"/>
      <c r="AY1685" s="122"/>
      <c r="AZ1685" s="258">
        <v>1</v>
      </c>
      <c r="BA1685" s="122"/>
      <c r="BB1685" s="122"/>
      <c r="BC1685" s="258">
        <v>1</v>
      </c>
      <c r="BD1685" s="122"/>
      <c r="BE1685" s="122"/>
      <c r="BF1685" s="258">
        <v>1</v>
      </c>
      <c r="BG1685" s="122"/>
      <c r="BH1685" s="122"/>
      <c r="BI1685" s="258">
        <v>1</v>
      </c>
      <c r="BJ1685" s="122"/>
      <c r="BK1685" s="256"/>
      <c r="BL1685" s="258">
        <v>1</v>
      </c>
      <c r="BM1685" s="122"/>
      <c r="BN1685" s="122"/>
      <c r="BO1685" s="258">
        <v>1</v>
      </c>
      <c r="BP1685" s="122"/>
      <c r="BQ1685" s="122"/>
      <c r="BR1685" s="258">
        <v>1</v>
      </c>
      <c r="BS1685" s="122"/>
      <c r="BT1685" s="122"/>
      <c r="BU1685" s="258">
        <v>1</v>
      </c>
      <c r="BV1685" s="122"/>
      <c r="BW1685" s="122"/>
      <c r="BX1685" s="91"/>
    </row>
    <row r="1686" spans="1:76" s="55" customFormat="1" ht="15" customHeight="1" x14ac:dyDescent="0.25">
      <c r="A1686" s="122"/>
      <c r="B1686" s="118"/>
      <c r="C1686" s="195"/>
      <c r="D1686" s="263"/>
      <c r="E1686" s="264"/>
      <c r="F1686" s="264"/>
      <c r="G1686" s="264"/>
      <c r="H1686" s="264"/>
      <c r="I1686" s="264"/>
      <c r="J1686" s="265"/>
      <c r="K1686" s="122"/>
      <c r="L1686" s="122"/>
      <c r="M1686" s="122"/>
      <c r="N1686" s="122"/>
      <c r="O1686" s="122"/>
      <c r="P1686" s="122"/>
      <c r="Q1686" s="309" t="s">
        <v>159</v>
      </c>
      <c r="R1686" s="310">
        <f>COUNT(R1661:R1680)</f>
        <v>0</v>
      </c>
      <c r="S1686" s="310">
        <f>COUNT(S1661:S1680)</f>
        <v>0</v>
      </c>
      <c r="T1686" s="118"/>
      <c r="U1686" s="273" t="s">
        <v>155</v>
      </c>
      <c r="V1686" s="122"/>
      <c r="W1686" s="122"/>
      <c r="Y1686" s="91"/>
      <c r="AO1686" s="91"/>
      <c r="AP1686" s="122"/>
      <c r="AQ1686" s="122"/>
      <c r="AR1686" s="122"/>
      <c r="AS1686" s="256" t="s">
        <v>151</v>
      </c>
      <c r="AT1686" s="261" t="e">
        <f>IF((0.67*AT1687)&gt;AT1681,"no","yes")</f>
        <v>#DIV/0!</v>
      </c>
      <c r="AU1686" s="261" t="e">
        <f>IF((0.67*AU1687)&gt;AU1681,"no","yes")</f>
        <v>#DIV/0!</v>
      </c>
      <c r="AV1686" s="256"/>
      <c r="AW1686" s="261" t="e">
        <f>IF((0.67*AW1687)&gt;AW1681,"no","yes")</f>
        <v>#DIV/0!</v>
      </c>
      <c r="AX1686" s="261" t="e">
        <f>IF((0.67*AX1687)&gt;AX1681,"no","yes")</f>
        <v>#DIV/0!</v>
      </c>
      <c r="AY1686" s="122"/>
      <c r="AZ1686" s="261" t="e">
        <f>IF((0.67*AZ1687)&gt;AZ1681,"no","yes")</f>
        <v>#DIV/0!</v>
      </c>
      <c r="BA1686" s="261" t="e">
        <f>IF((0.67*BA1687)&gt;BA1681,"no","yes")</f>
        <v>#DIV/0!</v>
      </c>
      <c r="BB1686" s="122"/>
      <c r="BC1686" s="261" t="e">
        <f>IF((0.67*BC1687)&gt;BC1681,"no","yes")</f>
        <v>#DIV/0!</v>
      </c>
      <c r="BD1686" s="261" t="e">
        <f>IF((0.67*BD1687)&gt;BD1681,"no","yes")</f>
        <v>#DIV/0!</v>
      </c>
      <c r="BE1686" s="122"/>
      <c r="BF1686" s="261" t="e">
        <f>IF((0.67*BF1687)&gt;BF1681,"no","yes")</f>
        <v>#DIV/0!</v>
      </c>
      <c r="BG1686" s="261" t="e">
        <f>IF((0.67*BG1687)&gt;BG1681,"no","yes")</f>
        <v>#DIV/0!</v>
      </c>
      <c r="BH1686" s="122"/>
      <c r="BI1686" s="261" t="e">
        <f>IF((0.67*BI1687)&gt;BI1681,"no","yes")</f>
        <v>#DIV/0!</v>
      </c>
      <c r="BJ1686" s="261" t="e">
        <f>IF((0.67*BJ1687)&gt;BJ1681,"no","yes")</f>
        <v>#DIV/0!</v>
      </c>
      <c r="BK1686" s="133"/>
      <c r="BL1686" s="261" t="e">
        <f>IF((0.67*BL1687)&gt;BL1681,"no","yes")</f>
        <v>#DIV/0!</v>
      </c>
      <c r="BM1686" s="261" t="e">
        <f>IF((0.67*BM1687)&gt;BM1681,"no","yes")</f>
        <v>#DIV/0!</v>
      </c>
      <c r="BN1686" s="122"/>
      <c r="BO1686" s="261" t="e">
        <f>IF((0.67*BO1687)&gt;BO1681,"no","yes")</f>
        <v>#DIV/0!</v>
      </c>
      <c r="BP1686" s="261" t="e">
        <f>IF((0.67*BP1687)&gt;BP1681,"no","yes")</f>
        <v>#DIV/0!</v>
      </c>
      <c r="BQ1686" s="122"/>
      <c r="BR1686" s="261" t="e">
        <f>IF((0.67*BR1687)&gt;BR1681,"no","yes")</f>
        <v>#DIV/0!</v>
      </c>
      <c r="BS1686" s="261" t="e">
        <f>IF((0.67*BS1687)&gt;BS1681,"no","yes")</f>
        <v>#DIV/0!</v>
      </c>
      <c r="BT1686" s="122"/>
      <c r="BU1686" s="261" t="e">
        <f>IF((0.67*BU1687)&gt;BU1681,"no","yes")</f>
        <v>#DIV/0!</v>
      </c>
      <c r="BV1686" s="261" t="e">
        <f>IF((0.67*BV1687)&gt;BV1681,"no","yes")</f>
        <v>#DIV/0!</v>
      </c>
      <c r="BW1686" s="122"/>
      <c r="BX1686" s="91"/>
    </row>
    <row r="1687" spans="1:76" s="55" customFormat="1" ht="14.25" x14ac:dyDescent="0.2">
      <c r="B1687" s="23"/>
      <c r="C1687" s="195"/>
      <c r="D1687" s="263"/>
      <c r="E1687" s="264"/>
      <c r="F1687" s="264"/>
      <c r="G1687" s="264"/>
      <c r="H1687" s="264"/>
      <c r="I1687" s="264"/>
      <c r="J1687" s="265"/>
      <c r="K1687" s="122"/>
      <c r="L1687" s="122"/>
      <c r="M1687" s="122"/>
      <c r="N1687" s="122"/>
      <c r="O1687" s="122"/>
      <c r="P1687" s="122"/>
      <c r="Q1687" s="311"/>
      <c r="R1687" s="389"/>
      <c r="S1687" s="118"/>
      <c r="T1687" s="118"/>
      <c r="U1687" s="274"/>
      <c r="V1687" s="275"/>
      <c r="W1687" s="276"/>
      <c r="Y1687" s="91"/>
      <c r="AO1687" s="91"/>
      <c r="AP1687" s="122"/>
      <c r="AQ1687" s="122"/>
      <c r="AR1687" s="122"/>
      <c r="AS1687" s="256" t="s">
        <v>157</v>
      </c>
      <c r="AT1687" s="261">
        <f>IF(AT1688&gt;1,_xlfn.STDEV.S(AT1661:AT1680),0)</f>
        <v>0</v>
      </c>
      <c r="AU1687" s="261">
        <f>IF(AU1688&gt;1,_xlfn.STDEV.S(AU1661:AU1680),0)</f>
        <v>0</v>
      </c>
      <c r="AV1687" s="122"/>
      <c r="AW1687" s="261">
        <f t="shared" ref="AW1687:AX1687" si="1099">IF(AW1688&gt;1,_xlfn.STDEV.S(AW1661:AW1680),0)</f>
        <v>0</v>
      </c>
      <c r="AX1687" s="261">
        <f t="shared" si="1099"/>
        <v>0</v>
      </c>
      <c r="AY1687" s="122"/>
      <c r="AZ1687" s="261">
        <f t="shared" ref="AZ1687:BA1687" si="1100">IF(AZ1688&gt;1,_xlfn.STDEV.S(AZ1661:AZ1680),0)</f>
        <v>0</v>
      </c>
      <c r="BA1687" s="261">
        <f t="shared" si="1100"/>
        <v>0</v>
      </c>
      <c r="BB1687" s="122"/>
      <c r="BC1687" s="261">
        <f t="shared" ref="BC1687:BD1687" si="1101">IF(BC1688&gt;1,_xlfn.STDEV.S(BC1661:BC1680),0)</f>
        <v>0</v>
      </c>
      <c r="BD1687" s="261">
        <f t="shared" si="1101"/>
        <v>0</v>
      </c>
      <c r="BE1687" s="122"/>
      <c r="BF1687" s="261">
        <f t="shared" ref="BF1687:BG1687" si="1102">IF(BF1688&gt;1,_xlfn.STDEV.S(BF1661:BF1680),0)</f>
        <v>0</v>
      </c>
      <c r="BG1687" s="261">
        <f t="shared" si="1102"/>
        <v>0</v>
      </c>
      <c r="BH1687" s="122"/>
      <c r="BI1687" s="261">
        <f t="shared" ref="BI1687:BJ1687" si="1103">IF(BI1688&gt;1,_xlfn.STDEV.S(BI1661:BI1680),0)</f>
        <v>0</v>
      </c>
      <c r="BJ1687" s="261">
        <f t="shared" si="1103"/>
        <v>0</v>
      </c>
      <c r="BK1687" s="122"/>
      <c r="BL1687" s="261">
        <f t="shared" ref="BL1687:BM1687" si="1104">IF(BL1688&gt;1,_xlfn.STDEV.S(BL1661:BL1680),0)</f>
        <v>0</v>
      </c>
      <c r="BM1687" s="261">
        <f t="shared" si="1104"/>
        <v>0</v>
      </c>
      <c r="BN1687" s="122"/>
      <c r="BO1687" s="261">
        <f t="shared" ref="BO1687:BP1687" si="1105">IF(BO1688&gt;1,_xlfn.STDEV.S(BO1661:BO1680),0)</f>
        <v>0</v>
      </c>
      <c r="BP1687" s="261">
        <f t="shared" si="1105"/>
        <v>0</v>
      </c>
      <c r="BQ1687" s="122"/>
      <c r="BR1687" s="261">
        <f t="shared" ref="BR1687:BS1687" si="1106">IF(BR1688&gt;1,_xlfn.STDEV.S(BR1661:BR1680),0)</f>
        <v>0</v>
      </c>
      <c r="BS1687" s="261">
        <f t="shared" si="1106"/>
        <v>0</v>
      </c>
      <c r="BT1687" s="122"/>
      <c r="BU1687" s="261">
        <f t="shared" ref="BU1687:BV1687" si="1107">IF(BU1688&gt;1,_xlfn.STDEV.S(BU1661:BU1680),0)</f>
        <v>0</v>
      </c>
      <c r="BV1687" s="261">
        <f t="shared" si="1107"/>
        <v>0</v>
      </c>
      <c r="BW1687" s="122"/>
      <c r="BX1687" s="91"/>
    </row>
    <row r="1688" spans="1:76" s="55" customFormat="1" x14ac:dyDescent="0.2">
      <c r="B1688" s="23"/>
      <c r="C1688" s="195"/>
      <c r="D1688" s="277"/>
      <c r="E1688" s="278"/>
      <c r="F1688" s="278"/>
      <c r="G1688" s="278"/>
      <c r="H1688" s="278"/>
      <c r="I1688" s="278"/>
      <c r="J1688" s="279"/>
      <c r="K1688" s="122"/>
      <c r="L1688" s="122"/>
      <c r="M1688" s="122"/>
      <c r="N1688" s="122"/>
      <c r="O1688" s="122"/>
      <c r="P1688" s="122"/>
      <c r="Q1688" s="311"/>
      <c r="R1688" s="396" t="s">
        <v>158</v>
      </c>
      <c r="S1688" s="118"/>
      <c r="T1688" s="118"/>
      <c r="U1688" s="281"/>
      <c r="V1688" s="282"/>
      <c r="W1688" s="283"/>
      <c r="Y1688" s="91"/>
      <c r="AO1688" s="91"/>
      <c r="AP1688" s="122"/>
      <c r="AQ1688" s="122"/>
      <c r="AR1688" s="122"/>
      <c r="AS1688" s="133" t="s">
        <v>159</v>
      </c>
      <c r="AT1688" s="284">
        <f>COUNT(AT1661:AT1680)</f>
        <v>0</v>
      </c>
      <c r="AU1688" s="284">
        <f>COUNT(AU1661:AU1680)</f>
        <v>0</v>
      </c>
      <c r="AV1688" s="122"/>
      <c r="AW1688" s="284">
        <f t="shared" ref="AW1688:AX1688" si="1108">COUNT(AW1661:AW1680)</f>
        <v>0</v>
      </c>
      <c r="AX1688" s="284">
        <f t="shared" si="1108"/>
        <v>0</v>
      </c>
      <c r="AY1688" s="122"/>
      <c r="AZ1688" s="284">
        <f t="shared" ref="AZ1688:BA1688" si="1109">COUNT(AZ1661:AZ1680)</f>
        <v>0</v>
      </c>
      <c r="BA1688" s="284">
        <f t="shared" si="1109"/>
        <v>0</v>
      </c>
      <c r="BB1688" s="122"/>
      <c r="BC1688" s="284">
        <f t="shared" ref="BC1688:BD1688" si="1110">COUNT(BC1661:BC1680)</f>
        <v>0</v>
      </c>
      <c r="BD1688" s="284">
        <f t="shared" si="1110"/>
        <v>0</v>
      </c>
      <c r="BE1688" s="122"/>
      <c r="BF1688" s="284">
        <f t="shared" ref="BF1688:BG1688" si="1111">COUNT(BF1661:BF1680)</f>
        <v>0</v>
      </c>
      <c r="BG1688" s="284">
        <f t="shared" si="1111"/>
        <v>0</v>
      </c>
      <c r="BH1688" s="122"/>
      <c r="BI1688" s="284">
        <f t="shared" ref="BI1688:BJ1688" si="1112">COUNT(BI1661:BI1680)</f>
        <v>0</v>
      </c>
      <c r="BJ1688" s="284">
        <f t="shared" si="1112"/>
        <v>0</v>
      </c>
      <c r="BK1688" s="122"/>
      <c r="BL1688" s="284">
        <f t="shared" ref="BL1688:BM1688" si="1113">COUNT(BL1661:BL1680)</f>
        <v>0</v>
      </c>
      <c r="BM1688" s="284">
        <f t="shared" si="1113"/>
        <v>0</v>
      </c>
      <c r="BN1688" s="122"/>
      <c r="BO1688" s="284">
        <f t="shared" ref="BO1688:BP1688" si="1114">COUNT(BO1661:BO1680)</f>
        <v>0</v>
      </c>
      <c r="BP1688" s="284">
        <f t="shared" si="1114"/>
        <v>0</v>
      </c>
      <c r="BQ1688" s="122"/>
      <c r="BR1688" s="284">
        <f t="shared" ref="BR1688:BS1688" si="1115">COUNT(BR1661:BR1680)</f>
        <v>0</v>
      </c>
      <c r="BS1688" s="284">
        <f t="shared" si="1115"/>
        <v>0</v>
      </c>
      <c r="BT1688" s="122"/>
      <c r="BU1688" s="284">
        <f t="shared" ref="BU1688:BV1688" si="1116">COUNT(BU1661:BU1680)</f>
        <v>0</v>
      </c>
      <c r="BV1688" s="284">
        <f t="shared" si="1116"/>
        <v>0</v>
      </c>
      <c r="BW1688" s="122"/>
      <c r="BX1688" s="91"/>
    </row>
    <row r="1689" spans="1:76" s="55" customFormat="1" ht="14.25" x14ac:dyDescent="0.2">
      <c r="B1689" s="23"/>
      <c r="C1689" s="195"/>
      <c r="D1689" s="122"/>
      <c r="E1689" s="122"/>
      <c r="F1689" s="122"/>
      <c r="G1689" s="122"/>
      <c r="H1689" s="122"/>
      <c r="I1689" s="122"/>
      <c r="J1689" s="122"/>
      <c r="K1689" s="122"/>
      <c r="L1689" s="122"/>
      <c r="M1689" s="122"/>
      <c r="N1689" s="122"/>
      <c r="O1689" s="122"/>
      <c r="P1689" s="122"/>
      <c r="Q1689" s="311"/>
      <c r="R1689" s="287" t="s">
        <v>149</v>
      </c>
      <c r="S1689" s="122"/>
      <c r="T1689" s="122"/>
      <c r="U1689" s="281"/>
      <c r="V1689" s="282"/>
      <c r="W1689" s="283"/>
      <c r="Y1689" s="91"/>
      <c r="AO1689" s="91"/>
      <c r="BX1689" s="91"/>
    </row>
    <row r="1690" spans="1:76" s="55" customFormat="1" ht="14.25" x14ac:dyDescent="0.2">
      <c r="B1690" s="23"/>
      <c r="C1690" s="195"/>
      <c r="D1690" s="122"/>
      <c r="E1690" s="122"/>
      <c r="F1690" s="122"/>
      <c r="G1690" s="122"/>
      <c r="H1690" s="122"/>
      <c r="I1690" s="122"/>
      <c r="J1690" s="122"/>
      <c r="K1690" s="122"/>
      <c r="L1690" s="122"/>
      <c r="M1690" s="122"/>
      <c r="N1690" s="122"/>
      <c r="O1690" s="122"/>
      <c r="P1690" s="122"/>
      <c r="Q1690" s="311"/>
      <c r="R1690" s="122"/>
      <c r="S1690" s="122"/>
      <c r="T1690" s="122"/>
      <c r="U1690" s="288"/>
      <c r="V1690" s="289"/>
      <c r="W1690" s="290"/>
      <c r="Y1690" s="91"/>
      <c r="AO1690" s="91"/>
      <c r="BX1690" s="91"/>
    </row>
    <row r="1691" spans="1:76" s="55" customFormat="1" ht="18" x14ac:dyDescent="0.25">
      <c r="A1691" s="270" t="e">
        <f ca="1">HYPERLINK("#"&amp;"'"&amp;A$1&amp;"'!a1","Back to top")</f>
        <v>#VALUE!</v>
      </c>
      <c r="B1691" s="271"/>
      <c r="C1691" s="122"/>
      <c r="Q1691" s="81"/>
      <c r="T1691" s="122"/>
      <c r="U1691" s="122"/>
      <c r="V1691" s="122"/>
      <c r="W1691" s="122"/>
      <c r="Y1691" s="91"/>
      <c r="AO1691" s="296"/>
      <c r="AP1691" s="345"/>
      <c r="AQ1691" s="345"/>
      <c r="AR1691" s="346"/>
      <c r="AS1691" s="346"/>
      <c r="AT1691" s="346"/>
      <c r="AU1691" s="346"/>
      <c r="AV1691" s="346"/>
      <c r="AW1691" s="346"/>
      <c r="AX1691" s="346"/>
      <c r="AY1691" s="346"/>
      <c r="AZ1691" s="346"/>
      <c r="BA1691" s="346"/>
      <c r="BB1691" s="346"/>
      <c r="BC1691" s="346"/>
      <c r="BD1691" s="346"/>
      <c r="BE1691" s="346"/>
      <c r="BF1691" s="346"/>
      <c r="BG1691" s="346"/>
      <c r="BH1691" s="346"/>
      <c r="BI1691" s="346"/>
      <c r="BJ1691" s="346"/>
      <c r="BK1691" s="346"/>
      <c r="BL1691" s="346"/>
      <c r="BM1691" s="346"/>
      <c r="BN1691" s="346"/>
      <c r="BO1691" s="346"/>
      <c r="BP1691" s="346"/>
      <c r="BQ1691" s="346"/>
      <c r="BR1691" s="346"/>
      <c r="BS1691" s="346"/>
      <c r="BT1691" s="346"/>
      <c r="BU1691" s="346"/>
      <c r="BV1691" s="346"/>
      <c r="BW1691" s="346"/>
      <c r="BX1691" s="296"/>
    </row>
    <row r="1692" spans="1:76" s="55" customFormat="1" ht="14.25" x14ac:dyDescent="0.2">
      <c r="B1692" s="23"/>
      <c r="Q1692" s="81"/>
      <c r="Y1692" s="91"/>
      <c r="AO1692" s="91"/>
      <c r="BX1692" s="91"/>
    </row>
    <row r="1693" spans="1:76" s="55" customFormat="1" ht="14.25" x14ac:dyDescent="0.2">
      <c r="B1693" s="23"/>
      <c r="Q1693" s="81"/>
      <c r="Y1693" s="91"/>
      <c r="AO1693" s="91"/>
      <c r="BX1693" s="91"/>
    </row>
    <row r="1694" spans="1:76" s="9" customFormat="1" ht="18" x14ac:dyDescent="0.25">
      <c r="A1694" s="188">
        <f>A1658+1</f>
        <v>29</v>
      </c>
      <c r="B1694" s="189"/>
      <c r="C1694" s="293" t="s">
        <v>772</v>
      </c>
      <c r="D1694" s="191"/>
      <c r="E1694" s="191"/>
      <c r="F1694" s="191"/>
      <c r="G1694" s="191"/>
      <c r="J1694" s="191"/>
      <c r="K1694" s="191"/>
      <c r="L1694" s="192"/>
      <c r="M1694" s="192"/>
      <c r="N1694" s="192"/>
      <c r="Q1694" s="193"/>
      <c r="R1694" s="194" t="s">
        <v>93</v>
      </c>
      <c r="S1694" s="194"/>
      <c r="T1694" s="194"/>
      <c r="U1694" s="194"/>
      <c r="AP1694" s="175">
        <f>A1694</f>
        <v>29</v>
      </c>
      <c r="AQ1694" s="175" t="str">
        <f>C1694</f>
        <v>VARIABLE29</v>
      </c>
    </row>
    <row r="1695" spans="1:76" s="55" customFormat="1" x14ac:dyDescent="0.25">
      <c r="A1695" s="195"/>
      <c r="B1695" s="196"/>
      <c r="C1695" s="195"/>
      <c r="D1695" s="120"/>
      <c r="E1695" s="120"/>
      <c r="F1695" s="120"/>
      <c r="G1695" s="120"/>
      <c r="J1695" s="120"/>
      <c r="K1695" s="120"/>
      <c r="L1695" s="122"/>
      <c r="M1695" s="122"/>
      <c r="N1695" s="122"/>
      <c r="Q1695" s="81"/>
      <c r="Y1695" s="91"/>
      <c r="AO1695" s="91"/>
      <c r="AP1695" s="28"/>
      <c r="AQ1695" s="28"/>
      <c r="AR1695" s="28"/>
      <c r="AS1695" s="28"/>
      <c r="AT1695" s="198" t="s">
        <v>171</v>
      </c>
      <c r="AU1695" s="198"/>
      <c r="AV1695" s="28"/>
      <c r="AW1695" s="198" t="s">
        <v>96</v>
      </c>
      <c r="AX1695" s="198"/>
      <c r="AY1695" s="28"/>
      <c r="AZ1695" s="198" t="s">
        <v>97</v>
      </c>
      <c r="BA1695" s="198"/>
      <c r="BB1695" s="28"/>
      <c r="BC1695" s="198" t="s">
        <v>98</v>
      </c>
      <c r="BD1695" s="198"/>
      <c r="BE1695" s="28"/>
      <c r="BF1695" s="198" t="s">
        <v>99</v>
      </c>
      <c r="BG1695" s="198"/>
      <c r="BH1695" s="28"/>
      <c r="BI1695" s="198" t="s">
        <v>100</v>
      </c>
      <c r="BJ1695" s="198"/>
      <c r="BK1695" s="28"/>
      <c r="BL1695" s="198" t="s">
        <v>101</v>
      </c>
      <c r="BM1695" s="198"/>
      <c r="BN1695" s="28"/>
      <c r="BO1695" s="198" t="s">
        <v>102</v>
      </c>
      <c r="BP1695" s="198"/>
      <c r="BQ1695" s="28"/>
      <c r="BR1695" s="198" t="s">
        <v>103</v>
      </c>
      <c r="BS1695" s="198"/>
      <c r="BT1695" s="28"/>
      <c r="BU1695" s="198" t="s">
        <v>104</v>
      </c>
      <c r="BV1695" s="198"/>
      <c r="BW1695" s="28"/>
      <c r="BX1695" s="91"/>
    </row>
    <row r="1696" spans="1:76" s="55" customFormat="1" ht="30.75" thickBot="1" x14ac:dyDescent="0.3">
      <c r="A1696" s="199" t="s">
        <v>105</v>
      </c>
      <c r="B1696" s="200" t="s">
        <v>106</v>
      </c>
      <c r="C1696" s="201" t="s">
        <v>107</v>
      </c>
      <c r="D1696" s="202" t="s">
        <v>108</v>
      </c>
      <c r="E1696" s="202" t="s">
        <v>109</v>
      </c>
      <c r="F1696" s="201" t="s">
        <v>110</v>
      </c>
      <c r="G1696" s="201" t="s">
        <v>111</v>
      </c>
      <c r="H1696" s="202" t="s">
        <v>112</v>
      </c>
      <c r="I1696" s="203" t="s">
        <v>113</v>
      </c>
      <c r="J1696" s="204" t="s">
        <v>114</v>
      </c>
      <c r="K1696" s="205" t="s">
        <v>115</v>
      </c>
      <c r="L1696" s="206" t="s">
        <v>116</v>
      </c>
      <c r="M1696" s="207" t="s">
        <v>117</v>
      </c>
      <c r="N1696" s="208" t="s">
        <v>118</v>
      </c>
      <c r="O1696" s="207" t="s">
        <v>119</v>
      </c>
      <c r="P1696" s="210"/>
      <c r="Q1696" s="211" t="s">
        <v>120</v>
      </c>
      <c r="R1696" s="212" t="s">
        <v>121</v>
      </c>
      <c r="S1696" s="212" t="s">
        <v>122</v>
      </c>
      <c r="T1696" s="212" t="s">
        <v>123</v>
      </c>
      <c r="U1696" s="213" t="s">
        <v>124</v>
      </c>
      <c r="V1696" s="210"/>
      <c r="W1696" s="210"/>
      <c r="Y1696" s="91"/>
      <c r="AO1696" s="91"/>
      <c r="AP1696" s="210"/>
      <c r="AQ1696" s="210"/>
      <c r="AR1696" s="213" t="s">
        <v>125</v>
      </c>
      <c r="AS1696" s="210"/>
      <c r="AT1696" s="215" t="s">
        <v>121</v>
      </c>
      <c r="AU1696" s="215" t="s">
        <v>122</v>
      </c>
      <c r="AV1696" s="210"/>
      <c r="AW1696" s="215" t="s">
        <v>121</v>
      </c>
      <c r="AX1696" s="215" t="s">
        <v>122</v>
      </c>
      <c r="AY1696" s="210"/>
      <c r="AZ1696" s="215" t="s">
        <v>121</v>
      </c>
      <c r="BA1696" s="215" t="s">
        <v>122</v>
      </c>
      <c r="BB1696" s="210"/>
      <c r="BC1696" s="215" t="s">
        <v>121</v>
      </c>
      <c r="BD1696" s="215" t="s">
        <v>122</v>
      </c>
      <c r="BE1696" s="210"/>
      <c r="BF1696" s="215" t="s">
        <v>121</v>
      </c>
      <c r="BG1696" s="215" t="s">
        <v>122</v>
      </c>
      <c r="BH1696" s="210"/>
      <c r="BI1696" s="215" t="s">
        <v>121</v>
      </c>
      <c r="BJ1696" s="215" t="s">
        <v>122</v>
      </c>
      <c r="BK1696" s="210"/>
      <c r="BL1696" s="215" t="s">
        <v>121</v>
      </c>
      <c r="BM1696" s="215" t="s">
        <v>122</v>
      </c>
      <c r="BN1696" s="210"/>
      <c r="BO1696" s="215" t="s">
        <v>121</v>
      </c>
      <c r="BP1696" s="215" t="s">
        <v>122</v>
      </c>
      <c r="BQ1696" s="210"/>
      <c r="BR1696" s="215" t="s">
        <v>121</v>
      </c>
      <c r="BS1696" s="215" t="s">
        <v>122</v>
      </c>
      <c r="BT1696" s="210"/>
      <c r="BU1696" s="215" t="s">
        <v>121</v>
      </c>
      <c r="BV1696" s="215" t="s">
        <v>122</v>
      </c>
      <c r="BW1696" s="210"/>
      <c r="BX1696" s="91"/>
    </row>
    <row r="1697" spans="1:76" s="55" customFormat="1" x14ac:dyDescent="0.25">
      <c r="A1697" s="195">
        <v>1</v>
      </c>
      <c r="B1697" s="216" t="str">
        <f t="shared" ref="B1697:B1716" si="1117">CONCATENATE(E1697,": ",C1697)</f>
        <v xml:space="preserve">: </v>
      </c>
      <c r="C1697" s="219"/>
      <c r="D1697" s="219"/>
      <c r="E1697" s="219"/>
      <c r="F1697" s="219"/>
      <c r="G1697" s="220"/>
      <c r="H1697" s="221"/>
      <c r="I1697" s="220"/>
      <c r="J1697" s="227"/>
      <c r="K1697" s="226"/>
      <c r="L1697" s="227"/>
      <c r="M1697" s="227"/>
      <c r="N1697" s="227"/>
      <c r="O1697" s="227"/>
      <c r="P1697" s="122"/>
      <c r="Q1697" s="228"/>
      <c r="R1697" s="231" t="str">
        <f>IF(Q1697="Y","",IF(AND(L1697="",J1697=""),"",IF(L1697="",J1697,L1697)))</f>
        <v/>
      </c>
      <c r="S1697" s="230" t="str">
        <f t="shared" ref="S1697:S1716" si="1118">IF(R1697="","",IF($R$1725="Y",T1697,IF(R1697&gt;=$R$1717-$AA$35*$R$1721,IF(R1697&lt;=$R$1717+$AA$35*$R$1721,R1697,""),"")))</f>
        <v/>
      </c>
      <c r="T1697" s="231" t="str">
        <f>IF(OR(Q1697="Y",IFERROR(R1697&gt;R1717+R1721*$AA$35,0),IFERROR(R1697&lt;R1717-R1721*$AA$35,0)),"",IFERROR(R1697*N1697,""))</f>
        <v/>
      </c>
      <c r="U1697" s="232" t="str">
        <f t="shared" ref="U1697:U1716" si="1119">IF(AND(M1697="",K1697=""),"",IF(M1697="",K1697,M1697))</f>
        <v/>
      </c>
      <c r="V1697" s="28"/>
      <c r="W1697" s="28"/>
      <c r="Y1697" s="91"/>
      <c r="AO1697" s="91"/>
      <c r="AP1697" s="28"/>
      <c r="AQ1697" s="28"/>
      <c r="AR1697" s="233" t="str">
        <f>$U1697</f>
        <v/>
      </c>
      <c r="AS1697" s="28"/>
      <c r="AT1697" s="304" t="str">
        <f>IF($E1697=$AT$47,R1697,"")</f>
        <v/>
      </c>
      <c r="AU1697" s="304" t="str">
        <f>IF($E1697=$AT$47,S1697,"")</f>
        <v/>
      </c>
      <c r="AV1697" s="28"/>
      <c r="AW1697" s="304" t="str">
        <f t="shared" ref="AW1697:AX1716" si="1120">IF($E1697=$AW$83,R1697,"")</f>
        <v/>
      </c>
      <c r="AX1697" s="304" t="str">
        <f t="shared" si="1120"/>
        <v/>
      </c>
      <c r="AY1697" s="28"/>
      <c r="AZ1697" s="304" t="str">
        <f t="shared" ref="AZ1697:BA1716" si="1121">IF($E1697=$AZ$83,R1697,"")</f>
        <v/>
      </c>
      <c r="BA1697" s="304" t="str">
        <f t="shared" si="1121"/>
        <v/>
      </c>
      <c r="BB1697" s="28"/>
      <c r="BC1697" s="304" t="str">
        <f t="shared" ref="BC1697:BD1716" si="1122">IF($E1697=$BC$83,R1697,"")</f>
        <v/>
      </c>
      <c r="BD1697" s="304" t="str">
        <f t="shared" si="1122"/>
        <v/>
      </c>
      <c r="BE1697" s="28"/>
      <c r="BF1697" s="304" t="str">
        <f t="shared" ref="BF1697:BG1716" si="1123">IF($E1697=$BF$83,R1697,"")</f>
        <v/>
      </c>
      <c r="BG1697" s="304" t="str">
        <f t="shared" si="1123"/>
        <v/>
      </c>
      <c r="BH1697" s="28"/>
      <c r="BI1697" s="304" t="str">
        <f t="shared" ref="BI1697:BJ1716" si="1124">IF($E1697=$BI$83,R1697,"")</f>
        <v/>
      </c>
      <c r="BJ1697" s="304" t="str">
        <f t="shared" si="1124"/>
        <v/>
      </c>
      <c r="BK1697" s="28"/>
      <c r="BL1697" s="304" t="str">
        <f t="shared" ref="BL1697:BM1716" si="1125">IF($E1697=$BL$83,R1697,"")</f>
        <v/>
      </c>
      <c r="BM1697" s="304" t="str">
        <f t="shared" si="1125"/>
        <v/>
      </c>
      <c r="BN1697" s="28"/>
      <c r="BO1697" s="304" t="str">
        <f t="shared" ref="BO1697:BP1716" si="1126">IF($E1697=$BO$83,R1697,"")</f>
        <v/>
      </c>
      <c r="BP1697" s="304" t="str">
        <f t="shared" si="1126"/>
        <v/>
      </c>
      <c r="BQ1697" s="28"/>
      <c r="BR1697" s="304" t="str">
        <f t="shared" ref="BR1697:BS1716" si="1127">IF($E1697=$BR$83,R1697,"")</f>
        <v/>
      </c>
      <c r="BS1697" s="304" t="str">
        <f t="shared" si="1127"/>
        <v/>
      </c>
      <c r="BT1697" s="28"/>
      <c r="BU1697" s="304" t="str">
        <f t="shared" ref="BU1697:BV1716" si="1128">IF($E1697=$BU$83,R1697,"")</f>
        <v/>
      </c>
      <c r="BV1697" s="304" t="str">
        <f t="shared" si="1128"/>
        <v/>
      </c>
      <c r="BW1697" s="28"/>
      <c r="BX1697" s="91"/>
    </row>
    <row r="1698" spans="1:76" s="55" customFormat="1" x14ac:dyDescent="0.25">
      <c r="A1698" s="195">
        <v>2</v>
      </c>
      <c r="B1698" s="216" t="str">
        <f t="shared" si="1117"/>
        <v xml:space="preserve">: </v>
      </c>
      <c r="C1698" s="219"/>
      <c r="D1698" s="219"/>
      <c r="E1698" s="219"/>
      <c r="F1698" s="219"/>
      <c r="G1698" s="220"/>
      <c r="H1698" s="221"/>
      <c r="I1698" s="220"/>
      <c r="J1698" s="227"/>
      <c r="K1698" s="226"/>
      <c r="L1698" s="227"/>
      <c r="M1698" s="227"/>
      <c r="N1698" s="227"/>
      <c r="O1698" s="227"/>
      <c r="P1698" s="122"/>
      <c r="Q1698" s="228"/>
      <c r="R1698" s="231" t="str">
        <f t="shared" ref="R1698:R1716" si="1129">IF(Q1698="Y","",IF(AND(L1698="",J1698=""),"",IF(L1698="",J1698,L1698)))</f>
        <v/>
      </c>
      <c r="S1698" s="230" t="str">
        <f t="shared" si="1118"/>
        <v/>
      </c>
      <c r="T1698" s="231" t="str">
        <f>IF(OR(Q1698="Y",IFERROR(R1698&gt;R1717+R1721*$AA$35,0),IFERROR(R1698&lt;R1717-R1721*$AA$35,0)),"",IFERROR(R1698*N1698,""))</f>
        <v/>
      </c>
      <c r="U1698" s="232" t="str">
        <f t="shared" si="1119"/>
        <v/>
      </c>
      <c r="V1698" s="28"/>
      <c r="W1698" s="28"/>
      <c r="Y1698" s="91"/>
      <c r="AO1698" s="91"/>
      <c r="AP1698" s="28"/>
      <c r="AQ1698" s="28"/>
      <c r="AR1698" s="237"/>
      <c r="AS1698" s="28"/>
      <c r="AT1698" s="304" t="str">
        <f t="shared" ref="AT1698:AU1716" si="1130">IF($E1698=$AT$47,R1698,"")</f>
        <v/>
      </c>
      <c r="AU1698" s="304" t="str">
        <f t="shared" si="1130"/>
        <v/>
      </c>
      <c r="AV1698" s="28"/>
      <c r="AW1698" s="304" t="str">
        <f t="shared" si="1120"/>
        <v/>
      </c>
      <c r="AX1698" s="304" t="str">
        <f t="shared" si="1120"/>
        <v/>
      </c>
      <c r="AY1698" s="28"/>
      <c r="AZ1698" s="304" t="str">
        <f t="shared" si="1121"/>
        <v/>
      </c>
      <c r="BA1698" s="304" t="str">
        <f t="shared" si="1121"/>
        <v/>
      </c>
      <c r="BB1698" s="28"/>
      <c r="BC1698" s="304" t="str">
        <f t="shared" si="1122"/>
        <v/>
      </c>
      <c r="BD1698" s="304" t="str">
        <f t="shared" si="1122"/>
        <v/>
      </c>
      <c r="BE1698" s="28"/>
      <c r="BF1698" s="304" t="str">
        <f t="shared" si="1123"/>
        <v/>
      </c>
      <c r="BG1698" s="304" t="str">
        <f t="shared" si="1123"/>
        <v/>
      </c>
      <c r="BH1698" s="28"/>
      <c r="BI1698" s="304" t="str">
        <f t="shared" si="1124"/>
        <v/>
      </c>
      <c r="BJ1698" s="304" t="str">
        <f t="shared" si="1124"/>
        <v/>
      </c>
      <c r="BK1698" s="28"/>
      <c r="BL1698" s="304" t="str">
        <f t="shared" si="1125"/>
        <v/>
      </c>
      <c r="BM1698" s="304" t="str">
        <f t="shared" si="1125"/>
        <v/>
      </c>
      <c r="BN1698" s="28"/>
      <c r="BO1698" s="304" t="str">
        <f t="shared" si="1126"/>
        <v/>
      </c>
      <c r="BP1698" s="304" t="str">
        <f t="shared" si="1126"/>
        <v/>
      </c>
      <c r="BQ1698" s="28"/>
      <c r="BR1698" s="304" t="str">
        <f t="shared" si="1127"/>
        <v/>
      </c>
      <c r="BS1698" s="304" t="str">
        <f t="shared" si="1127"/>
        <v/>
      </c>
      <c r="BT1698" s="28"/>
      <c r="BU1698" s="304" t="str">
        <f t="shared" si="1128"/>
        <v/>
      </c>
      <c r="BV1698" s="304" t="str">
        <f t="shared" si="1128"/>
        <v/>
      </c>
      <c r="BW1698" s="28"/>
      <c r="BX1698" s="91"/>
    </row>
    <row r="1699" spans="1:76" s="55" customFormat="1" x14ac:dyDescent="0.25">
      <c r="A1699" s="195">
        <v>3</v>
      </c>
      <c r="B1699" s="216" t="str">
        <f>CONCATENATE(E1699,": ",C1699)</f>
        <v xml:space="preserve">: </v>
      </c>
      <c r="C1699" s="221"/>
      <c r="D1699" s="221"/>
      <c r="E1699" s="221"/>
      <c r="F1699" s="221"/>
      <c r="G1699" s="240"/>
      <c r="H1699" s="221"/>
      <c r="I1699" s="240"/>
      <c r="J1699" s="241"/>
      <c r="K1699" s="226"/>
      <c r="L1699" s="227"/>
      <c r="M1699" s="227"/>
      <c r="N1699" s="227"/>
      <c r="O1699" s="227"/>
      <c r="P1699" s="122"/>
      <c r="Q1699" s="228"/>
      <c r="R1699" s="231" t="str">
        <f t="shared" si="1129"/>
        <v/>
      </c>
      <c r="S1699" s="230" t="str">
        <f t="shared" si="1118"/>
        <v/>
      </c>
      <c r="T1699" s="231" t="str">
        <f>IF(OR(Q1699="Y",IFERROR(R1699&gt;R1717+R1721*$AA$35,0),IFERROR(R1699&lt;R1717-R1721*$AA$35,0)),"",IFERROR(R1699*N1699,""))</f>
        <v/>
      </c>
      <c r="U1699" s="232" t="str">
        <f t="shared" si="1119"/>
        <v/>
      </c>
      <c r="V1699" s="28"/>
      <c r="W1699" s="28"/>
      <c r="Y1699" s="91"/>
      <c r="AO1699" s="91"/>
      <c r="AP1699" s="28"/>
      <c r="AQ1699" s="28"/>
      <c r="AR1699" s="237"/>
      <c r="AS1699" s="28"/>
      <c r="AT1699" s="304" t="str">
        <f t="shared" si="1130"/>
        <v/>
      </c>
      <c r="AU1699" s="304" t="str">
        <f t="shared" si="1130"/>
        <v/>
      </c>
      <c r="AV1699" s="28"/>
      <c r="AW1699" s="304" t="str">
        <f t="shared" si="1120"/>
        <v/>
      </c>
      <c r="AX1699" s="304" t="str">
        <f t="shared" si="1120"/>
        <v/>
      </c>
      <c r="AY1699" s="28"/>
      <c r="AZ1699" s="304" t="str">
        <f t="shared" si="1121"/>
        <v/>
      </c>
      <c r="BA1699" s="304" t="str">
        <f t="shared" si="1121"/>
        <v/>
      </c>
      <c r="BB1699" s="28"/>
      <c r="BC1699" s="304" t="str">
        <f t="shared" si="1122"/>
        <v/>
      </c>
      <c r="BD1699" s="304" t="str">
        <f t="shared" si="1122"/>
        <v/>
      </c>
      <c r="BE1699" s="28"/>
      <c r="BF1699" s="304" t="str">
        <f t="shared" si="1123"/>
        <v/>
      </c>
      <c r="BG1699" s="304" t="str">
        <f t="shared" si="1123"/>
        <v/>
      </c>
      <c r="BH1699" s="28"/>
      <c r="BI1699" s="304" t="str">
        <f t="shared" si="1124"/>
        <v/>
      </c>
      <c r="BJ1699" s="304" t="str">
        <f t="shared" si="1124"/>
        <v/>
      </c>
      <c r="BK1699" s="28"/>
      <c r="BL1699" s="304" t="str">
        <f t="shared" si="1125"/>
        <v/>
      </c>
      <c r="BM1699" s="304" t="str">
        <f t="shared" si="1125"/>
        <v/>
      </c>
      <c r="BN1699" s="28"/>
      <c r="BO1699" s="304" t="str">
        <f t="shared" si="1126"/>
        <v/>
      </c>
      <c r="BP1699" s="304" t="str">
        <f t="shared" si="1126"/>
        <v/>
      </c>
      <c r="BQ1699" s="28"/>
      <c r="BR1699" s="304" t="str">
        <f t="shared" si="1127"/>
        <v/>
      </c>
      <c r="BS1699" s="304" t="str">
        <f t="shared" si="1127"/>
        <v/>
      </c>
      <c r="BT1699" s="28"/>
      <c r="BU1699" s="304" t="str">
        <f t="shared" si="1128"/>
        <v/>
      </c>
      <c r="BV1699" s="304" t="str">
        <f t="shared" si="1128"/>
        <v/>
      </c>
      <c r="BW1699" s="28"/>
      <c r="BX1699" s="91"/>
    </row>
    <row r="1700" spans="1:76" s="55" customFormat="1" x14ac:dyDescent="0.25">
      <c r="A1700" s="195">
        <v>4</v>
      </c>
      <c r="B1700" s="216" t="str">
        <f t="shared" si="1117"/>
        <v xml:space="preserve">: </v>
      </c>
      <c r="C1700" s="221"/>
      <c r="D1700" s="221"/>
      <c r="E1700" s="221"/>
      <c r="F1700" s="221"/>
      <c r="G1700" s="240"/>
      <c r="H1700" s="221"/>
      <c r="I1700" s="240"/>
      <c r="J1700" s="241"/>
      <c r="K1700" s="226"/>
      <c r="L1700" s="227"/>
      <c r="M1700" s="227"/>
      <c r="N1700" s="227"/>
      <c r="O1700" s="227"/>
      <c r="P1700" s="122"/>
      <c r="Q1700" s="228"/>
      <c r="R1700" s="231" t="str">
        <f t="shared" si="1129"/>
        <v/>
      </c>
      <c r="S1700" s="230" t="str">
        <f t="shared" si="1118"/>
        <v/>
      </c>
      <c r="T1700" s="231" t="str">
        <f>IF(OR(Q1700="Y",IFERROR(R1700&gt;R1717+R1721*$AA$35,0),IFERROR(R1700&lt;R1717-R1721*$AA$35,0)),"",IFERROR(R1700*N1700,""))</f>
        <v/>
      </c>
      <c r="U1700" s="232" t="str">
        <f t="shared" si="1119"/>
        <v/>
      </c>
      <c r="V1700" s="28"/>
      <c r="W1700" s="28"/>
      <c r="Y1700" s="91"/>
      <c r="AO1700" s="91"/>
      <c r="AP1700" s="28"/>
      <c r="AQ1700" s="28"/>
      <c r="AR1700" s="237"/>
      <c r="AS1700" s="28"/>
      <c r="AT1700" s="304" t="str">
        <f t="shared" si="1130"/>
        <v/>
      </c>
      <c r="AU1700" s="304" t="str">
        <f t="shared" si="1130"/>
        <v/>
      </c>
      <c r="AV1700" s="28"/>
      <c r="AW1700" s="304" t="str">
        <f t="shared" si="1120"/>
        <v/>
      </c>
      <c r="AX1700" s="304" t="str">
        <f t="shared" si="1120"/>
        <v/>
      </c>
      <c r="AY1700" s="28"/>
      <c r="AZ1700" s="304" t="str">
        <f t="shared" si="1121"/>
        <v/>
      </c>
      <c r="BA1700" s="304" t="str">
        <f t="shared" si="1121"/>
        <v/>
      </c>
      <c r="BB1700" s="28"/>
      <c r="BC1700" s="304" t="str">
        <f t="shared" si="1122"/>
        <v/>
      </c>
      <c r="BD1700" s="304" t="str">
        <f t="shared" si="1122"/>
        <v/>
      </c>
      <c r="BE1700" s="28"/>
      <c r="BF1700" s="304" t="str">
        <f t="shared" si="1123"/>
        <v/>
      </c>
      <c r="BG1700" s="304" t="str">
        <f t="shared" si="1123"/>
        <v/>
      </c>
      <c r="BH1700" s="28"/>
      <c r="BI1700" s="304" t="str">
        <f t="shared" si="1124"/>
        <v/>
      </c>
      <c r="BJ1700" s="304" t="str">
        <f t="shared" si="1124"/>
        <v/>
      </c>
      <c r="BK1700" s="28"/>
      <c r="BL1700" s="304" t="str">
        <f t="shared" si="1125"/>
        <v/>
      </c>
      <c r="BM1700" s="304" t="str">
        <f t="shared" si="1125"/>
        <v/>
      </c>
      <c r="BN1700" s="28"/>
      <c r="BO1700" s="304" t="str">
        <f t="shared" si="1126"/>
        <v/>
      </c>
      <c r="BP1700" s="304" t="str">
        <f t="shared" si="1126"/>
        <v/>
      </c>
      <c r="BQ1700" s="28"/>
      <c r="BR1700" s="304" t="str">
        <f t="shared" si="1127"/>
        <v/>
      </c>
      <c r="BS1700" s="304" t="str">
        <f t="shared" si="1127"/>
        <v/>
      </c>
      <c r="BT1700" s="28"/>
      <c r="BU1700" s="304" t="str">
        <f t="shared" si="1128"/>
        <v/>
      </c>
      <c r="BV1700" s="304" t="str">
        <f t="shared" si="1128"/>
        <v/>
      </c>
      <c r="BW1700" s="28"/>
      <c r="BX1700" s="91"/>
    </row>
    <row r="1701" spans="1:76" s="55" customFormat="1" x14ac:dyDescent="0.25">
      <c r="A1701" s="195">
        <v>5</v>
      </c>
      <c r="B1701" s="216" t="str">
        <f t="shared" si="1117"/>
        <v xml:space="preserve">: </v>
      </c>
      <c r="C1701" s="221"/>
      <c r="D1701" s="221"/>
      <c r="E1701" s="221"/>
      <c r="F1701" s="221"/>
      <c r="G1701" s="240"/>
      <c r="H1701" s="221"/>
      <c r="I1701" s="240"/>
      <c r="J1701" s="241"/>
      <c r="K1701" s="226"/>
      <c r="L1701" s="227"/>
      <c r="M1701" s="227"/>
      <c r="N1701" s="227"/>
      <c r="O1701" s="227"/>
      <c r="P1701" s="122"/>
      <c r="Q1701" s="228"/>
      <c r="R1701" s="231" t="str">
        <f t="shared" si="1129"/>
        <v/>
      </c>
      <c r="S1701" s="230" t="str">
        <f t="shared" si="1118"/>
        <v/>
      </c>
      <c r="T1701" s="231" t="str">
        <f>IF(OR(Q1701="Y",IFERROR(R1701&gt;R1717+R1721*$AA$35,0),IFERROR(R1701&lt;R1717-R1721*$AA$35,0)),"",IFERROR(R1701*N1701,""))</f>
        <v/>
      </c>
      <c r="U1701" s="232" t="str">
        <f t="shared" si="1119"/>
        <v/>
      </c>
      <c r="V1701" s="28"/>
      <c r="W1701" s="28"/>
      <c r="Y1701" s="91"/>
      <c r="AO1701" s="91"/>
      <c r="AP1701" s="28"/>
      <c r="AQ1701" s="28"/>
      <c r="AR1701" s="237"/>
      <c r="AS1701" s="28"/>
      <c r="AT1701" s="304" t="str">
        <f t="shared" si="1130"/>
        <v/>
      </c>
      <c r="AU1701" s="304" t="str">
        <f t="shared" si="1130"/>
        <v/>
      </c>
      <c r="AV1701" s="28"/>
      <c r="AW1701" s="304" t="str">
        <f t="shared" si="1120"/>
        <v/>
      </c>
      <c r="AX1701" s="304" t="str">
        <f t="shared" si="1120"/>
        <v/>
      </c>
      <c r="AY1701" s="28"/>
      <c r="AZ1701" s="304" t="str">
        <f t="shared" si="1121"/>
        <v/>
      </c>
      <c r="BA1701" s="304" t="str">
        <f t="shared" si="1121"/>
        <v/>
      </c>
      <c r="BB1701" s="28"/>
      <c r="BC1701" s="304" t="str">
        <f t="shared" si="1122"/>
        <v/>
      </c>
      <c r="BD1701" s="304" t="str">
        <f t="shared" si="1122"/>
        <v/>
      </c>
      <c r="BE1701" s="28"/>
      <c r="BF1701" s="304" t="str">
        <f t="shared" si="1123"/>
        <v/>
      </c>
      <c r="BG1701" s="304" t="str">
        <f t="shared" si="1123"/>
        <v/>
      </c>
      <c r="BH1701" s="28"/>
      <c r="BI1701" s="304" t="str">
        <f t="shared" si="1124"/>
        <v/>
      </c>
      <c r="BJ1701" s="304" t="str">
        <f t="shared" si="1124"/>
        <v/>
      </c>
      <c r="BK1701" s="28"/>
      <c r="BL1701" s="304" t="str">
        <f t="shared" si="1125"/>
        <v/>
      </c>
      <c r="BM1701" s="304" t="str">
        <f t="shared" si="1125"/>
        <v/>
      </c>
      <c r="BN1701" s="28"/>
      <c r="BO1701" s="304" t="str">
        <f t="shared" si="1126"/>
        <v/>
      </c>
      <c r="BP1701" s="304" t="str">
        <f t="shared" si="1126"/>
        <v/>
      </c>
      <c r="BQ1701" s="28"/>
      <c r="BR1701" s="304" t="str">
        <f t="shared" si="1127"/>
        <v/>
      </c>
      <c r="BS1701" s="304" t="str">
        <f t="shared" si="1127"/>
        <v/>
      </c>
      <c r="BT1701" s="28"/>
      <c r="BU1701" s="304" t="str">
        <f t="shared" si="1128"/>
        <v/>
      </c>
      <c r="BV1701" s="304" t="str">
        <f t="shared" si="1128"/>
        <v/>
      </c>
      <c r="BW1701" s="28"/>
      <c r="BX1701" s="91"/>
    </row>
    <row r="1702" spans="1:76" s="55" customFormat="1" x14ac:dyDescent="0.25">
      <c r="A1702" s="195">
        <v>6</v>
      </c>
      <c r="B1702" s="216" t="str">
        <f t="shared" si="1117"/>
        <v xml:space="preserve">: </v>
      </c>
      <c r="C1702" s="221"/>
      <c r="D1702" s="221"/>
      <c r="E1702" s="221"/>
      <c r="F1702" s="221"/>
      <c r="G1702" s="240"/>
      <c r="H1702" s="221"/>
      <c r="I1702" s="240"/>
      <c r="J1702" s="241"/>
      <c r="K1702" s="241"/>
      <c r="L1702" s="227"/>
      <c r="M1702" s="227"/>
      <c r="N1702" s="227"/>
      <c r="O1702" s="227"/>
      <c r="P1702" s="122"/>
      <c r="Q1702" s="228"/>
      <c r="R1702" s="231" t="str">
        <f t="shared" si="1129"/>
        <v/>
      </c>
      <c r="S1702" s="230" t="str">
        <f t="shared" si="1118"/>
        <v/>
      </c>
      <c r="T1702" s="231" t="str">
        <f>IF(OR(Q1702="Y",IFERROR(R1702&gt;R1717+R1721*$AA$35,0),IFERROR(R1702&lt;R1717-R1721*$AA$35,0)),"",IFERROR(R1702*N1702,""))</f>
        <v/>
      </c>
      <c r="U1702" s="232" t="str">
        <f t="shared" si="1119"/>
        <v/>
      </c>
      <c r="V1702" s="28"/>
      <c r="W1702" s="28"/>
      <c r="Y1702" s="91"/>
      <c r="AO1702" s="91"/>
      <c r="AP1702" s="28"/>
      <c r="AQ1702" s="28"/>
      <c r="AR1702" s="237"/>
      <c r="AS1702" s="28"/>
      <c r="AT1702" s="304" t="str">
        <f t="shared" si="1130"/>
        <v/>
      </c>
      <c r="AU1702" s="304" t="str">
        <f t="shared" si="1130"/>
        <v/>
      </c>
      <c r="AV1702" s="28"/>
      <c r="AW1702" s="304" t="str">
        <f t="shared" si="1120"/>
        <v/>
      </c>
      <c r="AX1702" s="304" t="str">
        <f t="shared" si="1120"/>
        <v/>
      </c>
      <c r="AY1702" s="28"/>
      <c r="AZ1702" s="304" t="str">
        <f t="shared" si="1121"/>
        <v/>
      </c>
      <c r="BA1702" s="304" t="str">
        <f t="shared" si="1121"/>
        <v/>
      </c>
      <c r="BB1702" s="28"/>
      <c r="BC1702" s="304" t="str">
        <f t="shared" si="1122"/>
        <v/>
      </c>
      <c r="BD1702" s="304" t="str">
        <f t="shared" si="1122"/>
        <v/>
      </c>
      <c r="BE1702" s="28"/>
      <c r="BF1702" s="304" t="str">
        <f t="shared" si="1123"/>
        <v/>
      </c>
      <c r="BG1702" s="304" t="str">
        <f t="shared" si="1123"/>
        <v/>
      </c>
      <c r="BH1702" s="28"/>
      <c r="BI1702" s="304" t="str">
        <f t="shared" si="1124"/>
        <v/>
      </c>
      <c r="BJ1702" s="304" t="str">
        <f t="shared" si="1124"/>
        <v/>
      </c>
      <c r="BK1702" s="28"/>
      <c r="BL1702" s="304" t="str">
        <f t="shared" si="1125"/>
        <v/>
      </c>
      <c r="BM1702" s="304" t="str">
        <f t="shared" si="1125"/>
        <v/>
      </c>
      <c r="BN1702" s="28"/>
      <c r="BO1702" s="304" t="str">
        <f t="shared" si="1126"/>
        <v/>
      </c>
      <c r="BP1702" s="304" t="str">
        <f t="shared" si="1126"/>
        <v/>
      </c>
      <c r="BQ1702" s="28"/>
      <c r="BR1702" s="304" t="str">
        <f t="shared" si="1127"/>
        <v/>
      </c>
      <c r="BS1702" s="304" t="str">
        <f t="shared" si="1127"/>
        <v/>
      </c>
      <c r="BT1702" s="28"/>
      <c r="BU1702" s="304" t="str">
        <f t="shared" si="1128"/>
        <v/>
      </c>
      <c r="BV1702" s="304" t="str">
        <f t="shared" si="1128"/>
        <v/>
      </c>
      <c r="BW1702" s="28"/>
      <c r="BX1702" s="91"/>
    </row>
    <row r="1703" spans="1:76" s="55" customFormat="1" x14ac:dyDescent="0.25">
      <c r="A1703" s="195">
        <v>7</v>
      </c>
      <c r="B1703" s="216" t="str">
        <f t="shared" si="1117"/>
        <v xml:space="preserve">: </v>
      </c>
      <c r="C1703" s="221"/>
      <c r="D1703" s="221"/>
      <c r="E1703" s="221"/>
      <c r="F1703" s="221"/>
      <c r="G1703" s="240"/>
      <c r="H1703" s="221"/>
      <c r="I1703" s="240"/>
      <c r="J1703" s="241"/>
      <c r="K1703" s="241"/>
      <c r="L1703" s="227"/>
      <c r="M1703" s="227"/>
      <c r="N1703" s="227"/>
      <c r="O1703" s="227"/>
      <c r="P1703" s="122"/>
      <c r="Q1703" s="228"/>
      <c r="R1703" s="231" t="str">
        <f t="shared" si="1129"/>
        <v/>
      </c>
      <c r="S1703" s="230" t="str">
        <f t="shared" si="1118"/>
        <v/>
      </c>
      <c r="T1703" s="231" t="str">
        <f>IF(OR(Q1703="Y",IFERROR(R1703&gt;R1717+R1721*$AA$35,0),IFERROR(R1703&lt;R1717-R1721*$AA$35,0)),"",IFERROR(R1703*N1703,""))</f>
        <v/>
      </c>
      <c r="U1703" s="232" t="str">
        <f t="shared" si="1119"/>
        <v/>
      </c>
      <c r="V1703" s="28"/>
      <c r="W1703" s="28"/>
      <c r="Y1703" s="91"/>
      <c r="AO1703" s="91"/>
      <c r="AP1703" s="28"/>
      <c r="AQ1703" s="28"/>
      <c r="AR1703" s="237"/>
      <c r="AS1703" s="28"/>
      <c r="AT1703" s="304" t="str">
        <f t="shared" si="1130"/>
        <v/>
      </c>
      <c r="AU1703" s="304" t="str">
        <f t="shared" si="1130"/>
        <v/>
      </c>
      <c r="AV1703" s="28"/>
      <c r="AW1703" s="304" t="str">
        <f t="shared" si="1120"/>
        <v/>
      </c>
      <c r="AX1703" s="304" t="str">
        <f t="shared" si="1120"/>
        <v/>
      </c>
      <c r="AY1703" s="28"/>
      <c r="AZ1703" s="304" t="str">
        <f t="shared" si="1121"/>
        <v/>
      </c>
      <c r="BA1703" s="304" t="str">
        <f t="shared" si="1121"/>
        <v/>
      </c>
      <c r="BB1703" s="28"/>
      <c r="BC1703" s="304" t="str">
        <f t="shared" si="1122"/>
        <v/>
      </c>
      <c r="BD1703" s="304" t="str">
        <f t="shared" si="1122"/>
        <v/>
      </c>
      <c r="BE1703" s="28"/>
      <c r="BF1703" s="304" t="str">
        <f t="shared" si="1123"/>
        <v/>
      </c>
      <c r="BG1703" s="304" t="str">
        <f t="shared" si="1123"/>
        <v/>
      </c>
      <c r="BH1703" s="28"/>
      <c r="BI1703" s="304" t="str">
        <f t="shared" si="1124"/>
        <v/>
      </c>
      <c r="BJ1703" s="304" t="str">
        <f t="shared" si="1124"/>
        <v/>
      </c>
      <c r="BK1703" s="28"/>
      <c r="BL1703" s="304" t="str">
        <f t="shared" si="1125"/>
        <v/>
      </c>
      <c r="BM1703" s="304" t="str">
        <f t="shared" si="1125"/>
        <v/>
      </c>
      <c r="BN1703" s="28"/>
      <c r="BO1703" s="304" t="str">
        <f t="shared" si="1126"/>
        <v/>
      </c>
      <c r="BP1703" s="304" t="str">
        <f t="shared" si="1126"/>
        <v/>
      </c>
      <c r="BQ1703" s="28"/>
      <c r="BR1703" s="304" t="str">
        <f t="shared" si="1127"/>
        <v/>
      </c>
      <c r="BS1703" s="304" t="str">
        <f t="shared" si="1127"/>
        <v/>
      </c>
      <c r="BT1703" s="28"/>
      <c r="BU1703" s="304" t="str">
        <f t="shared" si="1128"/>
        <v/>
      </c>
      <c r="BV1703" s="304" t="str">
        <f t="shared" si="1128"/>
        <v/>
      </c>
      <c r="BW1703" s="28"/>
      <c r="BX1703" s="91"/>
    </row>
    <row r="1704" spans="1:76" s="55" customFormat="1" x14ac:dyDescent="0.25">
      <c r="A1704" s="195">
        <v>8</v>
      </c>
      <c r="B1704" s="216" t="str">
        <f t="shared" si="1117"/>
        <v xml:space="preserve">: </v>
      </c>
      <c r="C1704" s="221"/>
      <c r="D1704" s="221"/>
      <c r="E1704" s="221"/>
      <c r="F1704" s="221"/>
      <c r="G1704" s="240"/>
      <c r="H1704" s="221"/>
      <c r="I1704" s="240"/>
      <c r="J1704" s="241"/>
      <c r="K1704" s="241"/>
      <c r="L1704" s="227"/>
      <c r="M1704" s="227"/>
      <c r="N1704" s="227"/>
      <c r="O1704" s="227"/>
      <c r="P1704" s="122"/>
      <c r="Q1704" s="228"/>
      <c r="R1704" s="231" t="str">
        <f t="shared" si="1129"/>
        <v/>
      </c>
      <c r="S1704" s="230" t="str">
        <f t="shared" si="1118"/>
        <v/>
      </c>
      <c r="T1704" s="231" t="str">
        <f>IF(OR(Q1704="Y",IFERROR(R1704&gt;R1717+R1721*$AA$35,0),IFERROR(R1704&lt;R1717-R1721*$AA$35,0)),"",IFERROR(R1704*N1704,""))</f>
        <v/>
      </c>
      <c r="U1704" s="232" t="str">
        <f t="shared" si="1119"/>
        <v/>
      </c>
      <c r="V1704" s="28"/>
      <c r="W1704" s="28"/>
      <c r="Y1704" s="91"/>
      <c r="AO1704" s="91"/>
      <c r="AP1704" s="28"/>
      <c r="AQ1704" s="28"/>
      <c r="AR1704" s="237"/>
      <c r="AS1704" s="28"/>
      <c r="AT1704" s="304" t="str">
        <f t="shared" si="1130"/>
        <v/>
      </c>
      <c r="AU1704" s="304" t="str">
        <f t="shared" si="1130"/>
        <v/>
      </c>
      <c r="AV1704" s="28"/>
      <c r="AW1704" s="304" t="str">
        <f t="shared" si="1120"/>
        <v/>
      </c>
      <c r="AX1704" s="304" t="str">
        <f t="shared" si="1120"/>
        <v/>
      </c>
      <c r="AY1704" s="28"/>
      <c r="AZ1704" s="304" t="str">
        <f t="shared" si="1121"/>
        <v/>
      </c>
      <c r="BA1704" s="304" t="str">
        <f t="shared" si="1121"/>
        <v/>
      </c>
      <c r="BB1704" s="28"/>
      <c r="BC1704" s="304" t="str">
        <f t="shared" si="1122"/>
        <v/>
      </c>
      <c r="BD1704" s="304" t="str">
        <f t="shared" si="1122"/>
        <v/>
      </c>
      <c r="BE1704" s="28"/>
      <c r="BF1704" s="304" t="str">
        <f t="shared" si="1123"/>
        <v/>
      </c>
      <c r="BG1704" s="304" t="str">
        <f t="shared" si="1123"/>
        <v/>
      </c>
      <c r="BH1704" s="28"/>
      <c r="BI1704" s="304" t="str">
        <f t="shared" si="1124"/>
        <v/>
      </c>
      <c r="BJ1704" s="304" t="str">
        <f t="shared" si="1124"/>
        <v/>
      </c>
      <c r="BK1704" s="28"/>
      <c r="BL1704" s="304" t="str">
        <f t="shared" si="1125"/>
        <v/>
      </c>
      <c r="BM1704" s="304" t="str">
        <f t="shared" si="1125"/>
        <v/>
      </c>
      <c r="BN1704" s="28"/>
      <c r="BO1704" s="304" t="str">
        <f t="shared" si="1126"/>
        <v/>
      </c>
      <c r="BP1704" s="304" t="str">
        <f t="shared" si="1126"/>
        <v/>
      </c>
      <c r="BQ1704" s="28"/>
      <c r="BR1704" s="304" t="str">
        <f t="shared" si="1127"/>
        <v/>
      </c>
      <c r="BS1704" s="304" t="str">
        <f t="shared" si="1127"/>
        <v/>
      </c>
      <c r="BT1704" s="28"/>
      <c r="BU1704" s="304" t="str">
        <f t="shared" si="1128"/>
        <v/>
      </c>
      <c r="BV1704" s="304" t="str">
        <f t="shared" si="1128"/>
        <v/>
      </c>
      <c r="BW1704" s="28"/>
      <c r="BX1704" s="91"/>
    </row>
    <row r="1705" spans="1:76" s="55" customFormat="1" x14ac:dyDescent="0.25">
      <c r="A1705" s="195">
        <v>9</v>
      </c>
      <c r="B1705" s="216" t="str">
        <f t="shared" si="1117"/>
        <v xml:space="preserve">: </v>
      </c>
      <c r="C1705" s="221"/>
      <c r="D1705" s="221"/>
      <c r="E1705" s="221"/>
      <c r="F1705" s="221"/>
      <c r="G1705" s="240"/>
      <c r="H1705" s="221"/>
      <c r="I1705" s="240"/>
      <c r="J1705" s="241"/>
      <c r="K1705" s="241"/>
      <c r="L1705" s="227"/>
      <c r="M1705" s="227"/>
      <c r="N1705" s="227"/>
      <c r="O1705" s="227"/>
      <c r="P1705" s="122"/>
      <c r="Q1705" s="228"/>
      <c r="R1705" s="231" t="str">
        <f t="shared" si="1129"/>
        <v/>
      </c>
      <c r="S1705" s="230" t="str">
        <f t="shared" si="1118"/>
        <v/>
      </c>
      <c r="T1705" s="231" t="str">
        <f>IF(OR(Q1705="Y",IFERROR(R1705&gt;R1717+R1721*$AA$35,0),IFERROR(R1705&lt;R1717-R1721*$AA$35,0)),"",IFERROR(R1705*N1705,""))</f>
        <v/>
      </c>
      <c r="U1705" s="232" t="str">
        <f t="shared" si="1119"/>
        <v/>
      </c>
      <c r="V1705" s="28"/>
      <c r="W1705" s="28"/>
      <c r="Y1705" s="91"/>
      <c r="AO1705" s="91"/>
      <c r="AP1705" s="28"/>
      <c r="AQ1705" s="28"/>
      <c r="AR1705" s="237"/>
      <c r="AS1705" s="28"/>
      <c r="AT1705" s="304" t="str">
        <f t="shared" si="1130"/>
        <v/>
      </c>
      <c r="AU1705" s="304" t="str">
        <f t="shared" si="1130"/>
        <v/>
      </c>
      <c r="AV1705" s="28"/>
      <c r="AW1705" s="304" t="str">
        <f t="shared" si="1120"/>
        <v/>
      </c>
      <c r="AX1705" s="304" t="str">
        <f t="shared" si="1120"/>
        <v/>
      </c>
      <c r="AY1705" s="28"/>
      <c r="AZ1705" s="304" t="str">
        <f t="shared" si="1121"/>
        <v/>
      </c>
      <c r="BA1705" s="304" t="str">
        <f t="shared" si="1121"/>
        <v/>
      </c>
      <c r="BB1705" s="28"/>
      <c r="BC1705" s="304" t="str">
        <f t="shared" si="1122"/>
        <v/>
      </c>
      <c r="BD1705" s="304" t="str">
        <f t="shared" si="1122"/>
        <v/>
      </c>
      <c r="BE1705" s="28"/>
      <c r="BF1705" s="304" t="str">
        <f t="shared" si="1123"/>
        <v/>
      </c>
      <c r="BG1705" s="304" t="str">
        <f t="shared" si="1123"/>
        <v/>
      </c>
      <c r="BH1705" s="28"/>
      <c r="BI1705" s="304" t="str">
        <f t="shared" si="1124"/>
        <v/>
      </c>
      <c r="BJ1705" s="304" t="str">
        <f t="shared" si="1124"/>
        <v/>
      </c>
      <c r="BK1705" s="28"/>
      <c r="BL1705" s="304" t="str">
        <f t="shared" si="1125"/>
        <v/>
      </c>
      <c r="BM1705" s="304" t="str">
        <f t="shared" si="1125"/>
        <v/>
      </c>
      <c r="BN1705" s="28"/>
      <c r="BO1705" s="304" t="str">
        <f t="shared" si="1126"/>
        <v/>
      </c>
      <c r="BP1705" s="304" t="str">
        <f t="shared" si="1126"/>
        <v/>
      </c>
      <c r="BQ1705" s="28"/>
      <c r="BR1705" s="304" t="str">
        <f t="shared" si="1127"/>
        <v/>
      </c>
      <c r="BS1705" s="304" t="str">
        <f t="shared" si="1127"/>
        <v/>
      </c>
      <c r="BT1705" s="28"/>
      <c r="BU1705" s="304" t="str">
        <f t="shared" si="1128"/>
        <v/>
      </c>
      <c r="BV1705" s="304" t="str">
        <f t="shared" si="1128"/>
        <v/>
      </c>
      <c r="BW1705" s="28"/>
      <c r="BX1705" s="91"/>
    </row>
    <row r="1706" spans="1:76" s="55" customFormat="1" x14ac:dyDescent="0.25">
      <c r="A1706" s="195">
        <v>10</v>
      </c>
      <c r="B1706" s="216" t="str">
        <f t="shared" si="1117"/>
        <v xml:space="preserve">: </v>
      </c>
      <c r="C1706" s="221"/>
      <c r="D1706" s="221"/>
      <c r="E1706" s="221"/>
      <c r="F1706" s="221"/>
      <c r="G1706" s="240"/>
      <c r="H1706" s="221"/>
      <c r="I1706" s="240"/>
      <c r="J1706" s="241"/>
      <c r="K1706" s="241"/>
      <c r="L1706" s="227"/>
      <c r="M1706" s="227"/>
      <c r="N1706" s="227"/>
      <c r="O1706" s="227"/>
      <c r="P1706" s="122"/>
      <c r="Q1706" s="228"/>
      <c r="R1706" s="231" t="str">
        <f t="shared" si="1129"/>
        <v/>
      </c>
      <c r="S1706" s="230" t="str">
        <f t="shared" si="1118"/>
        <v/>
      </c>
      <c r="T1706" s="231" t="str">
        <f>IF(OR(Q1706="Y",IFERROR(R1706&gt;R1717+R1721*$AA$35,0),IFERROR(R1706&lt;R1717-R1721*$AA$35,0)),"",IFERROR(R1706*N1706,""))</f>
        <v/>
      </c>
      <c r="U1706" s="232" t="str">
        <f t="shared" si="1119"/>
        <v/>
      </c>
      <c r="V1706" s="28"/>
      <c r="W1706" s="28"/>
      <c r="Y1706" s="91"/>
      <c r="AO1706" s="91"/>
      <c r="AP1706" s="28"/>
      <c r="AQ1706" s="28"/>
      <c r="AR1706" s="237"/>
      <c r="AS1706" s="28"/>
      <c r="AT1706" s="304" t="str">
        <f t="shared" si="1130"/>
        <v/>
      </c>
      <c r="AU1706" s="304" t="str">
        <f t="shared" si="1130"/>
        <v/>
      </c>
      <c r="AV1706" s="28"/>
      <c r="AW1706" s="304" t="str">
        <f t="shared" si="1120"/>
        <v/>
      </c>
      <c r="AX1706" s="304" t="str">
        <f t="shared" si="1120"/>
        <v/>
      </c>
      <c r="AY1706" s="28"/>
      <c r="AZ1706" s="304" t="str">
        <f t="shared" si="1121"/>
        <v/>
      </c>
      <c r="BA1706" s="304" t="str">
        <f t="shared" si="1121"/>
        <v/>
      </c>
      <c r="BB1706" s="28"/>
      <c r="BC1706" s="304" t="str">
        <f t="shared" si="1122"/>
        <v/>
      </c>
      <c r="BD1706" s="304" t="str">
        <f t="shared" si="1122"/>
        <v/>
      </c>
      <c r="BE1706" s="28"/>
      <c r="BF1706" s="304" t="str">
        <f t="shared" si="1123"/>
        <v/>
      </c>
      <c r="BG1706" s="304" t="str">
        <f t="shared" si="1123"/>
        <v/>
      </c>
      <c r="BH1706" s="28"/>
      <c r="BI1706" s="304" t="str">
        <f t="shared" si="1124"/>
        <v/>
      </c>
      <c r="BJ1706" s="304" t="str">
        <f t="shared" si="1124"/>
        <v/>
      </c>
      <c r="BK1706" s="28"/>
      <c r="BL1706" s="304" t="str">
        <f t="shared" si="1125"/>
        <v/>
      </c>
      <c r="BM1706" s="304" t="str">
        <f t="shared" si="1125"/>
        <v/>
      </c>
      <c r="BN1706" s="28"/>
      <c r="BO1706" s="304" t="str">
        <f t="shared" si="1126"/>
        <v/>
      </c>
      <c r="BP1706" s="304" t="str">
        <f t="shared" si="1126"/>
        <v/>
      </c>
      <c r="BQ1706" s="28"/>
      <c r="BR1706" s="304" t="str">
        <f t="shared" si="1127"/>
        <v/>
      </c>
      <c r="BS1706" s="304" t="str">
        <f t="shared" si="1127"/>
        <v/>
      </c>
      <c r="BT1706" s="28"/>
      <c r="BU1706" s="304" t="str">
        <f t="shared" si="1128"/>
        <v/>
      </c>
      <c r="BV1706" s="304" t="str">
        <f t="shared" si="1128"/>
        <v/>
      </c>
      <c r="BW1706" s="28"/>
      <c r="BX1706" s="91"/>
    </row>
    <row r="1707" spans="1:76" s="55" customFormat="1" x14ac:dyDescent="0.25">
      <c r="A1707" s="195">
        <v>11</v>
      </c>
      <c r="B1707" s="216" t="str">
        <f t="shared" si="1117"/>
        <v xml:space="preserve">: </v>
      </c>
      <c r="C1707" s="221"/>
      <c r="D1707" s="221"/>
      <c r="E1707" s="221"/>
      <c r="F1707" s="221"/>
      <c r="G1707" s="240"/>
      <c r="H1707" s="221"/>
      <c r="I1707" s="240"/>
      <c r="J1707" s="241"/>
      <c r="K1707" s="241"/>
      <c r="L1707" s="227"/>
      <c r="M1707" s="227"/>
      <c r="N1707" s="227"/>
      <c r="O1707" s="227"/>
      <c r="P1707" s="122"/>
      <c r="Q1707" s="228"/>
      <c r="R1707" s="231" t="str">
        <f t="shared" si="1129"/>
        <v/>
      </c>
      <c r="S1707" s="230" t="str">
        <f t="shared" si="1118"/>
        <v/>
      </c>
      <c r="T1707" s="231" t="str">
        <f>IF(OR(Q1707="Y",IFERROR(R1707&gt;R1717+R1721*$AA$35,0),IFERROR(R1707&lt;R1717-R1721*$AA$35,0)),"",IFERROR(R1707*N1707,""))</f>
        <v/>
      </c>
      <c r="U1707" s="232" t="str">
        <f t="shared" si="1119"/>
        <v/>
      </c>
      <c r="V1707" s="28"/>
      <c r="W1707" s="28"/>
      <c r="Y1707" s="91"/>
      <c r="AO1707" s="91"/>
      <c r="AP1707" s="28"/>
      <c r="AQ1707" s="28"/>
      <c r="AR1707" s="237"/>
      <c r="AS1707" s="28"/>
      <c r="AT1707" s="304" t="str">
        <f t="shared" si="1130"/>
        <v/>
      </c>
      <c r="AU1707" s="304" t="str">
        <f t="shared" si="1130"/>
        <v/>
      </c>
      <c r="AV1707" s="28"/>
      <c r="AW1707" s="304" t="str">
        <f t="shared" si="1120"/>
        <v/>
      </c>
      <c r="AX1707" s="304" t="str">
        <f t="shared" si="1120"/>
        <v/>
      </c>
      <c r="AY1707" s="28"/>
      <c r="AZ1707" s="304" t="str">
        <f t="shared" si="1121"/>
        <v/>
      </c>
      <c r="BA1707" s="304" t="str">
        <f t="shared" si="1121"/>
        <v/>
      </c>
      <c r="BB1707" s="28"/>
      <c r="BC1707" s="304" t="str">
        <f t="shared" si="1122"/>
        <v/>
      </c>
      <c r="BD1707" s="304" t="str">
        <f t="shared" si="1122"/>
        <v/>
      </c>
      <c r="BE1707" s="28"/>
      <c r="BF1707" s="304" t="str">
        <f t="shared" si="1123"/>
        <v/>
      </c>
      <c r="BG1707" s="304" t="str">
        <f t="shared" si="1123"/>
        <v/>
      </c>
      <c r="BH1707" s="28"/>
      <c r="BI1707" s="304" t="str">
        <f t="shared" si="1124"/>
        <v/>
      </c>
      <c r="BJ1707" s="304" t="str">
        <f t="shared" si="1124"/>
        <v/>
      </c>
      <c r="BK1707" s="28"/>
      <c r="BL1707" s="304" t="str">
        <f t="shared" si="1125"/>
        <v/>
      </c>
      <c r="BM1707" s="304" t="str">
        <f t="shared" si="1125"/>
        <v/>
      </c>
      <c r="BN1707" s="28"/>
      <c r="BO1707" s="304" t="str">
        <f t="shared" si="1126"/>
        <v/>
      </c>
      <c r="BP1707" s="304" t="str">
        <f t="shared" si="1126"/>
        <v/>
      </c>
      <c r="BQ1707" s="28"/>
      <c r="BR1707" s="304" t="str">
        <f t="shared" si="1127"/>
        <v/>
      </c>
      <c r="BS1707" s="304" t="str">
        <f t="shared" si="1127"/>
        <v/>
      </c>
      <c r="BT1707" s="28"/>
      <c r="BU1707" s="304" t="str">
        <f t="shared" si="1128"/>
        <v/>
      </c>
      <c r="BV1707" s="304" t="str">
        <f t="shared" si="1128"/>
        <v/>
      </c>
      <c r="BW1707" s="28"/>
      <c r="BX1707" s="91"/>
    </row>
    <row r="1708" spans="1:76" s="55" customFormat="1" x14ac:dyDescent="0.25">
      <c r="A1708" s="195">
        <v>12</v>
      </c>
      <c r="B1708" s="216" t="str">
        <f t="shared" si="1117"/>
        <v xml:space="preserve">: </v>
      </c>
      <c r="C1708" s="221"/>
      <c r="D1708" s="221"/>
      <c r="E1708" s="221"/>
      <c r="F1708" s="221"/>
      <c r="G1708" s="240"/>
      <c r="H1708" s="221"/>
      <c r="I1708" s="240"/>
      <c r="J1708" s="241"/>
      <c r="K1708" s="241"/>
      <c r="L1708" s="227"/>
      <c r="M1708" s="227"/>
      <c r="N1708" s="227"/>
      <c r="O1708" s="227"/>
      <c r="P1708" s="122"/>
      <c r="Q1708" s="228"/>
      <c r="R1708" s="231" t="str">
        <f t="shared" si="1129"/>
        <v/>
      </c>
      <c r="S1708" s="230" t="str">
        <f t="shared" si="1118"/>
        <v/>
      </c>
      <c r="T1708" s="231" t="str">
        <f>IF(OR(Q1708="Y",IFERROR(R1708&gt;R1717+R1721*$AA$35,0),IFERROR(R1708&lt;R1717-R1721*$AA$35,0)),"",IFERROR(R1708*N1708,""))</f>
        <v/>
      </c>
      <c r="U1708" s="232" t="str">
        <f t="shared" si="1119"/>
        <v/>
      </c>
      <c r="V1708" s="28"/>
      <c r="W1708" s="28"/>
      <c r="Y1708" s="91"/>
      <c r="AO1708" s="91"/>
      <c r="AP1708" s="28"/>
      <c r="AQ1708" s="28"/>
      <c r="AR1708" s="237"/>
      <c r="AS1708" s="28"/>
      <c r="AT1708" s="304" t="str">
        <f t="shared" si="1130"/>
        <v/>
      </c>
      <c r="AU1708" s="304" t="str">
        <f t="shared" si="1130"/>
        <v/>
      </c>
      <c r="AV1708" s="28"/>
      <c r="AW1708" s="304" t="str">
        <f t="shared" si="1120"/>
        <v/>
      </c>
      <c r="AX1708" s="304" t="str">
        <f t="shared" si="1120"/>
        <v/>
      </c>
      <c r="AY1708" s="28"/>
      <c r="AZ1708" s="304" t="str">
        <f t="shared" si="1121"/>
        <v/>
      </c>
      <c r="BA1708" s="304" t="str">
        <f t="shared" si="1121"/>
        <v/>
      </c>
      <c r="BB1708" s="28"/>
      <c r="BC1708" s="304" t="str">
        <f t="shared" si="1122"/>
        <v/>
      </c>
      <c r="BD1708" s="304" t="str">
        <f t="shared" si="1122"/>
        <v/>
      </c>
      <c r="BE1708" s="28"/>
      <c r="BF1708" s="304" t="str">
        <f t="shared" si="1123"/>
        <v/>
      </c>
      <c r="BG1708" s="304" t="str">
        <f t="shared" si="1123"/>
        <v/>
      </c>
      <c r="BH1708" s="28"/>
      <c r="BI1708" s="304" t="str">
        <f t="shared" si="1124"/>
        <v/>
      </c>
      <c r="BJ1708" s="304" t="str">
        <f t="shared" si="1124"/>
        <v/>
      </c>
      <c r="BK1708" s="28"/>
      <c r="BL1708" s="304" t="str">
        <f t="shared" si="1125"/>
        <v/>
      </c>
      <c r="BM1708" s="304" t="str">
        <f t="shared" si="1125"/>
        <v/>
      </c>
      <c r="BN1708" s="28"/>
      <c r="BO1708" s="304" t="str">
        <f t="shared" si="1126"/>
        <v/>
      </c>
      <c r="BP1708" s="304" t="str">
        <f t="shared" si="1126"/>
        <v/>
      </c>
      <c r="BQ1708" s="28"/>
      <c r="BR1708" s="304" t="str">
        <f t="shared" si="1127"/>
        <v/>
      </c>
      <c r="BS1708" s="304" t="str">
        <f t="shared" si="1127"/>
        <v/>
      </c>
      <c r="BT1708" s="28"/>
      <c r="BU1708" s="304" t="str">
        <f t="shared" si="1128"/>
        <v/>
      </c>
      <c r="BV1708" s="304" t="str">
        <f t="shared" si="1128"/>
        <v/>
      </c>
      <c r="BW1708" s="28"/>
      <c r="BX1708" s="91"/>
    </row>
    <row r="1709" spans="1:76" s="55" customFormat="1" x14ac:dyDescent="0.25">
      <c r="A1709" s="195">
        <v>13</v>
      </c>
      <c r="B1709" s="216" t="str">
        <f t="shared" si="1117"/>
        <v xml:space="preserve">: </v>
      </c>
      <c r="C1709" s="221"/>
      <c r="D1709" s="221"/>
      <c r="E1709" s="221"/>
      <c r="F1709" s="221"/>
      <c r="G1709" s="240"/>
      <c r="H1709" s="221"/>
      <c r="I1709" s="240"/>
      <c r="J1709" s="241"/>
      <c r="K1709" s="241"/>
      <c r="L1709" s="227"/>
      <c r="M1709" s="227"/>
      <c r="N1709" s="227"/>
      <c r="O1709" s="227"/>
      <c r="P1709" s="122"/>
      <c r="Q1709" s="228"/>
      <c r="R1709" s="231" t="str">
        <f t="shared" si="1129"/>
        <v/>
      </c>
      <c r="S1709" s="230" t="str">
        <f t="shared" si="1118"/>
        <v/>
      </c>
      <c r="T1709" s="231" t="str">
        <f>IF(OR(Q1709="Y",IFERROR(R1709&gt;R1717+R1721*$AA$35,0),IFERROR(R1709&lt;R1717-R1721*$AA$35,0)),"",IFERROR(R1709*N1709,""))</f>
        <v/>
      </c>
      <c r="U1709" s="232" t="str">
        <f t="shared" si="1119"/>
        <v/>
      </c>
      <c r="V1709" s="28"/>
      <c r="W1709" s="28"/>
      <c r="Y1709" s="91"/>
      <c r="AO1709" s="91"/>
      <c r="AP1709" s="28"/>
      <c r="AQ1709" s="28"/>
      <c r="AR1709" s="237"/>
      <c r="AS1709" s="28"/>
      <c r="AT1709" s="304" t="str">
        <f t="shared" si="1130"/>
        <v/>
      </c>
      <c r="AU1709" s="304" t="str">
        <f t="shared" si="1130"/>
        <v/>
      </c>
      <c r="AV1709" s="28"/>
      <c r="AW1709" s="304" t="str">
        <f t="shared" si="1120"/>
        <v/>
      </c>
      <c r="AX1709" s="304" t="str">
        <f t="shared" si="1120"/>
        <v/>
      </c>
      <c r="AY1709" s="28"/>
      <c r="AZ1709" s="304" t="str">
        <f t="shared" si="1121"/>
        <v/>
      </c>
      <c r="BA1709" s="304" t="str">
        <f t="shared" si="1121"/>
        <v/>
      </c>
      <c r="BB1709" s="28"/>
      <c r="BC1709" s="304" t="str">
        <f t="shared" si="1122"/>
        <v/>
      </c>
      <c r="BD1709" s="304" t="str">
        <f t="shared" si="1122"/>
        <v/>
      </c>
      <c r="BE1709" s="28"/>
      <c r="BF1709" s="304" t="str">
        <f t="shared" si="1123"/>
        <v/>
      </c>
      <c r="BG1709" s="304" t="str">
        <f t="shared" si="1123"/>
        <v/>
      </c>
      <c r="BH1709" s="28"/>
      <c r="BI1709" s="304" t="str">
        <f t="shared" si="1124"/>
        <v/>
      </c>
      <c r="BJ1709" s="304" t="str">
        <f t="shared" si="1124"/>
        <v/>
      </c>
      <c r="BK1709" s="28"/>
      <c r="BL1709" s="304" t="str">
        <f t="shared" si="1125"/>
        <v/>
      </c>
      <c r="BM1709" s="304" t="str">
        <f t="shared" si="1125"/>
        <v/>
      </c>
      <c r="BN1709" s="28"/>
      <c r="BO1709" s="304" t="str">
        <f t="shared" si="1126"/>
        <v/>
      </c>
      <c r="BP1709" s="304" t="str">
        <f t="shared" si="1126"/>
        <v/>
      </c>
      <c r="BQ1709" s="28"/>
      <c r="BR1709" s="304" t="str">
        <f t="shared" si="1127"/>
        <v/>
      </c>
      <c r="BS1709" s="304" t="str">
        <f t="shared" si="1127"/>
        <v/>
      </c>
      <c r="BT1709" s="28"/>
      <c r="BU1709" s="304" t="str">
        <f t="shared" si="1128"/>
        <v/>
      </c>
      <c r="BV1709" s="304" t="str">
        <f t="shared" si="1128"/>
        <v/>
      </c>
      <c r="BW1709" s="28"/>
      <c r="BX1709" s="91"/>
    </row>
    <row r="1710" spans="1:76" s="55" customFormat="1" x14ac:dyDescent="0.25">
      <c r="A1710" s="195">
        <v>14</v>
      </c>
      <c r="B1710" s="216" t="str">
        <f t="shared" si="1117"/>
        <v xml:space="preserve">: </v>
      </c>
      <c r="C1710" s="221"/>
      <c r="D1710" s="221"/>
      <c r="E1710" s="221"/>
      <c r="F1710" s="221"/>
      <c r="G1710" s="240"/>
      <c r="H1710" s="221"/>
      <c r="I1710" s="240"/>
      <c r="J1710" s="241"/>
      <c r="K1710" s="241"/>
      <c r="L1710" s="227"/>
      <c r="M1710" s="227"/>
      <c r="N1710" s="227"/>
      <c r="O1710" s="227"/>
      <c r="P1710" s="122"/>
      <c r="Q1710" s="228"/>
      <c r="R1710" s="231" t="str">
        <f t="shared" si="1129"/>
        <v/>
      </c>
      <c r="S1710" s="230" t="str">
        <f t="shared" si="1118"/>
        <v/>
      </c>
      <c r="T1710" s="231" t="str">
        <f>IF(OR(Q1710="Y",IFERROR(R1710&gt;R1717+R1721*$AA$35,0),IFERROR(R1710&lt;R1717-R1721*$AA$35,0)),"",IFERROR(R1710*N1710,""))</f>
        <v/>
      </c>
      <c r="U1710" s="232" t="str">
        <f t="shared" si="1119"/>
        <v/>
      </c>
      <c r="V1710" s="28"/>
      <c r="W1710" s="28"/>
      <c r="Y1710" s="91"/>
      <c r="AO1710" s="91"/>
      <c r="AP1710" s="28"/>
      <c r="AQ1710" s="28"/>
      <c r="AR1710" s="237"/>
      <c r="AS1710" s="28"/>
      <c r="AT1710" s="304" t="str">
        <f t="shared" si="1130"/>
        <v/>
      </c>
      <c r="AU1710" s="304" t="str">
        <f t="shared" si="1130"/>
        <v/>
      </c>
      <c r="AV1710" s="28"/>
      <c r="AW1710" s="304" t="str">
        <f t="shared" si="1120"/>
        <v/>
      </c>
      <c r="AX1710" s="304" t="str">
        <f t="shared" si="1120"/>
        <v/>
      </c>
      <c r="AY1710" s="28"/>
      <c r="AZ1710" s="304" t="str">
        <f t="shared" si="1121"/>
        <v/>
      </c>
      <c r="BA1710" s="304" t="str">
        <f t="shared" si="1121"/>
        <v/>
      </c>
      <c r="BB1710" s="28"/>
      <c r="BC1710" s="304" t="str">
        <f t="shared" si="1122"/>
        <v/>
      </c>
      <c r="BD1710" s="304" t="str">
        <f t="shared" si="1122"/>
        <v/>
      </c>
      <c r="BE1710" s="28"/>
      <c r="BF1710" s="304" t="str">
        <f t="shared" si="1123"/>
        <v/>
      </c>
      <c r="BG1710" s="304" t="str">
        <f t="shared" si="1123"/>
        <v/>
      </c>
      <c r="BH1710" s="28"/>
      <c r="BI1710" s="304" t="str">
        <f t="shared" si="1124"/>
        <v/>
      </c>
      <c r="BJ1710" s="304" t="str">
        <f t="shared" si="1124"/>
        <v/>
      </c>
      <c r="BK1710" s="28"/>
      <c r="BL1710" s="304" t="str">
        <f t="shared" si="1125"/>
        <v/>
      </c>
      <c r="BM1710" s="304" t="str">
        <f t="shared" si="1125"/>
        <v/>
      </c>
      <c r="BN1710" s="28"/>
      <c r="BO1710" s="304" t="str">
        <f t="shared" si="1126"/>
        <v/>
      </c>
      <c r="BP1710" s="304" t="str">
        <f t="shared" si="1126"/>
        <v/>
      </c>
      <c r="BQ1710" s="28"/>
      <c r="BR1710" s="304" t="str">
        <f t="shared" si="1127"/>
        <v/>
      </c>
      <c r="BS1710" s="304" t="str">
        <f t="shared" si="1127"/>
        <v/>
      </c>
      <c r="BT1710" s="28"/>
      <c r="BU1710" s="304" t="str">
        <f t="shared" si="1128"/>
        <v/>
      </c>
      <c r="BV1710" s="304" t="str">
        <f t="shared" si="1128"/>
        <v/>
      </c>
      <c r="BW1710" s="28"/>
      <c r="BX1710" s="91"/>
    </row>
    <row r="1711" spans="1:76" s="55" customFormat="1" x14ac:dyDescent="0.25">
      <c r="A1711" s="195">
        <v>15</v>
      </c>
      <c r="B1711" s="216" t="str">
        <f t="shared" si="1117"/>
        <v xml:space="preserve">: </v>
      </c>
      <c r="C1711" s="221"/>
      <c r="D1711" s="221"/>
      <c r="E1711" s="221"/>
      <c r="F1711" s="221"/>
      <c r="G1711" s="240"/>
      <c r="H1711" s="221"/>
      <c r="I1711" s="240"/>
      <c r="J1711" s="241"/>
      <c r="K1711" s="241"/>
      <c r="L1711" s="227"/>
      <c r="M1711" s="227"/>
      <c r="N1711" s="227"/>
      <c r="O1711" s="227"/>
      <c r="P1711" s="122"/>
      <c r="Q1711" s="228"/>
      <c r="R1711" s="231" t="str">
        <f t="shared" si="1129"/>
        <v/>
      </c>
      <c r="S1711" s="230" t="str">
        <f t="shared" si="1118"/>
        <v/>
      </c>
      <c r="T1711" s="231" t="str">
        <f>IF(OR(Q1711="Y",IFERROR(R1711&gt;R1717+R1721*$AA$35,0),IFERROR(R1711&lt;R1717-R1721*$AA$35,0)),"",IFERROR(R1711*N1711,""))</f>
        <v/>
      </c>
      <c r="U1711" s="232" t="str">
        <f t="shared" si="1119"/>
        <v/>
      </c>
      <c r="V1711" s="28"/>
      <c r="W1711" s="28"/>
      <c r="Y1711" s="91"/>
      <c r="AO1711" s="91"/>
      <c r="AP1711" s="28"/>
      <c r="AQ1711" s="28"/>
      <c r="AR1711" s="237"/>
      <c r="AS1711" s="28"/>
      <c r="AT1711" s="304" t="str">
        <f t="shared" si="1130"/>
        <v/>
      </c>
      <c r="AU1711" s="304" t="str">
        <f t="shared" si="1130"/>
        <v/>
      </c>
      <c r="AV1711" s="28"/>
      <c r="AW1711" s="304" t="str">
        <f t="shared" si="1120"/>
        <v/>
      </c>
      <c r="AX1711" s="304" t="str">
        <f t="shared" si="1120"/>
        <v/>
      </c>
      <c r="AY1711" s="28"/>
      <c r="AZ1711" s="304" t="str">
        <f t="shared" si="1121"/>
        <v/>
      </c>
      <c r="BA1711" s="304" t="str">
        <f t="shared" si="1121"/>
        <v/>
      </c>
      <c r="BB1711" s="28"/>
      <c r="BC1711" s="304" t="str">
        <f t="shared" si="1122"/>
        <v/>
      </c>
      <c r="BD1711" s="304" t="str">
        <f t="shared" si="1122"/>
        <v/>
      </c>
      <c r="BE1711" s="28"/>
      <c r="BF1711" s="304" t="str">
        <f t="shared" si="1123"/>
        <v/>
      </c>
      <c r="BG1711" s="304" t="str">
        <f t="shared" si="1123"/>
        <v/>
      </c>
      <c r="BH1711" s="28"/>
      <c r="BI1711" s="304" t="str">
        <f t="shared" si="1124"/>
        <v/>
      </c>
      <c r="BJ1711" s="304" t="str">
        <f t="shared" si="1124"/>
        <v/>
      </c>
      <c r="BK1711" s="28"/>
      <c r="BL1711" s="304" t="str">
        <f t="shared" si="1125"/>
        <v/>
      </c>
      <c r="BM1711" s="304" t="str">
        <f t="shared" si="1125"/>
        <v/>
      </c>
      <c r="BN1711" s="28"/>
      <c r="BO1711" s="304" t="str">
        <f t="shared" si="1126"/>
        <v/>
      </c>
      <c r="BP1711" s="304" t="str">
        <f t="shared" si="1126"/>
        <v/>
      </c>
      <c r="BQ1711" s="28"/>
      <c r="BR1711" s="304" t="str">
        <f t="shared" si="1127"/>
        <v/>
      </c>
      <c r="BS1711" s="304" t="str">
        <f t="shared" si="1127"/>
        <v/>
      </c>
      <c r="BT1711" s="28"/>
      <c r="BU1711" s="304" t="str">
        <f t="shared" si="1128"/>
        <v/>
      </c>
      <c r="BV1711" s="304" t="str">
        <f t="shared" si="1128"/>
        <v/>
      </c>
      <c r="BW1711" s="28"/>
      <c r="BX1711" s="91"/>
    </row>
    <row r="1712" spans="1:76" s="55" customFormat="1" x14ac:dyDescent="0.25">
      <c r="A1712" s="195">
        <v>16</v>
      </c>
      <c r="B1712" s="216" t="str">
        <f t="shared" si="1117"/>
        <v xml:space="preserve">: </v>
      </c>
      <c r="C1712" s="221"/>
      <c r="D1712" s="221"/>
      <c r="E1712" s="221"/>
      <c r="F1712" s="221"/>
      <c r="G1712" s="240"/>
      <c r="H1712" s="221"/>
      <c r="I1712" s="240"/>
      <c r="J1712" s="241"/>
      <c r="K1712" s="241"/>
      <c r="L1712" s="227"/>
      <c r="M1712" s="227"/>
      <c r="N1712" s="227"/>
      <c r="O1712" s="227"/>
      <c r="P1712" s="122"/>
      <c r="Q1712" s="228"/>
      <c r="R1712" s="231" t="str">
        <f t="shared" si="1129"/>
        <v/>
      </c>
      <c r="S1712" s="230" t="str">
        <f t="shared" si="1118"/>
        <v/>
      </c>
      <c r="T1712" s="231" t="str">
        <f>IF(OR(Q1712="Y",IFERROR(R1712&gt;R1717+R1721*$AA$35,0),IFERROR(R1712&lt;R1717-R1721*$AA$35,0)),"",IFERROR(R1712*N1712,""))</f>
        <v/>
      </c>
      <c r="U1712" s="232" t="str">
        <f t="shared" si="1119"/>
        <v/>
      </c>
      <c r="V1712" s="28"/>
      <c r="W1712" s="28"/>
      <c r="Y1712" s="91"/>
      <c r="AO1712" s="91"/>
      <c r="AP1712" s="28"/>
      <c r="AQ1712" s="28"/>
      <c r="AR1712" s="237"/>
      <c r="AS1712" s="28"/>
      <c r="AT1712" s="304" t="str">
        <f t="shared" si="1130"/>
        <v/>
      </c>
      <c r="AU1712" s="304" t="str">
        <f t="shared" si="1130"/>
        <v/>
      </c>
      <c r="AV1712" s="28"/>
      <c r="AW1712" s="304" t="str">
        <f t="shared" si="1120"/>
        <v/>
      </c>
      <c r="AX1712" s="304" t="str">
        <f t="shared" si="1120"/>
        <v/>
      </c>
      <c r="AY1712" s="28"/>
      <c r="AZ1712" s="304" t="str">
        <f t="shared" si="1121"/>
        <v/>
      </c>
      <c r="BA1712" s="304" t="str">
        <f t="shared" si="1121"/>
        <v/>
      </c>
      <c r="BB1712" s="28"/>
      <c r="BC1712" s="304" t="str">
        <f t="shared" si="1122"/>
        <v/>
      </c>
      <c r="BD1712" s="304" t="str">
        <f t="shared" si="1122"/>
        <v/>
      </c>
      <c r="BE1712" s="28"/>
      <c r="BF1712" s="304" t="str">
        <f t="shared" si="1123"/>
        <v/>
      </c>
      <c r="BG1712" s="304" t="str">
        <f t="shared" si="1123"/>
        <v/>
      </c>
      <c r="BH1712" s="28"/>
      <c r="BI1712" s="304" t="str">
        <f t="shared" si="1124"/>
        <v/>
      </c>
      <c r="BJ1712" s="304" t="str">
        <f t="shared" si="1124"/>
        <v/>
      </c>
      <c r="BK1712" s="28"/>
      <c r="BL1712" s="304" t="str">
        <f t="shared" si="1125"/>
        <v/>
      </c>
      <c r="BM1712" s="304" t="str">
        <f t="shared" si="1125"/>
        <v/>
      </c>
      <c r="BN1712" s="28"/>
      <c r="BO1712" s="304" t="str">
        <f t="shared" si="1126"/>
        <v/>
      </c>
      <c r="BP1712" s="304" t="str">
        <f t="shared" si="1126"/>
        <v/>
      </c>
      <c r="BQ1712" s="28"/>
      <c r="BR1712" s="304" t="str">
        <f t="shared" si="1127"/>
        <v/>
      </c>
      <c r="BS1712" s="304" t="str">
        <f t="shared" si="1127"/>
        <v/>
      </c>
      <c r="BT1712" s="28"/>
      <c r="BU1712" s="304" t="str">
        <f t="shared" si="1128"/>
        <v/>
      </c>
      <c r="BV1712" s="304" t="str">
        <f t="shared" si="1128"/>
        <v/>
      </c>
      <c r="BW1712" s="28"/>
      <c r="BX1712" s="91"/>
    </row>
    <row r="1713" spans="1:76" s="55" customFormat="1" x14ac:dyDescent="0.25">
      <c r="A1713" s="195">
        <v>17</v>
      </c>
      <c r="B1713" s="216" t="str">
        <f t="shared" si="1117"/>
        <v xml:space="preserve">: </v>
      </c>
      <c r="C1713" s="221"/>
      <c r="D1713" s="221"/>
      <c r="E1713" s="221"/>
      <c r="F1713" s="221"/>
      <c r="G1713" s="240"/>
      <c r="H1713" s="221"/>
      <c r="I1713" s="240"/>
      <c r="J1713" s="241"/>
      <c r="K1713" s="241"/>
      <c r="L1713" s="227"/>
      <c r="M1713" s="227"/>
      <c r="N1713" s="227"/>
      <c r="O1713" s="227"/>
      <c r="P1713" s="122"/>
      <c r="Q1713" s="228"/>
      <c r="R1713" s="231" t="str">
        <f t="shared" si="1129"/>
        <v/>
      </c>
      <c r="S1713" s="230" t="str">
        <f t="shared" si="1118"/>
        <v/>
      </c>
      <c r="T1713" s="231" t="str">
        <f>IF(OR(Q1713="Y",IFERROR(R1713&gt;R1717+R1721*$AA$35,0),IFERROR(R1713&lt;R1717-R1721*$AA$35,0)),"",IFERROR(R1713*N1713,""))</f>
        <v/>
      </c>
      <c r="U1713" s="232" t="str">
        <f t="shared" si="1119"/>
        <v/>
      </c>
      <c r="V1713" s="28"/>
      <c r="W1713" s="28"/>
      <c r="Y1713" s="91"/>
      <c r="AO1713" s="91"/>
      <c r="AP1713" s="28"/>
      <c r="AQ1713" s="28"/>
      <c r="AR1713" s="237"/>
      <c r="AS1713" s="28"/>
      <c r="AT1713" s="304" t="str">
        <f t="shared" si="1130"/>
        <v/>
      </c>
      <c r="AU1713" s="304" t="str">
        <f t="shared" si="1130"/>
        <v/>
      </c>
      <c r="AV1713" s="28"/>
      <c r="AW1713" s="304" t="str">
        <f t="shared" si="1120"/>
        <v/>
      </c>
      <c r="AX1713" s="304" t="str">
        <f t="shared" si="1120"/>
        <v/>
      </c>
      <c r="AY1713" s="28"/>
      <c r="AZ1713" s="304" t="str">
        <f t="shared" si="1121"/>
        <v/>
      </c>
      <c r="BA1713" s="304" t="str">
        <f t="shared" si="1121"/>
        <v/>
      </c>
      <c r="BB1713" s="28"/>
      <c r="BC1713" s="304" t="str">
        <f t="shared" si="1122"/>
        <v/>
      </c>
      <c r="BD1713" s="304" t="str">
        <f t="shared" si="1122"/>
        <v/>
      </c>
      <c r="BE1713" s="28"/>
      <c r="BF1713" s="304" t="str">
        <f t="shared" si="1123"/>
        <v/>
      </c>
      <c r="BG1713" s="304" t="str">
        <f t="shared" si="1123"/>
        <v/>
      </c>
      <c r="BH1713" s="28"/>
      <c r="BI1713" s="304" t="str">
        <f t="shared" si="1124"/>
        <v/>
      </c>
      <c r="BJ1713" s="304" t="str">
        <f t="shared" si="1124"/>
        <v/>
      </c>
      <c r="BK1713" s="28"/>
      <c r="BL1713" s="304" t="str">
        <f t="shared" si="1125"/>
        <v/>
      </c>
      <c r="BM1713" s="304" t="str">
        <f t="shared" si="1125"/>
        <v/>
      </c>
      <c r="BN1713" s="28"/>
      <c r="BO1713" s="304" t="str">
        <f t="shared" si="1126"/>
        <v/>
      </c>
      <c r="BP1713" s="304" t="str">
        <f t="shared" si="1126"/>
        <v/>
      </c>
      <c r="BQ1713" s="28"/>
      <c r="BR1713" s="304" t="str">
        <f t="shared" si="1127"/>
        <v/>
      </c>
      <c r="BS1713" s="304" t="str">
        <f t="shared" si="1127"/>
        <v/>
      </c>
      <c r="BT1713" s="28"/>
      <c r="BU1713" s="304" t="str">
        <f t="shared" si="1128"/>
        <v/>
      </c>
      <c r="BV1713" s="304" t="str">
        <f t="shared" si="1128"/>
        <v/>
      </c>
      <c r="BW1713" s="28"/>
      <c r="BX1713" s="91"/>
    </row>
    <row r="1714" spans="1:76" s="55" customFormat="1" x14ac:dyDescent="0.25">
      <c r="A1714" s="195">
        <v>18</v>
      </c>
      <c r="B1714" s="216" t="str">
        <f t="shared" si="1117"/>
        <v xml:space="preserve">: </v>
      </c>
      <c r="C1714" s="221"/>
      <c r="D1714" s="221"/>
      <c r="E1714" s="221"/>
      <c r="F1714" s="221"/>
      <c r="G1714" s="240"/>
      <c r="H1714" s="221"/>
      <c r="I1714" s="240"/>
      <c r="J1714" s="241"/>
      <c r="K1714" s="241"/>
      <c r="L1714" s="227"/>
      <c r="M1714" s="227"/>
      <c r="N1714" s="227"/>
      <c r="O1714" s="227"/>
      <c r="P1714" s="122"/>
      <c r="Q1714" s="228"/>
      <c r="R1714" s="231" t="str">
        <f t="shared" si="1129"/>
        <v/>
      </c>
      <c r="S1714" s="230" t="str">
        <f t="shared" si="1118"/>
        <v/>
      </c>
      <c r="T1714" s="231" t="str">
        <f>IF(OR(Q1714="Y",IFERROR(R1714&gt;R1717+R1721*$AA$35,0),IFERROR(R1714&lt;R1717-R1721*$AA$35,0)),"",IFERROR(R1714*N1714,""))</f>
        <v/>
      </c>
      <c r="U1714" s="232" t="str">
        <f t="shared" si="1119"/>
        <v/>
      </c>
      <c r="V1714" s="28"/>
      <c r="W1714" s="28"/>
      <c r="Y1714" s="91"/>
      <c r="AO1714" s="91"/>
      <c r="AP1714" s="28"/>
      <c r="AQ1714" s="28"/>
      <c r="AR1714" s="237"/>
      <c r="AS1714" s="28"/>
      <c r="AT1714" s="304" t="str">
        <f t="shared" si="1130"/>
        <v/>
      </c>
      <c r="AU1714" s="304" t="str">
        <f t="shared" si="1130"/>
        <v/>
      </c>
      <c r="AV1714" s="28"/>
      <c r="AW1714" s="304" t="str">
        <f t="shared" si="1120"/>
        <v/>
      </c>
      <c r="AX1714" s="304" t="str">
        <f t="shared" si="1120"/>
        <v/>
      </c>
      <c r="AY1714" s="28"/>
      <c r="AZ1714" s="304" t="str">
        <f t="shared" si="1121"/>
        <v/>
      </c>
      <c r="BA1714" s="304" t="str">
        <f t="shared" si="1121"/>
        <v/>
      </c>
      <c r="BB1714" s="28"/>
      <c r="BC1714" s="304" t="str">
        <f t="shared" si="1122"/>
        <v/>
      </c>
      <c r="BD1714" s="304" t="str">
        <f t="shared" si="1122"/>
        <v/>
      </c>
      <c r="BE1714" s="28"/>
      <c r="BF1714" s="304" t="str">
        <f t="shared" si="1123"/>
        <v/>
      </c>
      <c r="BG1714" s="304" t="str">
        <f t="shared" si="1123"/>
        <v/>
      </c>
      <c r="BH1714" s="28"/>
      <c r="BI1714" s="304" t="str">
        <f t="shared" si="1124"/>
        <v/>
      </c>
      <c r="BJ1714" s="304" t="str">
        <f t="shared" si="1124"/>
        <v/>
      </c>
      <c r="BK1714" s="28"/>
      <c r="BL1714" s="304" t="str">
        <f t="shared" si="1125"/>
        <v/>
      </c>
      <c r="BM1714" s="304" t="str">
        <f t="shared" si="1125"/>
        <v/>
      </c>
      <c r="BN1714" s="28"/>
      <c r="BO1714" s="304" t="str">
        <f t="shared" si="1126"/>
        <v/>
      </c>
      <c r="BP1714" s="304" t="str">
        <f t="shared" si="1126"/>
        <v/>
      </c>
      <c r="BQ1714" s="28"/>
      <c r="BR1714" s="304" t="str">
        <f t="shared" si="1127"/>
        <v/>
      </c>
      <c r="BS1714" s="304" t="str">
        <f t="shared" si="1127"/>
        <v/>
      </c>
      <c r="BT1714" s="28"/>
      <c r="BU1714" s="304" t="str">
        <f t="shared" si="1128"/>
        <v/>
      </c>
      <c r="BV1714" s="304" t="str">
        <f t="shared" si="1128"/>
        <v/>
      </c>
      <c r="BW1714" s="28"/>
      <c r="BX1714" s="91"/>
    </row>
    <row r="1715" spans="1:76" s="55" customFormat="1" x14ac:dyDescent="0.25">
      <c r="A1715" s="195">
        <v>19</v>
      </c>
      <c r="B1715" s="216" t="str">
        <f t="shared" si="1117"/>
        <v xml:space="preserve">: </v>
      </c>
      <c r="C1715" s="221"/>
      <c r="D1715" s="221"/>
      <c r="E1715" s="221"/>
      <c r="F1715" s="221"/>
      <c r="G1715" s="240"/>
      <c r="H1715" s="221"/>
      <c r="I1715" s="240"/>
      <c r="J1715" s="241"/>
      <c r="K1715" s="241"/>
      <c r="L1715" s="227"/>
      <c r="M1715" s="227"/>
      <c r="N1715" s="227"/>
      <c r="O1715" s="227"/>
      <c r="P1715" s="122"/>
      <c r="Q1715" s="228"/>
      <c r="R1715" s="231" t="str">
        <f t="shared" si="1129"/>
        <v/>
      </c>
      <c r="S1715" s="230" t="str">
        <f t="shared" si="1118"/>
        <v/>
      </c>
      <c r="T1715" s="231" t="str">
        <f>IF(OR(Q1715="Y",IFERROR(R1715&gt;R1717+R1721*$AA$35,0),IFERROR(R1715&lt;R1717-R1721*$AA$35,0)),"",IFERROR(R1715*N1715,""))</f>
        <v/>
      </c>
      <c r="U1715" s="232" t="str">
        <f t="shared" si="1119"/>
        <v/>
      </c>
      <c r="V1715" s="28"/>
      <c r="W1715" s="28"/>
      <c r="Y1715" s="91"/>
      <c r="AO1715" s="91"/>
      <c r="AP1715" s="28"/>
      <c r="AQ1715" s="28"/>
      <c r="AR1715" s="237"/>
      <c r="AS1715" s="28"/>
      <c r="AT1715" s="304" t="str">
        <f t="shared" si="1130"/>
        <v/>
      </c>
      <c r="AU1715" s="304" t="str">
        <f t="shared" si="1130"/>
        <v/>
      </c>
      <c r="AV1715" s="28"/>
      <c r="AW1715" s="304" t="str">
        <f t="shared" si="1120"/>
        <v/>
      </c>
      <c r="AX1715" s="304" t="str">
        <f t="shared" si="1120"/>
        <v/>
      </c>
      <c r="AY1715" s="28"/>
      <c r="AZ1715" s="304" t="str">
        <f t="shared" si="1121"/>
        <v/>
      </c>
      <c r="BA1715" s="304" t="str">
        <f t="shared" si="1121"/>
        <v/>
      </c>
      <c r="BB1715" s="28"/>
      <c r="BC1715" s="304" t="str">
        <f t="shared" si="1122"/>
        <v/>
      </c>
      <c r="BD1715" s="304" t="str">
        <f t="shared" si="1122"/>
        <v/>
      </c>
      <c r="BE1715" s="28"/>
      <c r="BF1715" s="304" t="str">
        <f t="shared" si="1123"/>
        <v/>
      </c>
      <c r="BG1715" s="304" t="str">
        <f t="shared" si="1123"/>
        <v/>
      </c>
      <c r="BH1715" s="28"/>
      <c r="BI1715" s="304" t="str">
        <f t="shared" si="1124"/>
        <v/>
      </c>
      <c r="BJ1715" s="304" t="str">
        <f t="shared" si="1124"/>
        <v/>
      </c>
      <c r="BK1715" s="28"/>
      <c r="BL1715" s="304" t="str">
        <f t="shared" si="1125"/>
        <v/>
      </c>
      <c r="BM1715" s="304" t="str">
        <f t="shared" si="1125"/>
        <v/>
      </c>
      <c r="BN1715" s="28"/>
      <c r="BO1715" s="304" t="str">
        <f t="shared" si="1126"/>
        <v/>
      </c>
      <c r="BP1715" s="304" t="str">
        <f t="shared" si="1126"/>
        <v/>
      </c>
      <c r="BQ1715" s="28"/>
      <c r="BR1715" s="304" t="str">
        <f t="shared" si="1127"/>
        <v/>
      </c>
      <c r="BS1715" s="304" t="str">
        <f t="shared" si="1127"/>
        <v/>
      </c>
      <c r="BT1715" s="28"/>
      <c r="BU1715" s="304" t="str">
        <f t="shared" si="1128"/>
        <v/>
      </c>
      <c r="BV1715" s="304" t="str">
        <f t="shared" si="1128"/>
        <v/>
      </c>
      <c r="BW1715" s="28"/>
      <c r="BX1715" s="91"/>
    </row>
    <row r="1716" spans="1:76" s="55" customFormat="1" x14ac:dyDescent="0.25">
      <c r="A1716" s="195">
        <v>20</v>
      </c>
      <c r="B1716" s="216" t="str">
        <f t="shared" si="1117"/>
        <v xml:space="preserve">: </v>
      </c>
      <c r="C1716" s="221"/>
      <c r="D1716" s="221"/>
      <c r="E1716" s="221"/>
      <c r="F1716" s="221"/>
      <c r="G1716" s="240"/>
      <c r="H1716" s="221"/>
      <c r="I1716" s="240"/>
      <c r="J1716" s="241"/>
      <c r="K1716" s="241"/>
      <c r="L1716" s="227"/>
      <c r="M1716" s="227"/>
      <c r="N1716" s="227"/>
      <c r="O1716" s="227"/>
      <c r="P1716" s="122"/>
      <c r="Q1716" s="228"/>
      <c r="R1716" s="231" t="str">
        <f t="shared" si="1129"/>
        <v/>
      </c>
      <c r="S1716" s="230" t="str">
        <f t="shared" si="1118"/>
        <v/>
      </c>
      <c r="T1716" s="231" t="str">
        <f>IF(OR(Q1716="Y",IFERROR(R1716&gt;R1717+R1721*$AA$35,0),IFERROR(R1716&lt;R1717-R1721*$AA$35,0)),"",IFERROR(R1716*N1716,""))</f>
        <v/>
      </c>
      <c r="U1716" s="232" t="str">
        <f t="shared" si="1119"/>
        <v/>
      </c>
      <c r="V1716" s="28"/>
      <c r="W1716" s="28"/>
      <c r="Y1716" s="91"/>
      <c r="AO1716" s="91"/>
      <c r="AP1716" s="28"/>
      <c r="AQ1716" s="28"/>
      <c r="AR1716" s="237"/>
      <c r="AS1716" s="28"/>
      <c r="AT1716" s="304" t="str">
        <f t="shared" si="1130"/>
        <v/>
      </c>
      <c r="AU1716" s="304" t="str">
        <f t="shared" si="1130"/>
        <v/>
      </c>
      <c r="AV1716" s="28"/>
      <c r="AW1716" s="304" t="str">
        <f t="shared" si="1120"/>
        <v/>
      </c>
      <c r="AX1716" s="304" t="str">
        <f t="shared" si="1120"/>
        <v/>
      </c>
      <c r="AY1716" s="28"/>
      <c r="AZ1716" s="304" t="str">
        <f t="shared" si="1121"/>
        <v/>
      </c>
      <c r="BA1716" s="304" t="str">
        <f t="shared" si="1121"/>
        <v/>
      </c>
      <c r="BB1716" s="28"/>
      <c r="BC1716" s="304" t="str">
        <f t="shared" si="1122"/>
        <v/>
      </c>
      <c r="BD1716" s="304" t="str">
        <f t="shared" si="1122"/>
        <v/>
      </c>
      <c r="BE1716" s="28"/>
      <c r="BF1716" s="304" t="str">
        <f t="shared" si="1123"/>
        <v/>
      </c>
      <c r="BG1716" s="304" t="str">
        <f t="shared" si="1123"/>
        <v/>
      </c>
      <c r="BH1716" s="28"/>
      <c r="BI1716" s="304" t="str">
        <f t="shared" si="1124"/>
        <v/>
      </c>
      <c r="BJ1716" s="304" t="str">
        <f t="shared" si="1124"/>
        <v/>
      </c>
      <c r="BK1716" s="28"/>
      <c r="BL1716" s="304" t="str">
        <f t="shared" si="1125"/>
        <v/>
      </c>
      <c r="BM1716" s="304" t="str">
        <f t="shared" si="1125"/>
        <v/>
      </c>
      <c r="BN1716" s="28"/>
      <c r="BO1716" s="304" t="str">
        <f t="shared" si="1126"/>
        <v/>
      </c>
      <c r="BP1716" s="304" t="str">
        <f t="shared" si="1126"/>
        <v/>
      </c>
      <c r="BQ1716" s="28"/>
      <c r="BR1716" s="304" t="str">
        <f t="shared" si="1127"/>
        <v/>
      </c>
      <c r="BS1716" s="304" t="str">
        <f t="shared" si="1127"/>
        <v/>
      </c>
      <c r="BT1716" s="28"/>
      <c r="BU1716" s="304" t="str">
        <f t="shared" si="1128"/>
        <v/>
      </c>
      <c r="BV1716" s="304" t="str">
        <f t="shared" si="1128"/>
        <v/>
      </c>
      <c r="BW1716" s="28"/>
      <c r="BX1716" s="91"/>
    </row>
    <row r="1717" spans="1:76" s="55" customFormat="1" x14ac:dyDescent="0.25">
      <c r="A1717" s="195"/>
      <c r="B1717" s="244" t="s">
        <v>163</v>
      </c>
      <c r="C1717" s="199"/>
      <c r="D1717" s="199"/>
      <c r="E1717" s="199"/>
      <c r="F1717" s="199"/>
      <c r="H1717" s="28"/>
      <c r="I1717" s="245"/>
      <c r="J1717" s="122"/>
      <c r="K1717" s="122"/>
      <c r="L1717" s="122" t="s">
        <v>134</v>
      </c>
      <c r="M1717" s="122"/>
      <c r="N1717" s="122"/>
      <c r="O1717" s="122"/>
      <c r="P1717" s="122"/>
      <c r="Q1717" s="305" t="s">
        <v>136</v>
      </c>
      <c r="R1717" s="246" t="e">
        <f>AVERAGE(R1697:R1716)</f>
        <v>#DIV/0!</v>
      </c>
      <c r="S1717" s="247" t="e">
        <f>IF(R1725="Y",SUM(S1697:S1716)/SUMPRODUCT(N1697:N1716,--ISNUMBER(S1697:S1716)),AVERAGE(S1697:S1716))</f>
        <v>#DIV/0!</v>
      </c>
      <c r="T1717" s="248" t="e">
        <f>SUM(T1697:T1716)/SUMPRODUCT(N1697:N1716,--ISNUMBER(T1697:T1716))</f>
        <v>#DIV/0!</v>
      </c>
      <c r="U1717" s="28"/>
      <c r="V1717" s="28"/>
      <c r="W1717" s="28"/>
      <c r="Y1717" s="249"/>
      <c r="AO1717" s="91"/>
      <c r="AP1717" s="28"/>
      <c r="AQ1717" s="28"/>
      <c r="AR1717" s="28"/>
      <c r="AS1717" s="245" t="s">
        <v>136</v>
      </c>
      <c r="AT1717" s="307" t="e">
        <f>AVERAGE(AT1697:AT1716)</f>
        <v>#DIV/0!</v>
      </c>
      <c r="AU1717" s="307" t="e">
        <f>SUM(AU1697:AU1716)/COUNTIF(AU1697:AU1716,"&gt;0")</f>
        <v>#DIV/0!</v>
      </c>
      <c r="AV1717" s="245"/>
      <c r="AW1717" s="307" t="e">
        <f>AVERAGE(AW1697:AW1716)</f>
        <v>#DIV/0!</v>
      </c>
      <c r="AX1717" s="307" t="e">
        <f>SUM(AX1697:AX1716)/COUNTIF(AX1697:AX1716,"&gt;0")</f>
        <v>#DIV/0!</v>
      </c>
      <c r="AY1717" s="28"/>
      <c r="AZ1717" s="307" t="e">
        <f>AVERAGE(AZ1697:AZ1716)</f>
        <v>#DIV/0!</v>
      </c>
      <c r="BA1717" s="307" t="e">
        <f>SUM(BA1697:BA1716)/COUNTIF(BA1697:BA1716,"&gt;0")</f>
        <v>#DIV/0!</v>
      </c>
      <c r="BB1717" s="28"/>
      <c r="BC1717" s="307" t="e">
        <f>AVERAGE(BC1697:BC1716)</f>
        <v>#DIV/0!</v>
      </c>
      <c r="BD1717" s="307" t="e">
        <f>SUM(BD1697:BD1716)/COUNTIF(BD1697:BD1716,"&gt;0")</f>
        <v>#DIV/0!</v>
      </c>
      <c r="BE1717" s="28"/>
      <c r="BF1717" s="307" t="e">
        <f>AVERAGE(BF1697:BF1716)</f>
        <v>#DIV/0!</v>
      </c>
      <c r="BG1717" s="307" t="e">
        <f>SUM(BG1697:BG1716)/COUNTIF(BG1697:BG1716,"&gt;0")</f>
        <v>#DIV/0!</v>
      </c>
      <c r="BH1717" s="28"/>
      <c r="BI1717" s="307" t="e">
        <f>AVERAGE(BI1697:BI1716)</f>
        <v>#DIV/0!</v>
      </c>
      <c r="BJ1717" s="307" t="e">
        <f>SUM(BJ1697:BJ1716)/COUNTIF(BJ1697:BJ1716,"&gt;0")</f>
        <v>#DIV/0!</v>
      </c>
      <c r="BK1717" s="245"/>
      <c r="BL1717" s="307" t="e">
        <f>AVERAGE(BL1697:BL1716)</f>
        <v>#DIV/0!</v>
      </c>
      <c r="BM1717" s="307" t="e">
        <f>SUM(BM1697:BM1716)/COUNTIF(BM1697:BM1716,"&gt;0")</f>
        <v>#DIV/0!</v>
      </c>
      <c r="BN1717" s="28"/>
      <c r="BO1717" s="307" t="e">
        <f>AVERAGE(BO1697:BO1716)</f>
        <v>#DIV/0!</v>
      </c>
      <c r="BP1717" s="307" t="e">
        <f>SUM(BP1697:BP1716)/COUNTIF(BP1697:BP1716,"&gt;0")</f>
        <v>#DIV/0!</v>
      </c>
      <c r="BQ1717" s="28"/>
      <c r="BR1717" s="307" t="e">
        <f>AVERAGE(BR1697:BR1716)</f>
        <v>#DIV/0!</v>
      </c>
      <c r="BS1717" s="307" t="e">
        <f>SUM(BS1697:BS1716)/COUNTIF(BS1697:BS1716,"&gt;0")</f>
        <v>#DIV/0!</v>
      </c>
      <c r="BT1717" s="28"/>
      <c r="BU1717" s="307" t="e">
        <f>AVERAGE(BU1697:BU1716)</f>
        <v>#DIV/0!</v>
      </c>
      <c r="BV1717" s="307" t="e">
        <f>SUM(BV1697:BV1716)/COUNTIF(BV1697:BV1716,"&gt;0")</f>
        <v>#DIV/0!</v>
      </c>
      <c r="BW1717" s="28"/>
      <c r="BX1717" s="91"/>
    </row>
    <row r="1718" spans="1:76" s="55" customFormat="1" x14ac:dyDescent="0.25">
      <c r="A1718" s="195"/>
      <c r="B1718" s="244" t="s">
        <v>164</v>
      </c>
      <c r="C1718" s="199" t="s">
        <v>139</v>
      </c>
      <c r="D1718" s="252"/>
      <c r="E1718" s="253"/>
      <c r="F1718" s="253"/>
      <c r="G1718" s="253"/>
      <c r="H1718" s="253"/>
      <c r="I1718" s="253"/>
      <c r="J1718" s="254"/>
      <c r="K1718" s="122"/>
      <c r="L1718" s="122"/>
      <c r="M1718" s="122"/>
      <c r="N1718" s="122"/>
      <c r="O1718" s="122"/>
      <c r="P1718" s="122"/>
      <c r="Q1718" s="306" t="s">
        <v>144</v>
      </c>
      <c r="R1718" s="257" t="e">
        <f>R1717+U1718*R1721</f>
        <v>#DIV/0!</v>
      </c>
      <c r="S1718" s="257" t="e">
        <f>S1717+U1718*S1721</f>
        <v>#DIV/0!</v>
      </c>
      <c r="T1718" s="257" t="e">
        <f>T1717+U1718*T1721</f>
        <v>#DIV/0!</v>
      </c>
      <c r="U1718" s="258">
        <v>1</v>
      </c>
      <c r="V1718" s="122" t="s">
        <v>142</v>
      </c>
      <c r="W1718" s="28"/>
      <c r="X1718" s="259" t="s">
        <v>143</v>
      </c>
      <c r="Y1718" s="260"/>
      <c r="AO1718" s="91"/>
      <c r="AP1718" s="28"/>
      <c r="AQ1718" s="28"/>
      <c r="AR1718" s="28"/>
      <c r="AS1718" s="256" t="s">
        <v>144</v>
      </c>
      <c r="AT1718" s="261" t="e">
        <f>AT1717+(AT1723*AT1720)</f>
        <v>#DIV/0!</v>
      </c>
      <c r="AU1718" s="261" t="e">
        <f>AU1717+(AU1723*AT1720)</f>
        <v>#DIV/0!</v>
      </c>
      <c r="AV1718" s="256"/>
      <c r="AW1718" s="261" t="e">
        <f>AW1717+(AW1723*AW1720)</f>
        <v>#DIV/0!</v>
      </c>
      <c r="AX1718" s="261" t="e">
        <f>AX1717+(AX1723*AW1720)</f>
        <v>#DIV/0!</v>
      </c>
      <c r="AY1718" s="28"/>
      <c r="AZ1718" s="261" t="e">
        <f>AZ1717+(AZ1723*AZ1720)</f>
        <v>#DIV/0!</v>
      </c>
      <c r="BA1718" s="261" t="e">
        <f>BA1717+(BA1723*AZ1720)</f>
        <v>#DIV/0!</v>
      </c>
      <c r="BB1718" s="28"/>
      <c r="BC1718" s="261" t="e">
        <f>BC1717+(BC1723*BC1720)</f>
        <v>#DIV/0!</v>
      </c>
      <c r="BD1718" s="261" t="e">
        <f>BD1717+(BD1723*BC1720)</f>
        <v>#DIV/0!</v>
      </c>
      <c r="BE1718" s="28"/>
      <c r="BF1718" s="261" t="e">
        <f>BF1717+(BF1723*BF1720)</f>
        <v>#DIV/0!</v>
      </c>
      <c r="BG1718" s="261" t="e">
        <f>BG1717+(BG1723*BF1720)</f>
        <v>#DIV/0!</v>
      </c>
      <c r="BH1718" s="28"/>
      <c r="BI1718" s="261" t="e">
        <f>BI1717+(BI1723*BI1720)</f>
        <v>#DIV/0!</v>
      </c>
      <c r="BJ1718" s="261" t="e">
        <f>BJ1717+(BJ1723*BI1720)</f>
        <v>#DIV/0!</v>
      </c>
      <c r="BK1718" s="256"/>
      <c r="BL1718" s="261" t="e">
        <f>BL1717+(BL1723*BL1720)</f>
        <v>#DIV/0!</v>
      </c>
      <c r="BM1718" s="261" t="e">
        <f>BM1717+(BM1723*BL1720)</f>
        <v>#DIV/0!</v>
      </c>
      <c r="BN1718" s="28"/>
      <c r="BO1718" s="261" t="e">
        <f>BO1717+(BO1723*BO1720)</f>
        <v>#DIV/0!</v>
      </c>
      <c r="BP1718" s="261" t="e">
        <f>BP1717+(BP1723*BO1720)</f>
        <v>#DIV/0!</v>
      </c>
      <c r="BQ1718" s="28"/>
      <c r="BR1718" s="261" t="e">
        <f>BR1717+(BR1723*BR1720)</f>
        <v>#DIV/0!</v>
      </c>
      <c r="BS1718" s="261" t="e">
        <f>BS1717+(BS1723*BR1720)</f>
        <v>#DIV/0!</v>
      </c>
      <c r="BT1718" s="28"/>
      <c r="BU1718" s="261" t="e">
        <f>BU1717+(BU1723*BU1720)</f>
        <v>#DIV/0!</v>
      </c>
      <c r="BV1718" s="261" t="e">
        <f>BV1717+(BV1723*BU1720)</f>
        <v>#DIV/0!</v>
      </c>
      <c r="BW1718" s="28"/>
      <c r="BX1718" s="91"/>
    </row>
    <row r="1719" spans="1:76" s="55" customFormat="1" x14ac:dyDescent="0.25">
      <c r="A1719" s="195"/>
      <c r="B1719" s="244" t="s">
        <v>165</v>
      </c>
      <c r="C1719" s="195"/>
      <c r="D1719" s="263"/>
      <c r="E1719" s="264"/>
      <c r="F1719" s="264"/>
      <c r="G1719" s="264"/>
      <c r="H1719" s="264"/>
      <c r="I1719" s="264"/>
      <c r="J1719" s="265"/>
      <c r="K1719" s="28"/>
      <c r="L1719" s="28"/>
      <c r="M1719" s="122"/>
      <c r="N1719" s="122"/>
      <c r="O1719" s="122"/>
      <c r="P1719" s="122"/>
      <c r="Q1719" s="306" t="s">
        <v>150</v>
      </c>
      <c r="R1719" s="257" t="e">
        <f>IF($X1719="Y",MIN(R1697:R1716),R1717-$U1719*R1721)</f>
        <v>#DIV/0!</v>
      </c>
      <c r="S1719" s="257" t="e">
        <f>IF($X1719="Y",MIN(S1697:S1716),S1717-$U1719*S1721)</f>
        <v>#DIV/0!</v>
      </c>
      <c r="T1719" s="257" t="e">
        <f>IF($X1719="Y",MIN(T1697:T1716),T1717-$U1719*T1721)</f>
        <v>#DIV/0!</v>
      </c>
      <c r="U1719" s="258">
        <v>1</v>
      </c>
      <c r="V1719" s="122" t="s">
        <v>148</v>
      </c>
      <c r="W1719" s="28"/>
      <c r="X1719" s="266" t="s">
        <v>149</v>
      </c>
      <c r="Y1719" s="260"/>
      <c r="AO1719" s="91"/>
      <c r="AP1719" s="28"/>
      <c r="AQ1719" s="28"/>
      <c r="AR1719" s="28"/>
      <c r="AS1719" s="256" t="s">
        <v>150</v>
      </c>
      <c r="AT1719" s="261" t="e">
        <f>AT1717-(AT1723*AT1721)</f>
        <v>#DIV/0!</v>
      </c>
      <c r="AU1719" s="261" t="e">
        <f>AU1717-(AU1723*AT1721)</f>
        <v>#DIV/0!</v>
      </c>
      <c r="AV1719" s="256"/>
      <c r="AW1719" s="261" t="e">
        <f>AW1717-(AW1723*AW1721)</f>
        <v>#DIV/0!</v>
      </c>
      <c r="AX1719" s="261" t="e">
        <f>AX1717-(AX1723*AW1721)</f>
        <v>#DIV/0!</v>
      </c>
      <c r="AY1719" s="28"/>
      <c r="AZ1719" s="261" t="e">
        <f>AZ1717-(AZ1723*AZ1721)</f>
        <v>#DIV/0!</v>
      </c>
      <c r="BA1719" s="261" t="e">
        <f>BA1717-(BA1723*AZ1721)</f>
        <v>#DIV/0!</v>
      </c>
      <c r="BB1719" s="28"/>
      <c r="BC1719" s="261" t="e">
        <f>BC1717-(BC1723*BC1721)</f>
        <v>#DIV/0!</v>
      </c>
      <c r="BD1719" s="261" t="e">
        <f>BD1717-(BD1723*BC1721)</f>
        <v>#DIV/0!</v>
      </c>
      <c r="BE1719" s="28"/>
      <c r="BF1719" s="261" t="e">
        <f>BF1717-(BF1723*BF1721)</f>
        <v>#DIV/0!</v>
      </c>
      <c r="BG1719" s="261" t="e">
        <f>BG1717-(BG1723*BF1721)</f>
        <v>#DIV/0!</v>
      </c>
      <c r="BH1719" s="28"/>
      <c r="BI1719" s="261" t="e">
        <f>BI1717-(BI1723*BI1721)</f>
        <v>#DIV/0!</v>
      </c>
      <c r="BJ1719" s="261" t="e">
        <f>BJ1717-(BJ1723*BI1721)</f>
        <v>#DIV/0!</v>
      </c>
      <c r="BK1719" s="256"/>
      <c r="BL1719" s="261" t="e">
        <f>BL1717-(BL1723*BL1721)</f>
        <v>#DIV/0!</v>
      </c>
      <c r="BM1719" s="261" t="e">
        <f>BM1717-(BM1723*BL1721)</f>
        <v>#DIV/0!</v>
      </c>
      <c r="BN1719" s="28"/>
      <c r="BO1719" s="261" t="e">
        <f>BO1717-(BO1723*BO1721)</f>
        <v>#DIV/0!</v>
      </c>
      <c r="BP1719" s="261" t="e">
        <f>BP1717-(BP1723*BO1721)</f>
        <v>#DIV/0!</v>
      </c>
      <c r="BQ1719" s="28"/>
      <c r="BR1719" s="261" t="e">
        <f>BR1717-(BR1723*BR1721)</f>
        <v>#DIV/0!</v>
      </c>
      <c r="BS1719" s="261" t="e">
        <f>BS1717-(BS1723*BR1721)</f>
        <v>#DIV/0!</v>
      </c>
      <c r="BT1719" s="28"/>
      <c r="BU1719" s="261" t="e">
        <f>BU1717-(BU1723*BU1721)</f>
        <v>#DIV/0!</v>
      </c>
      <c r="BV1719" s="261" t="e">
        <f>BV1717-(BV1723*BU1721)</f>
        <v>#DIV/0!</v>
      </c>
      <c r="BW1719" s="28"/>
      <c r="BX1719" s="91"/>
    </row>
    <row r="1720" spans="1:76" s="55" customFormat="1" ht="14.25" x14ac:dyDescent="0.2">
      <c r="A1720" s="195"/>
      <c r="B1720" s="196"/>
      <c r="C1720" s="195"/>
      <c r="D1720" s="263"/>
      <c r="E1720" s="264"/>
      <c r="F1720" s="264"/>
      <c r="G1720" s="264"/>
      <c r="H1720" s="264"/>
      <c r="I1720" s="264"/>
      <c r="J1720" s="265"/>
      <c r="K1720" s="122"/>
      <c r="L1720" s="122"/>
      <c r="M1720" s="122"/>
      <c r="N1720" s="122"/>
      <c r="O1720" s="122"/>
      <c r="P1720" s="122"/>
      <c r="Q1720" s="306" t="s">
        <v>151</v>
      </c>
      <c r="R1720" s="257" t="e">
        <f>IF((0.67*R1721)&gt;R1717,"no","yes")</f>
        <v>#DIV/0!</v>
      </c>
      <c r="S1720" s="257" t="e">
        <f>IF((0.67*S1721)&gt;S1717,"no","yes")</f>
        <v>#DIV/0!</v>
      </c>
      <c r="T1720" s="257" t="e">
        <f>IF((0.67*T1721)&gt;T1717,"no","yes")</f>
        <v>#DIV/0!</v>
      </c>
      <c r="U1720" s="122"/>
      <c r="V1720" s="122"/>
      <c r="W1720" s="122"/>
      <c r="Y1720" s="260"/>
      <c r="AO1720" s="91"/>
      <c r="AP1720" s="122"/>
      <c r="AQ1720" s="122"/>
      <c r="AR1720" s="267" t="s">
        <v>152</v>
      </c>
      <c r="AS1720" s="268"/>
      <c r="AT1720" s="258">
        <v>1</v>
      </c>
      <c r="AU1720" s="122"/>
      <c r="AV1720" s="308"/>
      <c r="AW1720" s="258">
        <v>1</v>
      </c>
      <c r="AX1720" s="122"/>
      <c r="AY1720" s="122"/>
      <c r="AZ1720" s="258">
        <v>1</v>
      </c>
      <c r="BA1720" s="122"/>
      <c r="BB1720" s="122"/>
      <c r="BC1720" s="258">
        <v>1</v>
      </c>
      <c r="BD1720" s="122"/>
      <c r="BE1720" s="122"/>
      <c r="BF1720" s="258">
        <v>1</v>
      </c>
      <c r="BG1720" s="122"/>
      <c r="BH1720" s="122"/>
      <c r="BI1720" s="258">
        <v>1</v>
      </c>
      <c r="BJ1720" s="122"/>
      <c r="BK1720" s="256"/>
      <c r="BL1720" s="258">
        <v>1</v>
      </c>
      <c r="BM1720" s="122"/>
      <c r="BN1720" s="122"/>
      <c r="BO1720" s="258">
        <v>1</v>
      </c>
      <c r="BP1720" s="122"/>
      <c r="BQ1720" s="122"/>
      <c r="BR1720" s="258">
        <v>1</v>
      </c>
      <c r="BS1720" s="122"/>
      <c r="BT1720" s="122"/>
      <c r="BU1720" s="258">
        <v>1</v>
      </c>
      <c r="BV1720" s="122"/>
      <c r="BW1720" s="122"/>
      <c r="BX1720" s="91"/>
    </row>
    <row r="1721" spans="1:76" s="55" customFormat="1" ht="28.5" x14ac:dyDescent="0.2">
      <c r="A1721" s="195"/>
      <c r="B1721" s="196"/>
      <c r="C1721" s="195"/>
      <c r="D1721" s="263"/>
      <c r="E1721" s="264"/>
      <c r="F1721" s="264"/>
      <c r="G1721" s="264"/>
      <c r="H1721" s="264"/>
      <c r="I1721" s="264"/>
      <c r="J1721" s="265"/>
      <c r="K1721" s="122"/>
      <c r="L1721" s="122"/>
      <c r="M1721" s="122"/>
      <c r="N1721" s="122"/>
      <c r="O1721" s="122"/>
      <c r="P1721" s="122"/>
      <c r="Q1721" s="306" t="s">
        <v>157</v>
      </c>
      <c r="R1721" s="257">
        <f>IF(COUNT(R1697:R1716)&gt;1,_xlfn.STDEV.S(R1697:R1716),0)</f>
        <v>0</v>
      </c>
      <c r="S1721" s="257" t="e">
        <f t="array" ref="S1721">IF(R1725="Y",SQRT(SUM(IFERROR(N1697:N1716*(R1697:R1716-(S1717))^2,0))/((COUNT(S1697:S1716)-1)/COUNT(S1697:S1716)*SUMPRODUCT(N1697:N1716,--ISNUMBER(S1697:S1716)))),_xlfn.STDEV.S(S1697:S1716))</f>
        <v>#DIV/0!</v>
      </c>
      <c r="T1721" s="257" t="e">
        <f t="array" ref="T1721">SQRT(SUM(IFERROR(N1697:N1716*(R1697:R1716-(T1717))^2,0))/((COUNT(T1697:T1716)-1)/COUNT(T1697:T1716)*SUMPRODUCT(N1697:N1716,--ISNUMBER(T1697:T1716))))</f>
        <v>#DIV/0!</v>
      </c>
      <c r="U1721" s="122"/>
      <c r="V1721" s="122"/>
      <c r="W1721" s="122"/>
      <c r="Y1721" s="260"/>
      <c r="AO1721" s="91"/>
      <c r="AP1721" s="122"/>
      <c r="AQ1721" s="122"/>
      <c r="AR1721" s="267"/>
      <c r="AS1721" s="268"/>
      <c r="AT1721" s="258">
        <v>1</v>
      </c>
      <c r="AU1721" s="122"/>
      <c r="AV1721" s="308"/>
      <c r="AW1721" s="258">
        <v>1</v>
      </c>
      <c r="AX1721" s="122"/>
      <c r="AY1721" s="122"/>
      <c r="AZ1721" s="258">
        <v>1</v>
      </c>
      <c r="BA1721" s="122"/>
      <c r="BB1721" s="122"/>
      <c r="BC1721" s="258">
        <v>1</v>
      </c>
      <c r="BD1721" s="122"/>
      <c r="BE1721" s="122"/>
      <c r="BF1721" s="258">
        <v>1</v>
      </c>
      <c r="BG1721" s="122"/>
      <c r="BH1721" s="122"/>
      <c r="BI1721" s="258">
        <v>1</v>
      </c>
      <c r="BJ1721" s="122"/>
      <c r="BK1721" s="256"/>
      <c r="BL1721" s="258">
        <v>1</v>
      </c>
      <c r="BM1721" s="122"/>
      <c r="BN1721" s="122"/>
      <c r="BO1721" s="258">
        <v>1</v>
      </c>
      <c r="BP1721" s="122"/>
      <c r="BQ1721" s="122"/>
      <c r="BR1721" s="258">
        <v>1</v>
      </c>
      <c r="BS1721" s="122"/>
      <c r="BT1721" s="122"/>
      <c r="BU1721" s="258">
        <v>1</v>
      </c>
      <c r="BV1721" s="122"/>
      <c r="BW1721" s="122"/>
      <c r="BX1721" s="91"/>
    </row>
    <row r="1722" spans="1:76" s="55" customFormat="1" ht="15" customHeight="1" x14ac:dyDescent="0.25">
      <c r="A1722" s="122"/>
      <c r="B1722" s="118"/>
      <c r="C1722" s="195"/>
      <c r="D1722" s="263"/>
      <c r="E1722" s="264"/>
      <c r="F1722" s="264"/>
      <c r="G1722" s="264"/>
      <c r="H1722" s="264"/>
      <c r="I1722" s="264"/>
      <c r="J1722" s="265"/>
      <c r="K1722" s="122"/>
      <c r="L1722" s="122"/>
      <c r="M1722" s="122"/>
      <c r="N1722" s="122"/>
      <c r="O1722" s="122"/>
      <c r="P1722" s="122"/>
      <c r="Q1722" s="309" t="s">
        <v>159</v>
      </c>
      <c r="R1722" s="310">
        <f>COUNT(R1697:R1716)</f>
        <v>0</v>
      </c>
      <c r="S1722" s="310">
        <f>COUNT(S1697:S1716)</f>
        <v>0</v>
      </c>
      <c r="T1722" s="118"/>
      <c r="U1722" s="273" t="s">
        <v>155</v>
      </c>
      <c r="V1722" s="122"/>
      <c r="W1722" s="122"/>
      <c r="Y1722" s="91"/>
      <c r="AO1722" s="91"/>
      <c r="AP1722" s="122"/>
      <c r="AQ1722" s="122"/>
      <c r="AR1722" s="122"/>
      <c r="AS1722" s="256" t="s">
        <v>151</v>
      </c>
      <c r="AT1722" s="261" t="e">
        <f>IF((0.67*AT1723)&gt;AT1717,"no","yes")</f>
        <v>#DIV/0!</v>
      </c>
      <c r="AU1722" s="261" t="e">
        <f>IF((0.67*AU1723)&gt;AU1717,"no","yes")</f>
        <v>#DIV/0!</v>
      </c>
      <c r="AV1722" s="256"/>
      <c r="AW1722" s="261" t="e">
        <f>IF((0.67*AW1723)&gt;AW1717,"no","yes")</f>
        <v>#DIV/0!</v>
      </c>
      <c r="AX1722" s="261" t="e">
        <f>IF((0.67*AX1723)&gt;AX1717,"no","yes")</f>
        <v>#DIV/0!</v>
      </c>
      <c r="AY1722" s="122"/>
      <c r="AZ1722" s="261" t="e">
        <f>IF((0.67*AZ1723)&gt;AZ1717,"no","yes")</f>
        <v>#DIV/0!</v>
      </c>
      <c r="BA1722" s="261" t="e">
        <f>IF((0.67*BA1723)&gt;BA1717,"no","yes")</f>
        <v>#DIV/0!</v>
      </c>
      <c r="BB1722" s="122"/>
      <c r="BC1722" s="261" t="e">
        <f>IF((0.67*BC1723)&gt;BC1717,"no","yes")</f>
        <v>#DIV/0!</v>
      </c>
      <c r="BD1722" s="261" t="e">
        <f>IF((0.67*BD1723)&gt;BD1717,"no","yes")</f>
        <v>#DIV/0!</v>
      </c>
      <c r="BE1722" s="122"/>
      <c r="BF1722" s="261" t="e">
        <f>IF((0.67*BF1723)&gt;BF1717,"no","yes")</f>
        <v>#DIV/0!</v>
      </c>
      <c r="BG1722" s="261" t="e">
        <f>IF((0.67*BG1723)&gt;BG1717,"no","yes")</f>
        <v>#DIV/0!</v>
      </c>
      <c r="BH1722" s="122"/>
      <c r="BI1722" s="261" t="e">
        <f>IF((0.67*BI1723)&gt;BI1717,"no","yes")</f>
        <v>#DIV/0!</v>
      </c>
      <c r="BJ1722" s="261" t="e">
        <f>IF((0.67*BJ1723)&gt;BJ1717,"no","yes")</f>
        <v>#DIV/0!</v>
      </c>
      <c r="BK1722" s="133"/>
      <c r="BL1722" s="261" t="e">
        <f>IF((0.67*BL1723)&gt;BL1717,"no","yes")</f>
        <v>#DIV/0!</v>
      </c>
      <c r="BM1722" s="261" t="e">
        <f>IF((0.67*BM1723)&gt;BM1717,"no","yes")</f>
        <v>#DIV/0!</v>
      </c>
      <c r="BN1722" s="122"/>
      <c r="BO1722" s="261" t="e">
        <f>IF((0.67*BO1723)&gt;BO1717,"no","yes")</f>
        <v>#DIV/0!</v>
      </c>
      <c r="BP1722" s="261" t="e">
        <f>IF((0.67*BP1723)&gt;BP1717,"no","yes")</f>
        <v>#DIV/0!</v>
      </c>
      <c r="BQ1722" s="122"/>
      <c r="BR1722" s="261" t="e">
        <f>IF((0.67*BR1723)&gt;BR1717,"no","yes")</f>
        <v>#DIV/0!</v>
      </c>
      <c r="BS1722" s="261" t="e">
        <f>IF((0.67*BS1723)&gt;BS1717,"no","yes")</f>
        <v>#DIV/0!</v>
      </c>
      <c r="BT1722" s="122"/>
      <c r="BU1722" s="261" t="e">
        <f>IF((0.67*BU1723)&gt;BU1717,"no","yes")</f>
        <v>#DIV/0!</v>
      </c>
      <c r="BV1722" s="261" t="e">
        <f>IF((0.67*BV1723)&gt;BV1717,"no","yes")</f>
        <v>#DIV/0!</v>
      </c>
      <c r="BW1722" s="122"/>
      <c r="BX1722" s="91"/>
    </row>
    <row r="1723" spans="1:76" s="55" customFormat="1" ht="14.25" x14ac:dyDescent="0.2">
      <c r="B1723" s="23"/>
      <c r="C1723" s="195"/>
      <c r="D1723" s="263"/>
      <c r="E1723" s="264"/>
      <c r="F1723" s="264"/>
      <c r="G1723" s="264"/>
      <c r="H1723" s="264"/>
      <c r="I1723" s="264"/>
      <c r="J1723" s="265"/>
      <c r="K1723" s="122"/>
      <c r="L1723" s="122"/>
      <c r="M1723" s="122"/>
      <c r="N1723" s="122"/>
      <c r="O1723" s="122"/>
      <c r="P1723" s="122"/>
      <c r="Q1723" s="311"/>
      <c r="R1723" s="389"/>
      <c r="S1723" s="118"/>
      <c r="T1723" s="118"/>
      <c r="U1723" s="274"/>
      <c r="V1723" s="275"/>
      <c r="W1723" s="276"/>
      <c r="Y1723" s="91"/>
      <c r="AO1723" s="91"/>
      <c r="AP1723" s="122"/>
      <c r="AQ1723" s="122"/>
      <c r="AR1723" s="122"/>
      <c r="AS1723" s="256" t="s">
        <v>157</v>
      </c>
      <c r="AT1723" s="261">
        <f>IF(AT1724&gt;1,_xlfn.STDEV.S(AT1697:AT1716),0)</f>
        <v>0</v>
      </c>
      <c r="AU1723" s="261">
        <f>IF(AU1724&gt;1,_xlfn.STDEV.S(AU1697:AU1716),0)</f>
        <v>0</v>
      </c>
      <c r="AV1723" s="122"/>
      <c r="AW1723" s="261">
        <f t="shared" ref="AW1723:AX1723" si="1131">IF(AW1724&gt;1,_xlfn.STDEV.S(AW1697:AW1716),0)</f>
        <v>0</v>
      </c>
      <c r="AX1723" s="261">
        <f t="shared" si="1131"/>
        <v>0</v>
      </c>
      <c r="AY1723" s="122"/>
      <c r="AZ1723" s="261">
        <f t="shared" ref="AZ1723:BA1723" si="1132">IF(AZ1724&gt;1,_xlfn.STDEV.S(AZ1697:AZ1716),0)</f>
        <v>0</v>
      </c>
      <c r="BA1723" s="261">
        <f t="shared" si="1132"/>
        <v>0</v>
      </c>
      <c r="BB1723" s="122"/>
      <c r="BC1723" s="261">
        <f t="shared" ref="BC1723:BD1723" si="1133">IF(BC1724&gt;1,_xlfn.STDEV.S(BC1697:BC1716),0)</f>
        <v>0</v>
      </c>
      <c r="BD1723" s="261">
        <f t="shared" si="1133"/>
        <v>0</v>
      </c>
      <c r="BE1723" s="122"/>
      <c r="BF1723" s="261">
        <f t="shared" ref="BF1723:BG1723" si="1134">IF(BF1724&gt;1,_xlfn.STDEV.S(BF1697:BF1716),0)</f>
        <v>0</v>
      </c>
      <c r="BG1723" s="261">
        <f t="shared" si="1134"/>
        <v>0</v>
      </c>
      <c r="BH1723" s="122"/>
      <c r="BI1723" s="261">
        <f t="shared" ref="BI1723:BJ1723" si="1135">IF(BI1724&gt;1,_xlfn.STDEV.S(BI1697:BI1716),0)</f>
        <v>0</v>
      </c>
      <c r="BJ1723" s="261">
        <f t="shared" si="1135"/>
        <v>0</v>
      </c>
      <c r="BK1723" s="122"/>
      <c r="BL1723" s="261">
        <f t="shared" ref="BL1723:BM1723" si="1136">IF(BL1724&gt;1,_xlfn.STDEV.S(BL1697:BL1716),0)</f>
        <v>0</v>
      </c>
      <c r="BM1723" s="261">
        <f t="shared" si="1136"/>
        <v>0</v>
      </c>
      <c r="BN1723" s="122"/>
      <c r="BO1723" s="261">
        <f t="shared" ref="BO1723:BP1723" si="1137">IF(BO1724&gt;1,_xlfn.STDEV.S(BO1697:BO1716),0)</f>
        <v>0</v>
      </c>
      <c r="BP1723" s="261">
        <f t="shared" si="1137"/>
        <v>0</v>
      </c>
      <c r="BQ1723" s="122"/>
      <c r="BR1723" s="261">
        <f t="shared" ref="BR1723:BS1723" si="1138">IF(BR1724&gt;1,_xlfn.STDEV.S(BR1697:BR1716),0)</f>
        <v>0</v>
      </c>
      <c r="BS1723" s="261">
        <f t="shared" si="1138"/>
        <v>0</v>
      </c>
      <c r="BT1723" s="122"/>
      <c r="BU1723" s="261">
        <f t="shared" ref="BU1723:BV1723" si="1139">IF(BU1724&gt;1,_xlfn.STDEV.S(BU1697:BU1716),0)</f>
        <v>0</v>
      </c>
      <c r="BV1723" s="261">
        <f t="shared" si="1139"/>
        <v>0</v>
      </c>
      <c r="BW1723" s="122"/>
      <c r="BX1723" s="91"/>
    </row>
    <row r="1724" spans="1:76" s="55" customFormat="1" x14ac:dyDescent="0.2">
      <c r="A1724" s="270" t="e">
        <f ca="1">HYPERLINK("#"&amp;"'"&amp;A$1&amp;"'!a1","Back to top")</f>
        <v>#VALUE!</v>
      </c>
      <c r="B1724" s="271"/>
      <c r="C1724" s="122"/>
      <c r="D1724" s="277"/>
      <c r="E1724" s="278"/>
      <c r="F1724" s="278"/>
      <c r="G1724" s="278"/>
      <c r="H1724" s="278"/>
      <c r="I1724" s="278"/>
      <c r="J1724" s="279"/>
      <c r="Q1724" s="81"/>
      <c r="R1724" s="362" t="s">
        <v>158</v>
      </c>
      <c r="T1724" s="122"/>
      <c r="U1724" s="281"/>
      <c r="V1724" s="282"/>
      <c r="W1724" s="283"/>
      <c r="Y1724" s="91"/>
      <c r="AO1724" s="91"/>
      <c r="AP1724" s="122"/>
      <c r="AQ1724" s="122"/>
      <c r="AR1724" s="122"/>
      <c r="AS1724" s="133" t="s">
        <v>159</v>
      </c>
      <c r="AT1724" s="284">
        <f>COUNT(AT1697:AT1716)</f>
        <v>0</v>
      </c>
      <c r="AU1724" s="284">
        <f>COUNT(AU1697:AU1716)</f>
        <v>0</v>
      </c>
      <c r="AV1724" s="122"/>
      <c r="AW1724" s="284">
        <f t="shared" ref="AW1724:AX1724" si="1140">COUNT(AW1697:AW1716)</f>
        <v>0</v>
      </c>
      <c r="AX1724" s="284">
        <f t="shared" si="1140"/>
        <v>0</v>
      </c>
      <c r="AY1724" s="122"/>
      <c r="AZ1724" s="284">
        <f t="shared" ref="AZ1724:BA1724" si="1141">COUNT(AZ1697:AZ1716)</f>
        <v>0</v>
      </c>
      <c r="BA1724" s="284">
        <f t="shared" si="1141"/>
        <v>0</v>
      </c>
      <c r="BB1724" s="122"/>
      <c r="BC1724" s="284">
        <f t="shared" ref="BC1724:BD1724" si="1142">COUNT(BC1697:BC1716)</f>
        <v>0</v>
      </c>
      <c r="BD1724" s="284">
        <f t="shared" si="1142"/>
        <v>0</v>
      </c>
      <c r="BE1724" s="122"/>
      <c r="BF1724" s="284">
        <f t="shared" ref="BF1724:BG1724" si="1143">COUNT(BF1697:BF1716)</f>
        <v>0</v>
      </c>
      <c r="BG1724" s="284">
        <f t="shared" si="1143"/>
        <v>0</v>
      </c>
      <c r="BH1724" s="122"/>
      <c r="BI1724" s="284">
        <f t="shared" ref="BI1724:BJ1724" si="1144">COUNT(BI1697:BI1716)</f>
        <v>0</v>
      </c>
      <c r="BJ1724" s="284">
        <f t="shared" si="1144"/>
        <v>0</v>
      </c>
      <c r="BK1724" s="122"/>
      <c r="BL1724" s="284">
        <f t="shared" ref="BL1724:BM1724" si="1145">COUNT(BL1697:BL1716)</f>
        <v>0</v>
      </c>
      <c r="BM1724" s="284">
        <f t="shared" si="1145"/>
        <v>0</v>
      </c>
      <c r="BN1724" s="122"/>
      <c r="BO1724" s="284">
        <f t="shared" ref="BO1724:BP1724" si="1146">COUNT(BO1697:BO1716)</f>
        <v>0</v>
      </c>
      <c r="BP1724" s="284">
        <f t="shared" si="1146"/>
        <v>0</v>
      </c>
      <c r="BQ1724" s="122"/>
      <c r="BR1724" s="284">
        <f t="shared" ref="BR1724:BS1724" si="1147">COUNT(BR1697:BR1716)</f>
        <v>0</v>
      </c>
      <c r="BS1724" s="284">
        <f t="shared" si="1147"/>
        <v>0</v>
      </c>
      <c r="BT1724" s="122"/>
      <c r="BU1724" s="284">
        <f t="shared" ref="BU1724:BV1724" si="1148">COUNT(BU1697:BU1716)</f>
        <v>0</v>
      </c>
      <c r="BV1724" s="284">
        <f t="shared" si="1148"/>
        <v>0</v>
      </c>
      <c r="BW1724" s="122"/>
      <c r="BX1724" s="91"/>
    </row>
    <row r="1725" spans="1:76" s="55" customFormat="1" ht="14.25" x14ac:dyDescent="0.2">
      <c r="A1725" s="270"/>
      <c r="B1725" s="271"/>
      <c r="C1725" s="122"/>
      <c r="D1725" s="314"/>
      <c r="E1725" s="314"/>
      <c r="F1725" s="314"/>
      <c r="G1725" s="314"/>
      <c r="H1725" s="314"/>
      <c r="I1725" s="314"/>
      <c r="J1725" s="314"/>
      <c r="Q1725" s="81"/>
      <c r="R1725" s="287" t="s">
        <v>149</v>
      </c>
      <c r="T1725" s="122"/>
      <c r="U1725" s="281"/>
      <c r="V1725" s="282"/>
      <c r="W1725" s="283"/>
      <c r="Y1725" s="91"/>
      <c r="AO1725" s="91"/>
      <c r="BX1725" s="91"/>
    </row>
    <row r="1726" spans="1:76" s="55" customFormat="1" ht="14.25" x14ac:dyDescent="0.2">
      <c r="A1726" s="270"/>
      <c r="B1726" s="271"/>
      <c r="C1726" s="122"/>
      <c r="D1726" s="314"/>
      <c r="E1726" s="314"/>
      <c r="F1726" s="314"/>
      <c r="G1726" s="314"/>
      <c r="H1726" s="314"/>
      <c r="I1726" s="314"/>
      <c r="J1726" s="314"/>
      <c r="Q1726" s="81"/>
      <c r="T1726" s="122"/>
      <c r="U1726" s="288"/>
      <c r="V1726" s="289"/>
      <c r="W1726" s="290"/>
      <c r="Y1726" s="91"/>
      <c r="AO1726" s="91"/>
      <c r="BX1726" s="91"/>
    </row>
    <row r="1727" spans="1:76" s="55" customFormat="1" ht="18" x14ac:dyDescent="0.25">
      <c r="B1727" s="23"/>
      <c r="Q1727" s="81"/>
      <c r="T1727" s="122"/>
      <c r="U1727" s="122"/>
      <c r="V1727" s="122"/>
      <c r="W1727" s="122"/>
      <c r="Y1727" s="91"/>
      <c r="AO1727" s="296"/>
      <c r="AP1727" s="345"/>
      <c r="AQ1727" s="345"/>
      <c r="AR1727" s="346"/>
      <c r="AS1727" s="346"/>
      <c r="AT1727" s="346"/>
      <c r="AU1727" s="346"/>
      <c r="AV1727" s="346"/>
      <c r="AW1727" s="346"/>
      <c r="AX1727" s="346"/>
      <c r="AY1727" s="346"/>
      <c r="AZ1727" s="346"/>
      <c r="BA1727" s="346"/>
      <c r="BB1727" s="346"/>
      <c r="BC1727" s="346"/>
      <c r="BD1727" s="346"/>
      <c r="BE1727" s="346"/>
      <c r="BF1727" s="346"/>
      <c r="BG1727" s="346"/>
      <c r="BH1727" s="346"/>
      <c r="BI1727" s="346"/>
      <c r="BJ1727" s="346"/>
      <c r="BK1727" s="346"/>
      <c r="BL1727" s="346"/>
      <c r="BM1727" s="346"/>
      <c r="BN1727" s="346"/>
      <c r="BO1727" s="346"/>
      <c r="BP1727" s="346"/>
      <c r="BQ1727" s="346"/>
      <c r="BR1727" s="346"/>
      <c r="BS1727" s="346"/>
      <c r="BT1727" s="346"/>
      <c r="BU1727" s="346"/>
      <c r="BV1727" s="346"/>
      <c r="BW1727" s="346"/>
      <c r="BX1727" s="296"/>
    </row>
    <row r="1728" spans="1:76" s="9" customFormat="1" ht="18" x14ac:dyDescent="0.25">
      <c r="A1728" s="188">
        <f>A1694+1</f>
        <v>30</v>
      </c>
      <c r="B1728" s="189"/>
      <c r="C1728" s="293" t="s">
        <v>773</v>
      </c>
      <c r="D1728" s="191"/>
      <c r="E1728" s="191"/>
      <c r="F1728" s="191"/>
      <c r="G1728" s="191"/>
      <c r="J1728" s="191"/>
      <c r="K1728" s="191"/>
      <c r="L1728" s="192"/>
      <c r="M1728" s="192"/>
      <c r="N1728" s="192"/>
      <c r="Q1728" s="193"/>
      <c r="R1728" s="194" t="s">
        <v>93</v>
      </c>
      <c r="S1728" s="194"/>
      <c r="T1728" s="194"/>
      <c r="U1728" s="194"/>
      <c r="AP1728" s="175">
        <f>A1728</f>
        <v>30</v>
      </c>
      <c r="AQ1728" s="175" t="str">
        <f>C1728</f>
        <v>VARIABLE30</v>
      </c>
    </row>
    <row r="1729" spans="1:76" s="55" customFormat="1" x14ac:dyDescent="0.25">
      <c r="A1729" s="195"/>
      <c r="B1729" s="196"/>
      <c r="C1729" s="195"/>
      <c r="D1729" s="120"/>
      <c r="E1729" s="120"/>
      <c r="F1729" s="120"/>
      <c r="G1729" s="120"/>
      <c r="J1729" s="120"/>
      <c r="K1729" s="120"/>
      <c r="L1729" s="122"/>
      <c r="M1729" s="122"/>
      <c r="N1729" s="122"/>
      <c r="Q1729" s="81"/>
      <c r="Y1729" s="91"/>
      <c r="AO1729" s="91"/>
      <c r="AP1729" s="28"/>
      <c r="AQ1729" s="28"/>
      <c r="AR1729" s="28"/>
      <c r="AS1729" s="28"/>
      <c r="AT1729" s="198" t="s">
        <v>171</v>
      </c>
      <c r="AU1729" s="198"/>
      <c r="AV1729" s="28"/>
      <c r="AW1729" s="198" t="s">
        <v>96</v>
      </c>
      <c r="AX1729" s="198"/>
      <c r="AY1729" s="28"/>
      <c r="AZ1729" s="198" t="s">
        <v>97</v>
      </c>
      <c r="BA1729" s="198"/>
      <c r="BB1729" s="28"/>
      <c r="BC1729" s="198" t="s">
        <v>98</v>
      </c>
      <c r="BD1729" s="198"/>
      <c r="BE1729" s="28"/>
      <c r="BF1729" s="198" t="s">
        <v>99</v>
      </c>
      <c r="BG1729" s="198"/>
      <c r="BH1729" s="28"/>
      <c r="BI1729" s="198" t="s">
        <v>100</v>
      </c>
      <c r="BJ1729" s="198"/>
      <c r="BK1729" s="28"/>
      <c r="BL1729" s="198" t="s">
        <v>101</v>
      </c>
      <c r="BM1729" s="198"/>
      <c r="BN1729" s="28"/>
      <c r="BO1729" s="198" t="s">
        <v>102</v>
      </c>
      <c r="BP1729" s="198"/>
      <c r="BQ1729" s="28"/>
      <c r="BR1729" s="198" t="s">
        <v>103</v>
      </c>
      <c r="BS1729" s="198"/>
      <c r="BT1729" s="28"/>
      <c r="BU1729" s="198" t="s">
        <v>104</v>
      </c>
      <c r="BV1729" s="198"/>
      <c r="BW1729" s="28"/>
      <c r="BX1729" s="91"/>
    </row>
    <row r="1730" spans="1:76" s="55" customFormat="1" ht="30.75" thickBot="1" x14ac:dyDescent="0.3">
      <c r="A1730" s="199" t="s">
        <v>105</v>
      </c>
      <c r="B1730" s="200" t="s">
        <v>106</v>
      </c>
      <c r="C1730" s="201" t="s">
        <v>107</v>
      </c>
      <c r="D1730" s="202" t="s">
        <v>108</v>
      </c>
      <c r="E1730" s="202" t="s">
        <v>109</v>
      </c>
      <c r="F1730" s="201" t="s">
        <v>110</v>
      </c>
      <c r="G1730" s="201" t="s">
        <v>111</v>
      </c>
      <c r="H1730" s="202" t="s">
        <v>112</v>
      </c>
      <c r="I1730" s="203" t="s">
        <v>113</v>
      </c>
      <c r="J1730" s="204" t="s">
        <v>114</v>
      </c>
      <c r="K1730" s="205" t="s">
        <v>115</v>
      </c>
      <c r="L1730" s="206" t="s">
        <v>116</v>
      </c>
      <c r="M1730" s="207" t="s">
        <v>117</v>
      </c>
      <c r="N1730" s="208" t="s">
        <v>118</v>
      </c>
      <c r="O1730" s="207" t="s">
        <v>119</v>
      </c>
      <c r="P1730" s="210"/>
      <c r="Q1730" s="211" t="s">
        <v>120</v>
      </c>
      <c r="R1730" s="212" t="s">
        <v>121</v>
      </c>
      <c r="S1730" s="212" t="s">
        <v>122</v>
      </c>
      <c r="T1730" s="212" t="s">
        <v>123</v>
      </c>
      <c r="U1730" s="213" t="s">
        <v>124</v>
      </c>
      <c r="V1730" s="210"/>
      <c r="W1730" s="210"/>
      <c r="Y1730" s="91"/>
      <c r="AO1730" s="91"/>
      <c r="AP1730" s="210"/>
      <c r="AQ1730" s="210"/>
      <c r="AR1730" s="213" t="s">
        <v>125</v>
      </c>
      <c r="AS1730" s="210"/>
      <c r="AT1730" s="215" t="s">
        <v>121</v>
      </c>
      <c r="AU1730" s="215" t="s">
        <v>122</v>
      </c>
      <c r="AV1730" s="210"/>
      <c r="AW1730" s="215" t="s">
        <v>121</v>
      </c>
      <c r="AX1730" s="215" t="s">
        <v>122</v>
      </c>
      <c r="AY1730" s="210"/>
      <c r="AZ1730" s="215" t="s">
        <v>121</v>
      </c>
      <c r="BA1730" s="215" t="s">
        <v>122</v>
      </c>
      <c r="BB1730" s="210"/>
      <c r="BC1730" s="215" t="s">
        <v>121</v>
      </c>
      <c r="BD1730" s="215" t="s">
        <v>122</v>
      </c>
      <c r="BE1730" s="210"/>
      <c r="BF1730" s="215" t="s">
        <v>121</v>
      </c>
      <c r="BG1730" s="215" t="s">
        <v>122</v>
      </c>
      <c r="BH1730" s="210"/>
      <c r="BI1730" s="215" t="s">
        <v>121</v>
      </c>
      <c r="BJ1730" s="215" t="s">
        <v>122</v>
      </c>
      <c r="BK1730" s="210"/>
      <c r="BL1730" s="215" t="s">
        <v>121</v>
      </c>
      <c r="BM1730" s="215" t="s">
        <v>122</v>
      </c>
      <c r="BN1730" s="210"/>
      <c r="BO1730" s="215" t="s">
        <v>121</v>
      </c>
      <c r="BP1730" s="215" t="s">
        <v>122</v>
      </c>
      <c r="BQ1730" s="210"/>
      <c r="BR1730" s="215" t="s">
        <v>121</v>
      </c>
      <c r="BS1730" s="215" t="s">
        <v>122</v>
      </c>
      <c r="BT1730" s="210"/>
      <c r="BU1730" s="215" t="s">
        <v>121</v>
      </c>
      <c r="BV1730" s="215" t="s">
        <v>122</v>
      </c>
      <c r="BW1730" s="210"/>
      <c r="BX1730" s="91"/>
    </row>
    <row r="1731" spans="1:76" s="55" customFormat="1" x14ac:dyDescent="0.25">
      <c r="A1731" s="195">
        <v>1</v>
      </c>
      <c r="B1731" s="216" t="str">
        <f t="shared" ref="B1731:B1750" si="1149">CONCATENATE(E1731,": ",C1731)</f>
        <v xml:space="preserve">: </v>
      </c>
      <c r="C1731" s="219"/>
      <c r="D1731" s="219"/>
      <c r="E1731" s="219"/>
      <c r="F1731" s="219"/>
      <c r="G1731" s="220"/>
      <c r="H1731" s="221"/>
      <c r="I1731" s="220"/>
      <c r="J1731" s="227"/>
      <c r="K1731" s="226"/>
      <c r="L1731" s="227"/>
      <c r="M1731" s="227"/>
      <c r="N1731" s="227"/>
      <c r="O1731" s="227"/>
      <c r="P1731" s="122"/>
      <c r="Q1731" s="228"/>
      <c r="R1731" s="231" t="str">
        <f>IF(Q1731="Y","",IF(AND(L1731="",J1731=""),"",IF(L1731="",J1731,L1731)))</f>
        <v/>
      </c>
      <c r="S1731" s="230" t="str">
        <f t="shared" ref="S1731:S1750" si="1150">IF(R1731="","",IF($R$1759="Y",T1731,IF(R1731&gt;=$R$1751-$AA$35*$R$1755,IF(R1731&lt;=$R$1751+$AA$35*$R$1755,R1731,""),"")))</f>
        <v/>
      </c>
      <c r="T1731" s="231" t="str">
        <f>IF(OR(Q1731="Y",IFERROR(R1731&gt;R1751+R1755*$AA$35,0),IFERROR(R1731&lt;R1751-R1755*$AA$35,0)),"",IFERROR(R1731*N1731,""))</f>
        <v/>
      </c>
      <c r="U1731" s="232" t="str">
        <f t="shared" ref="U1731:U1750" si="1151">IF(AND(M1731="",K1731=""),"",IF(M1731="",K1731,M1731))</f>
        <v/>
      </c>
      <c r="V1731" s="28"/>
      <c r="W1731" s="28"/>
      <c r="Y1731" s="91"/>
      <c r="AO1731" s="91"/>
      <c r="AP1731" s="28"/>
      <c r="AQ1731" s="28"/>
      <c r="AR1731" s="233" t="str">
        <f>$U1731</f>
        <v/>
      </c>
      <c r="AS1731" s="28"/>
      <c r="AT1731" s="304" t="str">
        <f t="shared" ref="AT1731:AU1750" si="1152">IF($E1731=$AT$47,R1731,"")</f>
        <v/>
      </c>
      <c r="AU1731" s="304" t="str">
        <f t="shared" si="1152"/>
        <v/>
      </c>
      <c r="AV1731" s="28"/>
      <c r="AW1731" s="304" t="str">
        <f t="shared" ref="AW1731:AX1750" si="1153">IF($E1731=$AW$83,R1731,"")</f>
        <v/>
      </c>
      <c r="AX1731" s="304" t="str">
        <f t="shared" si="1153"/>
        <v/>
      </c>
      <c r="AY1731" s="28"/>
      <c r="AZ1731" s="304" t="str">
        <f t="shared" ref="AZ1731:BA1750" si="1154">IF($E1731=$AZ$83,R1731,"")</f>
        <v/>
      </c>
      <c r="BA1731" s="304" t="str">
        <f t="shared" si="1154"/>
        <v/>
      </c>
      <c r="BB1731" s="28"/>
      <c r="BC1731" s="304" t="str">
        <f t="shared" ref="BC1731:BD1750" si="1155">IF($E1731=$BC$83,R1731,"")</f>
        <v/>
      </c>
      <c r="BD1731" s="304" t="str">
        <f t="shared" si="1155"/>
        <v/>
      </c>
      <c r="BE1731" s="28"/>
      <c r="BF1731" s="304" t="str">
        <f t="shared" ref="BF1731:BG1750" si="1156">IF($E1731=$BF$83,R1731,"")</f>
        <v/>
      </c>
      <c r="BG1731" s="304" t="str">
        <f t="shared" si="1156"/>
        <v/>
      </c>
      <c r="BH1731" s="28"/>
      <c r="BI1731" s="304" t="str">
        <f t="shared" ref="BI1731:BJ1750" si="1157">IF($E1731=$BI$83,R1731,"")</f>
        <v/>
      </c>
      <c r="BJ1731" s="304" t="str">
        <f t="shared" si="1157"/>
        <v/>
      </c>
      <c r="BK1731" s="28"/>
      <c r="BL1731" s="304" t="str">
        <f t="shared" ref="BL1731:BM1750" si="1158">IF($E1731=$BL$83,R1731,"")</f>
        <v/>
      </c>
      <c r="BM1731" s="304" t="str">
        <f t="shared" si="1158"/>
        <v/>
      </c>
      <c r="BN1731" s="28"/>
      <c r="BO1731" s="304" t="str">
        <f t="shared" ref="BO1731:BP1750" si="1159">IF($E1731=$BO$83,R1731,"")</f>
        <v/>
      </c>
      <c r="BP1731" s="304" t="str">
        <f t="shared" si="1159"/>
        <v/>
      </c>
      <c r="BQ1731" s="28"/>
      <c r="BR1731" s="304" t="str">
        <f t="shared" ref="BR1731:BS1750" si="1160">IF($E1731=$BR$83,R1731,"")</f>
        <v/>
      </c>
      <c r="BS1731" s="304" t="str">
        <f t="shared" si="1160"/>
        <v/>
      </c>
      <c r="BT1731" s="28"/>
      <c r="BU1731" s="304" t="str">
        <f t="shared" ref="BU1731:BV1750" si="1161">IF($E1731=$BU$83,R1731,"")</f>
        <v/>
      </c>
      <c r="BV1731" s="304" t="str">
        <f t="shared" si="1161"/>
        <v/>
      </c>
      <c r="BW1731" s="28"/>
      <c r="BX1731" s="91"/>
    </row>
    <row r="1732" spans="1:76" s="55" customFormat="1" x14ac:dyDescent="0.25">
      <c r="A1732" s="195">
        <v>2</v>
      </c>
      <c r="B1732" s="216" t="str">
        <f t="shared" si="1149"/>
        <v xml:space="preserve">: </v>
      </c>
      <c r="C1732" s="219"/>
      <c r="D1732" s="219"/>
      <c r="E1732" s="219"/>
      <c r="F1732" s="219"/>
      <c r="G1732" s="220"/>
      <c r="H1732" s="221"/>
      <c r="I1732" s="220"/>
      <c r="J1732" s="227"/>
      <c r="K1732" s="227"/>
      <c r="L1732" s="227"/>
      <c r="M1732" s="227"/>
      <c r="N1732" s="227"/>
      <c r="O1732" s="227"/>
      <c r="P1732" s="122"/>
      <c r="Q1732" s="228"/>
      <c r="R1732" s="231" t="str">
        <f t="shared" ref="R1732:R1750" si="1162">IF(Q1732="Y","",IF(AND(L1732="",J1732=""),"",IF(L1732="",J1732,L1732)))</f>
        <v/>
      </c>
      <c r="S1732" s="230" t="str">
        <f t="shared" si="1150"/>
        <v/>
      </c>
      <c r="T1732" s="231" t="str">
        <f>IF(OR(Q1732="Y",IFERROR(R1732&gt;R1751+R1755*$AA$35,0),IFERROR(R1732&lt;R1751-R1755*$AA$35,0)),"",IFERROR(R1732*N1732,""))</f>
        <v/>
      </c>
      <c r="U1732" s="232" t="str">
        <f t="shared" si="1151"/>
        <v/>
      </c>
      <c r="V1732" s="28"/>
      <c r="W1732" s="28"/>
      <c r="Y1732" s="91"/>
      <c r="AO1732" s="91"/>
      <c r="AP1732" s="28"/>
      <c r="AQ1732" s="28"/>
      <c r="AR1732" s="237"/>
      <c r="AS1732" s="28"/>
      <c r="AT1732" s="304" t="str">
        <f t="shared" si="1152"/>
        <v/>
      </c>
      <c r="AU1732" s="304" t="str">
        <f t="shared" si="1152"/>
        <v/>
      </c>
      <c r="AV1732" s="28"/>
      <c r="AW1732" s="304" t="str">
        <f t="shared" si="1153"/>
        <v/>
      </c>
      <c r="AX1732" s="304" t="str">
        <f t="shared" si="1153"/>
        <v/>
      </c>
      <c r="AY1732" s="28"/>
      <c r="AZ1732" s="304" t="str">
        <f t="shared" si="1154"/>
        <v/>
      </c>
      <c r="BA1732" s="304" t="str">
        <f t="shared" si="1154"/>
        <v/>
      </c>
      <c r="BB1732" s="28"/>
      <c r="BC1732" s="304" t="str">
        <f t="shared" si="1155"/>
        <v/>
      </c>
      <c r="BD1732" s="304" t="str">
        <f t="shared" si="1155"/>
        <v/>
      </c>
      <c r="BE1732" s="28"/>
      <c r="BF1732" s="304" t="str">
        <f t="shared" si="1156"/>
        <v/>
      </c>
      <c r="BG1732" s="304" t="str">
        <f t="shared" si="1156"/>
        <v/>
      </c>
      <c r="BH1732" s="28"/>
      <c r="BI1732" s="304" t="str">
        <f t="shared" si="1157"/>
        <v/>
      </c>
      <c r="BJ1732" s="304" t="str">
        <f t="shared" si="1157"/>
        <v/>
      </c>
      <c r="BK1732" s="28"/>
      <c r="BL1732" s="304" t="str">
        <f t="shared" si="1158"/>
        <v/>
      </c>
      <c r="BM1732" s="304" t="str">
        <f t="shared" si="1158"/>
        <v/>
      </c>
      <c r="BN1732" s="28"/>
      <c r="BO1732" s="304" t="str">
        <f t="shared" si="1159"/>
        <v/>
      </c>
      <c r="BP1732" s="304" t="str">
        <f t="shared" si="1159"/>
        <v/>
      </c>
      <c r="BQ1732" s="28"/>
      <c r="BR1732" s="304" t="str">
        <f t="shared" si="1160"/>
        <v/>
      </c>
      <c r="BS1732" s="304" t="str">
        <f t="shared" si="1160"/>
        <v/>
      </c>
      <c r="BT1732" s="28"/>
      <c r="BU1732" s="304" t="str">
        <f t="shared" si="1161"/>
        <v/>
      </c>
      <c r="BV1732" s="304" t="str">
        <f t="shared" si="1161"/>
        <v/>
      </c>
      <c r="BW1732" s="28"/>
      <c r="BX1732" s="91"/>
    </row>
    <row r="1733" spans="1:76" s="55" customFormat="1" x14ac:dyDescent="0.25">
      <c r="A1733" s="195">
        <v>3</v>
      </c>
      <c r="B1733" s="216" t="str">
        <f t="shared" si="1149"/>
        <v xml:space="preserve">: </v>
      </c>
      <c r="C1733" s="221"/>
      <c r="D1733" s="221"/>
      <c r="E1733" s="221"/>
      <c r="F1733" s="221"/>
      <c r="G1733" s="240"/>
      <c r="H1733" s="221"/>
      <c r="I1733" s="240"/>
      <c r="J1733" s="241"/>
      <c r="K1733" s="241"/>
      <c r="L1733" s="227"/>
      <c r="M1733" s="227"/>
      <c r="N1733" s="227"/>
      <c r="O1733" s="227"/>
      <c r="P1733" s="122"/>
      <c r="Q1733" s="228"/>
      <c r="R1733" s="231" t="str">
        <f t="shared" si="1162"/>
        <v/>
      </c>
      <c r="S1733" s="230" t="str">
        <f t="shared" si="1150"/>
        <v/>
      </c>
      <c r="T1733" s="231" t="str">
        <f>IF(OR(Q1733="Y",IFERROR(R1733&gt;R1751+R1755*$AA$35,0),IFERROR(R1733&lt;R1751-R1755*$AA$35,0)),"",IFERROR(R1733*N1733,""))</f>
        <v/>
      </c>
      <c r="U1733" s="232" t="str">
        <f t="shared" si="1151"/>
        <v/>
      </c>
      <c r="V1733" s="28"/>
      <c r="W1733" s="28"/>
      <c r="Y1733" s="91"/>
      <c r="AO1733" s="91"/>
      <c r="AP1733" s="28"/>
      <c r="AQ1733" s="28"/>
      <c r="AR1733" s="237"/>
      <c r="AS1733" s="28"/>
      <c r="AT1733" s="304" t="str">
        <f t="shared" si="1152"/>
        <v/>
      </c>
      <c r="AU1733" s="304" t="str">
        <f t="shared" si="1152"/>
        <v/>
      </c>
      <c r="AV1733" s="28"/>
      <c r="AW1733" s="304" t="str">
        <f t="shared" si="1153"/>
        <v/>
      </c>
      <c r="AX1733" s="304" t="str">
        <f t="shared" si="1153"/>
        <v/>
      </c>
      <c r="AY1733" s="28"/>
      <c r="AZ1733" s="304" t="str">
        <f t="shared" si="1154"/>
        <v/>
      </c>
      <c r="BA1733" s="304" t="str">
        <f t="shared" si="1154"/>
        <v/>
      </c>
      <c r="BB1733" s="28"/>
      <c r="BC1733" s="304" t="str">
        <f t="shared" si="1155"/>
        <v/>
      </c>
      <c r="BD1733" s="304" t="str">
        <f t="shared" si="1155"/>
        <v/>
      </c>
      <c r="BE1733" s="28"/>
      <c r="BF1733" s="304" t="str">
        <f t="shared" si="1156"/>
        <v/>
      </c>
      <c r="BG1733" s="304" t="str">
        <f t="shared" si="1156"/>
        <v/>
      </c>
      <c r="BH1733" s="28"/>
      <c r="BI1733" s="304" t="str">
        <f t="shared" si="1157"/>
        <v/>
      </c>
      <c r="BJ1733" s="304" t="str">
        <f t="shared" si="1157"/>
        <v/>
      </c>
      <c r="BK1733" s="28"/>
      <c r="BL1733" s="304" t="str">
        <f t="shared" si="1158"/>
        <v/>
      </c>
      <c r="BM1733" s="304" t="str">
        <f t="shared" si="1158"/>
        <v/>
      </c>
      <c r="BN1733" s="28"/>
      <c r="BO1733" s="304" t="str">
        <f t="shared" si="1159"/>
        <v/>
      </c>
      <c r="BP1733" s="304" t="str">
        <f t="shared" si="1159"/>
        <v/>
      </c>
      <c r="BQ1733" s="28"/>
      <c r="BR1733" s="304" t="str">
        <f t="shared" si="1160"/>
        <v/>
      </c>
      <c r="BS1733" s="304" t="str">
        <f t="shared" si="1160"/>
        <v/>
      </c>
      <c r="BT1733" s="28"/>
      <c r="BU1733" s="304" t="str">
        <f t="shared" si="1161"/>
        <v/>
      </c>
      <c r="BV1733" s="304" t="str">
        <f t="shared" si="1161"/>
        <v/>
      </c>
      <c r="BW1733" s="28"/>
      <c r="BX1733" s="91"/>
    </row>
    <row r="1734" spans="1:76" s="55" customFormat="1" x14ac:dyDescent="0.25">
      <c r="A1734" s="195">
        <v>4</v>
      </c>
      <c r="B1734" s="216" t="str">
        <f t="shared" si="1149"/>
        <v xml:space="preserve">: </v>
      </c>
      <c r="C1734" s="221"/>
      <c r="D1734" s="221"/>
      <c r="E1734" s="221"/>
      <c r="F1734" s="221"/>
      <c r="G1734" s="240"/>
      <c r="H1734" s="221"/>
      <c r="I1734" s="240"/>
      <c r="J1734" s="241"/>
      <c r="K1734" s="241"/>
      <c r="L1734" s="227"/>
      <c r="M1734" s="227"/>
      <c r="N1734" s="227"/>
      <c r="O1734" s="227"/>
      <c r="P1734" s="122"/>
      <c r="Q1734" s="228"/>
      <c r="R1734" s="231" t="str">
        <f t="shared" si="1162"/>
        <v/>
      </c>
      <c r="S1734" s="230" t="str">
        <f t="shared" si="1150"/>
        <v/>
      </c>
      <c r="T1734" s="231" t="str">
        <f>IF(OR(Q1734="Y",IFERROR(R1734&gt;R1751+R1755*$AA$35,0),IFERROR(R1734&lt;R1751-R1755*$AA$35,0)),"",IFERROR(R1734*N1734,""))</f>
        <v/>
      </c>
      <c r="U1734" s="232" t="str">
        <f t="shared" si="1151"/>
        <v/>
      </c>
      <c r="V1734" s="28"/>
      <c r="W1734" s="28"/>
      <c r="Y1734" s="91"/>
      <c r="AO1734" s="91"/>
      <c r="AP1734" s="28"/>
      <c r="AQ1734" s="28"/>
      <c r="AR1734" s="237"/>
      <c r="AS1734" s="28"/>
      <c r="AT1734" s="304" t="str">
        <f t="shared" si="1152"/>
        <v/>
      </c>
      <c r="AU1734" s="304" t="str">
        <f t="shared" si="1152"/>
        <v/>
      </c>
      <c r="AV1734" s="28"/>
      <c r="AW1734" s="304" t="str">
        <f t="shared" si="1153"/>
        <v/>
      </c>
      <c r="AX1734" s="304" t="str">
        <f t="shared" si="1153"/>
        <v/>
      </c>
      <c r="AY1734" s="28"/>
      <c r="AZ1734" s="304" t="str">
        <f t="shared" si="1154"/>
        <v/>
      </c>
      <c r="BA1734" s="304" t="str">
        <f t="shared" si="1154"/>
        <v/>
      </c>
      <c r="BB1734" s="28"/>
      <c r="BC1734" s="304" t="str">
        <f t="shared" si="1155"/>
        <v/>
      </c>
      <c r="BD1734" s="304" t="str">
        <f t="shared" si="1155"/>
        <v/>
      </c>
      <c r="BE1734" s="28"/>
      <c r="BF1734" s="304" t="str">
        <f t="shared" si="1156"/>
        <v/>
      </c>
      <c r="BG1734" s="304" t="str">
        <f t="shared" si="1156"/>
        <v/>
      </c>
      <c r="BH1734" s="28"/>
      <c r="BI1734" s="304" t="str">
        <f t="shared" si="1157"/>
        <v/>
      </c>
      <c r="BJ1734" s="304" t="str">
        <f t="shared" si="1157"/>
        <v/>
      </c>
      <c r="BK1734" s="28"/>
      <c r="BL1734" s="304" t="str">
        <f t="shared" si="1158"/>
        <v/>
      </c>
      <c r="BM1734" s="304" t="str">
        <f t="shared" si="1158"/>
        <v/>
      </c>
      <c r="BN1734" s="28"/>
      <c r="BO1734" s="304" t="str">
        <f t="shared" si="1159"/>
        <v/>
      </c>
      <c r="BP1734" s="304" t="str">
        <f t="shared" si="1159"/>
        <v/>
      </c>
      <c r="BQ1734" s="28"/>
      <c r="BR1734" s="304" t="str">
        <f t="shared" si="1160"/>
        <v/>
      </c>
      <c r="BS1734" s="304" t="str">
        <f t="shared" si="1160"/>
        <v/>
      </c>
      <c r="BT1734" s="28"/>
      <c r="BU1734" s="304" t="str">
        <f t="shared" si="1161"/>
        <v/>
      </c>
      <c r="BV1734" s="304" t="str">
        <f t="shared" si="1161"/>
        <v/>
      </c>
      <c r="BW1734" s="28"/>
      <c r="BX1734" s="91"/>
    </row>
    <row r="1735" spans="1:76" s="55" customFormat="1" x14ac:dyDescent="0.25">
      <c r="A1735" s="195">
        <v>5</v>
      </c>
      <c r="B1735" s="216" t="str">
        <f t="shared" si="1149"/>
        <v xml:space="preserve">: </v>
      </c>
      <c r="C1735" s="221"/>
      <c r="D1735" s="221"/>
      <c r="E1735" s="221"/>
      <c r="F1735" s="221"/>
      <c r="G1735" s="240"/>
      <c r="H1735" s="221"/>
      <c r="I1735" s="240"/>
      <c r="J1735" s="241"/>
      <c r="K1735" s="241"/>
      <c r="L1735" s="227"/>
      <c r="M1735" s="227"/>
      <c r="N1735" s="227"/>
      <c r="O1735" s="227"/>
      <c r="P1735" s="122"/>
      <c r="Q1735" s="228"/>
      <c r="R1735" s="231" t="str">
        <f t="shared" si="1162"/>
        <v/>
      </c>
      <c r="S1735" s="230" t="str">
        <f t="shared" si="1150"/>
        <v/>
      </c>
      <c r="T1735" s="231" t="str">
        <f>IF(OR(Q1735="Y",IFERROR(R1735&gt;R1751+R1755*$AA$35,0),IFERROR(R1735&lt;R1751-R1755*$AA$35,0)),"",IFERROR(R1735*N1735,""))</f>
        <v/>
      </c>
      <c r="U1735" s="232" t="str">
        <f t="shared" si="1151"/>
        <v/>
      </c>
      <c r="V1735" s="28"/>
      <c r="W1735" s="28"/>
      <c r="Y1735" s="91"/>
      <c r="AO1735" s="91"/>
      <c r="AP1735" s="28"/>
      <c r="AQ1735" s="28"/>
      <c r="AR1735" s="237"/>
      <c r="AS1735" s="28"/>
      <c r="AT1735" s="304" t="str">
        <f t="shared" si="1152"/>
        <v/>
      </c>
      <c r="AU1735" s="304" t="str">
        <f t="shared" si="1152"/>
        <v/>
      </c>
      <c r="AV1735" s="28"/>
      <c r="AW1735" s="304" t="str">
        <f t="shared" si="1153"/>
        <v/>
      </c>
      <c r="AX1735" s="304" t="str">
        <f t="shared" si="1153"/>
        <v/>
      </c>
      <c r="AY1735" s="28"/>
      <c r="AZ1735" s="304" t="str">
        <f t="shared" si="1154"/>
        <v/>
      </c>
      <c r="BA1735" s="304" t="str">
        <f t="shared" si="1154"/>
        <v/>
      </c>
      <c r="BB1735" s="28"/>
      <c r="BC1735" s="304" t="str">
        <f t="shared" si="1155"/>
        <v/>
      </c>
      <c r="BD1735" s="304" t="str">
        <f t="shared" si="1155"/>
        <v/>
      </c>
      <c r="BE1735" s="28"/>
      <c r="BF1735" s="304" t="str">
        <f t="shared" si="1156"/>
        <v/>
      </c>
      <c r="BG1735" s="304" t="str">
        <f t="shared" si="1156"/>
        <v/>
      </c>
      <c r="BH1735" s="28"/>
      <c r="BI1735" s="304" t="str">
        <f t="shared" si="1157"/>
        <v/>
      </c>
      <c r="BJ1735" s="304" t="str">
        <f t="shared" si="1157"/>
        <v/>
      </c>
      <c r="BK1735" s="28"/>
      <c r="BL1735" s="304" t="str">
        <f t="shared" si="1158"/>
        <v/>
      </c>
      <c r="BM1735" s="304" t="str">
        <f t="shared" si="1158"/>
        <v/>
      </c>
      <c r="BN1735" s="28"/>
      <c r="BO1735" s="304" t="str">
        <f t="shared" si="1159"/>
        <v/>
      </c>
      <c r="BP1735" s="304" t="str">
        <f t="shared" si="1159"/>
        <v/>
      </c>
      <c r="BQ1735" s="28"/>
      <c r="BR1735" s="304" t="str">
        <f t="shared" si="1160"/>
        <v/>
      </c>
      <c r="BS1735" s="304" t="str">
        <f t="shared" si="1160"/>
        <v/>
      </c>
      <c r="BT1735" s="28"/>
      <c r="BU1735" s="304" t="str">
        <f t="shared" si="1161"/>
        <v/>
      </c>
      <c r="BV1735" s="304" t="str">
        <f t="shared" si="1161"/>
        <v/>
      </c>
      <c r="BW1735" s="28"/>
      <c r="BX1735" s="91"/>
    </row>
    <row r="1736" spans="1:76" s="55" customFormat="1" x14ac:dyDescent="0.25">
      <c r="A1736" s="195">
        <v>6</v>
      </c>
      <c r="B1736" s="216" t="str">
        <f t="shared" si="1149"/>
        <v xml:space="preserve">: </v>
      </c>
      <c r="C1736" s="221"/>
      <c r="D1736" s="221"/>
      <c r="E1736" s="221"/>
      <c r="F1736" s="221"/>
      <c r="G1736" s="240"/>
      <c r="H1736" s="221"/>
      <c r="I1736" s="240"/>
      <c r="J1736" s="241"/>
      <c r="K1736" s="241"/>
      <c r="L1736" s="227"/>
      <c r="M1736" s="227"/>
      <c r="N1736" s="227"/>
      <c r="O1736" s="227"/>
      <c r="P1736" s="122"/>
      <c r="Q1736" s="228"/>
      <c r="R1736" s="231" t="str">
        <f t="shared" si="1162"/>
        <v/>
      </c>
      <c r="S1736" s="230" t="str">
        <f t="shared" si="1150"/>
        <v/>
      </c>
      <c r="T1736" s="231" t="str">
        <f>IF(OR(Q1736="Y",IFERROR(R1736&gt;R1751+R1755*$AA$35,0),IFERROR(R1736&lt;R1751-R1755*$AA$35,0)),"",IFERROR(R1736*N1736,""))</f>
        <v/>
      </c>
      <c r="U1736" s="232" t="str">
        <f t="shared" si="1151"/>
        <v/>
      </c>
      <c r="V1736" s="28"/>
      <c r="W1736" s="28"/>
      <c r="Y1736" s="91"/>
      <c r="AO1736" s="91"/>
      <c r="AP1736" s="28"/>
      <c r="AQ1736" s="28"/>
      <c r="AR1736" s="237"/>
      <c r="AS1736" s="28"/>
      <c r="AT1736" s="304" t="str">
        <f t="shared" si="1152"/>
        <v/>
      </c>
      <c r="AU1736" s="304" t="str">
        <f t="shared" si="1152"/>
        <v/>
      </c>
      <c r="AV1736" s="28"/>
      <c r="AW1736" s="304" t="str">
        <f t="shared" si="1153"/>
        <v/>
      </c>
      <c r="AX1736" s="304" t="str">
        <f t="shared" si="1153"/>
        <v/>
      </c>
      <c r="AY1736" s="28"/>
      <c r="AZ1736" s="304" t="str">
        <f t="shared" si="1154"/>
        <v/>
      </c>
      <c r="BA1736" s="304" t="str">
        <f t="shared" si="1154"/>
        <v/>
      </c>
      <c r="BB1736" s="28"/>
      <c r="BC1736" s="304" t="str">
        <f t="shared" si="1155"/>
        <v/>
      </c>
      <c r="BD1736" s="304" t="str">
        <f t="shared" si="1155"/>
        <v/>
      </c>
      <c r="BE1736" s="28"/>
      <c r="BF1736" s="304" t="str">
        <f t="shared" si="1156"/>
        <v/>
      </c>
      <c r="BG1736" s="304" t="str">
        <f t="shared" si="1156"/>
        <v/>
      </c>
      <c r="BH1736" s="28"/>
      <c r="BI1736" s="304" t="str">
        <f t="shared" si="1157"/>
        <v/>
      </c>
      <c r="BJ1736" s="304" t="str">
        <f t="shared" si="1157"/>
        <v/>
      </c>
      <c r="BK1736" s="28"/>
      <c r="BL1736" s="304" t="str">
        <f t="shared" si="1158"/>
        <v/>
      </c>
      <c r="BM1736" s="304" t="str">
        <f t="shared" si="1158"/>
        <v/>
      </c>
      <c r="BN1736" s="28"/>
      <c r="BO1736" s="304" t="str">
        <f t="shared" si="1159"/>
        <v/>
      </c>
      <c r="BP1736" s="304" t="str">
        <f t="shared" si="1159"/>
        <v/>
      </c>
      <c r="BQ1736" s="28"/>
      <c r="BR1736" s="304" t="str">
        <f t="shared" si="1160"/>
        <v/>
      </c>
      <c r="BS1736" s="304" t="str">
        <f t="shared" si="1160"/>
        <v/>
      </c>
      <c r="BT1736" s="28"/>
      <c r="BU1736" s="304" t="str">
        <f t="shared" si="1161"/>
        <v/>
      </c>
      <c r="BV1736" s="304" t="str">
        <f t="shared" si="1161"/>
        <v/>
      </c>
      <c r="BW1736" s="28"/>
      <c r="BX1736" s="91"/>
    </row>
    <row r="1737" spans="1:76" s="55" customFormat="1" x14ac:dyDescent="0.25">
      <c r="A1737" s="195">
        <v>7</v>
      </c>
      <c r="B1737" s="216" t="str">
        <f t="shared" si="1149"/>
        <v xml:space="preserve">: </v>
      </c>
      <c r="C1737" s="221"/>
      <c r="D1737" s="221"/>
      <c r="E1737" s="221"/>
      <c r="F1737" s="221"/>
      <c r="G1737" s="240"/>
      <c r="H1737" s="221"/>
      <c r="I1737" s="240"/>
      <c r="J1737" s="241"/>
      <c r="K1737" s="241"/>
      <c r="L1737" s="227"/>
      <c r="M1737" s="227"/>
      <c r="N1737" s="227"/>
      <c r="O1737" s="227"/>
      <c r="P1737" s="122"/>
      <c r="Q1737" s="228"/>
      <c r="R1737" s="231" t="str">
        <f t="shared" si="1162"/>
        <v/>
      </c>
      <c r="S1737" s="230" t="str">
        <f t="shared" si="1150"/>
        <v/>
      </c>
      <c r="T1737" s="231" t="str">
        <f>IF(OR(Q1737="Y",IFERROR(R1737&gt;R1751+R1755*$AA$35,0),IFERROR(R1737&lt;R1751-R1755*$AA$35,0)),"",IFERROR(R1737*N1737,""))</f>
        <v/>
      </c>
      <c r="U1737" s="232" t="str">
        <f t="shared" si="1151"/>
        <v/>
      </c>
      <c r="V1737" s="28"/>
      <c r="W1737" s="28"/>
      <c r="Y1737" s="91"/>
      <c r="AO1737" s="91"/>
      <c r="AP1737" s="28"/>
      <c r="AQ1737" s="28"/>
      <c r="AR1737" s="237"/>
      <c r="AS1737" s="28"/>
      <c r="AT1737" s="304" t="str">
        <f t="shared" si="1152"/>
        <v/>
      </c>
      <c r="AU1737" s="304" t="str">
        <f t="shared" si="1152"/>
        <v/>
      </c>
      <c r="AV1737" s="28"/>
      <c r="AW1737" s="304" t="str">
        <f t="shared" si="1153"/>
        <v/>
      </c>
      <c r="AX1737" s="304" t="str">
        <f t="shared" si="1153"/>
        <v/>
      </c>
      <c r="AY1737" s="28"/>
      <c r="AZ1737" s="304" t="str">
        <f t="shared" si="1154"/>
        <v/>
      </c>
      <c r="BA1737" s="304" t="str">
        <f t="shared" si="1154"/>
        <v/>
      </c>
      <c r="BB1737" s="28"/>
      <c r="BC1737" s="304" t="str">
        <f t="shared" si="1155"/>
        <v/>
      </c>
      <c r="BD1737" s="304" t="str">
        <f t="shared" si="1155"/>
        <v/>
      </c>
      <c r="BE1737" s="28"/>
      <c r="BF1737" s="304" t="str">
        <f t="shared" si="1156"/>
        <v/>
      </c>
      <c r="BG1737" s="304" t="str">
        <f t="shared" si="1156"/>
        <v/>
      </c>
      <c r="BH1737" s="28"/>
      <c r="BI1737" s="304" t="str">
        <f t="shared" si="1157"/>
        <v/>
      </c>
      <c r="BJ1737" s="304" t="str">
        <f t="shared" si="1157"/>
        <v/>
      </c>
      <c r="BK1737" s="28"/>
      <c r="BL1737" s="304" t="str">
        <f t="shared" si="1158"/>
        <v/>
      </c>
      <c r="BM1737" s="304" t="str">
        <f t="shared" si="1158"/>
        <v/>
      </c>
      <c r="BN1737" s="28"/>
      <c r="BO1737" s="304" t="str">
        <f t="shared" si="1159"/>
        <v/>
      </c>
      <c r="BP1737" s="304" t="str">
        <f t="shared" si="1159"/>
        <v/>
      </c>
      <c r="BQ1737" s="28"/>
      <c r="BR1737" s="304" t="str">
        <f t="shared" si="1160"/>
        <v/>
      </c>
      <c r="BS1737" s="304" t="str">
        <f t="shared" si="1160"/>
        <v/>
      </c>
      <c r="BT1737" s="28"/>
      <c r="BU1737" s="304" t="str">
        <f t="shared" si="1161"/>
        <v/>
      </c>
      <c r="BV1737" s="304" t="str">
        <f t="shared" si="1161"/>
        <v/>
      </c>
      <c r="BW1737" s="28"/>
      <c r="BX1737" s="91"/>
    </row>
    <row r="1738" spans="1:76" s="55" customFormat="1" x14ac:dyDescent="0.25">
      <c r="A1738" s="195">
        <v>8</v>
      </c>
      <c r="B1738" s="216" t="str">
        <f t="shared" si="1149"/>
        <v xml:space="preserve">: </v>
      </c>
      <c r="C1738" s="221"/>
      <c r="D1738" s="221"/>
      <c r="E1738" s="221"/>
      <c r="F1738" s="221"/>
      <c r="G1738" s="240"/>
      <c r="H1738" s="221"/>
      <c r="I1738" s="240"/>
      <c r="J1738" s="241"/>
      <c r="K1738" s="241"/>
      <c r="L1738" s="227"/>
      <c r="M1738" s="227"/>
      <c r="N1738" s="227"/>
      <c r="O1738" s="227"/>
      <c r="P1738" s="122"/>
      <c r="Q1738" s="228"/>
      <c r="R1738" s="231" t="str">
        <f t="shared" si="1162"/>
        <v/>
      </c>
      <c r="S1738" s="230" t="str">
        <f t="shared" si="1150"/>
        <v/>
      </c>
      <c r="T1738" s="231" t="str">
        <f>IF(OR(Q1738="Y",IFERROR(R1738&gt;R1751+R1755*$AA$35,0),IFERROR(R1738&lt;R1751-R1755*$AA$35,0)),"",IFERROR(R1738*N1738,""))</f>
        <v/>
      </c>
      <c r="U1738" s="232" t="str">
        <f t="shared" si="1151"/>
        <v/>
      </c>
      <c r="V1738" s="28"/>
      <c r="W1738" s="28"/>
      <c r="Y1738" s="91"/>
      <c r="AO1738" s="91"/>
      <c r="AP1738" s="28"/>
      <c r="AQ1738" s="28"/>
      <c r="AR1738" s="237"/>
      <c r="AS1738" s="28"/>
      <c r="AT1738" s="304" t="str">
        <f t="shared" si="1152"/>
        <v/>
      </c>
      <c r="AU1738" s="304" t="str">
        <f t="shared" si="1152"/>
        <v/>
      </c>
      <c r="AV1738" s="28"/>
      <c r="AW1738" s="304" t="str">
        <f t="shared" si="1153"/>
        <v/>
      </c>
      <c r="AX1738" s="304" t="str">
        <f t="shared" si="1153"/>
        <v/>
      </c>
      <c r="AY1738" s="28"/>
      <c r="AZ1738" s="304" t="str">
        <f t="shared" si="1154"/>
        <v/>
      </c>
      <c r="BA1738" s="304" t="str">
        <f t="shared" si="1154"/>
        <v/>
      </c>
      <c r="BB1738" s="28"/>
      <c r="BC1738" s="304" t="str">
        <f t="shared" si="1155"/>
        <v/>
      </c>
      <c r="BD1738" s="304" t="str">
        <f t="shared" si="1155"/>
        <v/>
      </c>
      <c r="BE1738" s="28"/>
      <c r="BF1738" s="304" t="str">
        <f t="shared" si="1156"/>
        <v/>
      </c>
      <c r="BG1738" s="304" t="str">
        <f t="shared" si="1156"/>
        <v/>
      </c>
      <c r="BH1738" s="28"/>
      <c r="BI1738" s="304" t="str">
        <f t="shared" si="1157"/>
        <v/>
      </c>
      <c r="BJ1738" s="304" t="str">
        <f t="shared" si="1157"/>
        <v/>
      </c>
      <c r="BK1738" s="28"/>
      <c r="BL1738" s="304" t="str">
        <f t="shared" si="1158"/>
        <v/>
      </c>
      <c r="BM1738" s="304" t="str">
        <f t="shared" si="1158"/>
        <v/>
      </c>
      <c r="BN1738" s="28"/>
      <c r="BO1738" s="304" t="str">
        <f t="shared" si="1159"/>
        <v/>
      </c>
      <c r="BP1738" s="304" t="str">
        <f t="shared" si="1159"/>
        <v/>
      </c>
      <c r="BQ1738" s="28"/>
      <c r="BR1738" s="304" t="str">
        <f t="shared" si="1160"/>
        <v/>
      </c>
      <c r="BS1738" s="304" t="str">
        <f t="shared" si="1160"/>
        <v/>
      </c>
      <c r="BT1738" s="28"/>
      <c r="BU1738" s="304" t="str">
        <f t="shared" si="1161"/>
        <v/>
      </c>
      <c r="BV1738" s="304" t="str">
        <f t="shared" si="1161"/>
        <v/>
      </c>
      <c r="BW1738" s="28"/>
      <c r="BX1738" s="91"/>
    </row>
    <row r="1739" spans="1:76" s="55" customFormat="1" x14ac:dyDescent="0.25">
      <c r="A1739" s="195">
        <v>9</v>
      </c>
      <c r="B1739" s="216" t="str">
        <f t="shared" si="1149"/>
        <v xml:space="preserve">: </v>
      </c>
      <c r="C1739" s="221"/>
      <c r="D1739" s="221"/>
      <c r="E1739" s="221"/>
      <c r="F1739" s="221"/>
      <c r="G1739" s="240"/>
      <c r="H1739" s="221"/>
      <c r="I1739" s="240"/>
      <c r="J1739" s="241"/>
      <c r="K1739" s="241"/>
      <c r="L1739" s="227"/>
      <c r="M1739" s="227"/>
      <c r="N1739" s="227"/>
      <c r="O1739" s="227"/>
      <c r="P1739" s="122"/>
      <c r="Q1739" s="228"/>
      <c r="R1739" s="231" t="str">
        <f t="shared" si="1162"/>
        <v/>
      </c>
      <c r="S1739" s="230" t="str">
        <f t="shared" si="1150"/>
        <v/>
      </c>
      <c r="T1739" s="231" t="str">
        <f>IF(OR(Q1739="Y",IFERROR(R1739&gt;R1751+R1755*$AA$35,0),IFERROR(R1739&lt;R1751-R1755*$AA$35,0)),"",IFERROR(R1739*N1739,""))</f>
        <v/>
      </c>
      <c r="U1739" s="232" t="str">
        <f t="shared" si="1151"/>
        <v/>
      </c>
      <c r="V1739" s="28"/>
      <c r="W1739" s="28"/>
      <c r="Y1739" s="91"/>
      <c r="AO1739" s="91"/>
      <c r="AP1739" s="28"/>
      <c r="AQ1739" s="28"/>
      <c r="AR1739" s="237"/>
      <c r="AS1739" s="28"/>
      <c r="AT1739" s="304" t="str">
        <f t="shared" si="1152"/>
        <v/>
      </c>
      <c r="AU1739" s="304" t="str">
        <f t="shared" si="1152"/>
        <v/>
      </c>
      <c r="AV1739" s="28"/>
      <c r="AW1739" s="304" t="str">
        <f t="shared" si="1153"/>
        <v/>
      </c>
      <c r="AX1739" s="304" t="str">
        <f t="shared" si="1153"/>
        <v/>
      </c>
      <c r="AY1739" s="28"/>
      <c r="AZ1739" s="304" t="str">
        <f t="shared" si="1154"/>
        <v/>
      </c>
      <c r="BA1739" s="304" t="str">
        <f t="shared" si="1154"/>
        <v/>
      </c>
      <c r="BB1739" s="28"/>
      <c r="BC1739" s="304" t="str">
        <f t="shared" si="1155"/>
        <v/>
      </c>
      <c r="BD1739" s="304" t="str">
        <f t="shared" si="1155"/>
        <v/>
      </c>
      <c r="BE1739" s="28"/>
      <c r="BF1739" s="304" t="str">
        <f t="shared" si="1156"/>
        <v/>
      </c>
      <c r="BG1739" s="304" t="str">
        <f t="shared" si="1156"/>
        <v/>
      </c>
      <c r="BH1739" s="28"/>
      <c r="BI1739" s="304" t="str">
        <f t="shared" si="1157"/>
        <v/>
      </c>
      <c r="BJ1739" s="304" t="str">
        <f t="shared" si="1157"/>
        <v/>
      </c>
      <c r="BK1739" s="28"/>
      <c r="BL1739" s="304" t="str">
        <f t="shared" si="1158"/>
        <v/>
      </c>
      <c r="BM1739" s="304" t="str">
        <f t="shared" si="1158"/>
        <v/>
      </c>
      <c r="BN1739" s="28"/>
      <c r="BO1739" s="304" t="str">
        <f t="shared" si="1159"/>
        <v/>
      </c>
      <c r="BP1739" s="304" t="str">
        <f t="shared" si="1159"/>
        <v/>
      </c>
      <c r="BQ1739" s="28"/>
      <c r="BR1739" s="304" t="str">
        <f t="shared" si="1160"/>
        <v/>
      </c>
      <c r="BS1739" s="304" t="str">
        <f t="shared" si="1160"/>
        <v/>
      </c>
      <c r="BT1739" s="28"/>
      <c r="BU1739" s="304" t="str">
        <f t="shared" si="1161"/>
        <v/>
      </c>
      <c r="BV1739" s="304" t="str">
        <f t="shared" si="1161"/>
        <v/>
      </c>
      <c r="BW1739" s="28"/>
      <c r="BX1739" s="91"/>
    </row>
    <row r="1740" spans="1:76" s="55" customFormat="1" x14ac:dyDescent="0.25">
      <c r="A1740" s="195">
        <v>10</v>
      </c>
      <c r="B1740" s="216" t="str">
        <f t="shared" si="1149"/>
        <v xml:space="preserve">: </v>
      </c>
      <c r="C1740" s="221"/>
      <c r="D1740" s="221"/>
      <c r="E1740" s="221"/>
      <c r="F1740" s="221"/>
      <c r="G1740" s="240"/>
      <c r="H1740" s="221"/>
      <c r="I1740" s="240"/>
      <c r="J1740" s="241"/>
      <c r="K1740" s="241"/>
      <c r="L1740" s="227"/>
      <c r="M1740" s="227"/>
      <c r="N1740" s="227"/>
      <c r="O1740" s="227"/>
      <c r="P1740" s="122"/>
      <c r="Q1740" s="228"/>
      <c r="R1740" s="231" t="str">
        <f t="shared" si="1162"/>
        <v/>
      </c>
      <c r="S1740" s="230" t="str">
        <f t="shared" si="1150"/>
        <v/>
      </c>
      <c r="T1740" s="231" t="str">
        <f>IF(OR(Q1740="Y",IFERROR(R1740&gt;R1751+R1755*$AA$35,0),IFERROR(R1740&lt;R1751-R1755*$AA$35,0)),"",IFERROR(R1740*N1740,""))</f>
        <v/>
      </c>
      <c r="U1740" s="232" t="str">
        <f t="shared" si="1151"/>
        <v/>
      </c>
      <c r="V1740" s="28"/>
      <c r="W1740" s="28"/>
      <c r="Y1740" s="91"/>
      <c r="AO1740" s="91"/>
      <c r="AP1740" s="28"/>
      <c r="AQ1740" s="28"/>
      <c r="AR1740" s="237"/>
      <c r="AS1740" s="28"/>
      <c r="AT1740" s="304" t="str">
        <f t="shared" si="1152"/>
        <v/>
      </c>
      <c r="AU1740" s="304" t="str">
        <f t="shared" si="1152"/>
        <v/>
      </c>
      <c r="AV1740" s="28"/>
      <c r="AW1740" s="304" t="str">
        <f t="shared" si="1153"/>
        <v/>
      </c>
      <c r="AX1740" s="304" t="str">
        <f t="shared" si="1153"/>
        <v/>
      </c>
      <c r="AY1740" s="28"/>
      <c r="AZ1740" s="304" t="str">
        <f t="shared" si="1154"/>
        <v/>
      </c>
      <c r="BA1740" s="304" t="str">
        <f t="shared" si="1154"/>
        <v/>
      </c>
      <c r="BB1740" s="28"/>
      <c r="BC1740" s="304" t="str">
        <f t="shared" si="1155"/>
        <v/>
      </c>
      <c r="BD1740" s="304" t="str">
        <f t="shared" si="1155"/>
        <v/>
      </c>
      <c r="BE1740" s="28"/>
      <c r="BF1740" s="304" t="str">
        <f t="shared" si="1156"/>
        <v/>
      </c>
      <c r="BG1740" s="304" t="str">
        <f t="shared" si="1156"/>
        <v/>
      </c>
      <c r="BH1740" s="28"/>
      <c r="BI1740" s="304" t="str">
        <f t="shared" si="1157"/>
        <v/>
      </c>
      <c r="BJ1740" s="304" t="str">
        <f t="shared" si="1157"/>
        <v/>
      </c>
      <c r="BK1740" s="28"/>
      <c r="BL1740" s="304" t="str">
        <f t="shared" si="1158"/>
        <v/>
      </c>
      <c r="BM1740" s="304" t="str">
        <f t="shared" si="1158"/>
        <v/>
      </c>
      <c r="BN1740" s="28"/>
      <c r="BO1740" s="304" t="str">
        <f t="shared" si="1159"/>
        <v/>
      </c>
      <c r="BP1740" s="304" t="str">
        <f t="shared" si="1159"/>
        <v/>
      </c>
      <c r="BQ1740" s="28"/>
      <c r="BR1740" s="304" t="str">
        <f t="shared" si="1160"/>
        <v/>
      </c>
      <c r="BS1740" s="304" t="str">
        <f t="shared" si="1160"/>
        <v/>
      </c>
      <c r="BT1740" s="28"/>
      <c r="BU1740" s="304" t="str">
        <f t="shared" si="1161"/>
        <v/>
      </c>
      <c r="BV1740" s="304" t="str">
        <f t="shared" si="1161"/>
        <v/>
      </c>
      <c r="BW1740" s="28"/>
      <c r="BX1740" s="91"/>
    </row>
    <row r="1741" spans="1:76" s="55" customFormat="1" x14ac:dyDescent="0.25">
      <c r="A1741" s="195">
        <v>11</v>
      </c>
      <c r="B1741" s="216" t="str">
        <f t="shared" si="1149"/>
        <v xml:space="preserve">: </v>
      </c>
      <c r="C1741" s="221"/>
      <c r="D1741" s="221"/>
      <c r="E1741" s="221"/>
      <c r="F1741" s="221"/>
      <c r="G1741" s="240"/>
      <c r="H1741" s="221"/>
      <c r="I1741" s="240"/>
      <c r="J1741" s="241"/>
      <c r="K1741" s="241"/>
      <c r="L1741" s="227"/>
      <c r="M1741" s="227"/>
      <c r="N1741" s="227"/>
      <c r="O1741" s="227"/>
      <c r="P1741" s="122"/>
      <c r="Q1741" s="228"/>
      <c r="R1741" s="231" t="str">
        <f t="shared" si="1162"/>
        <v/>
      </c>
      <c r="S1741" s="230" t="str">
        <f t="shared" si="1150"/>
        <v/>
      </c>
      <c r="T1741" s="231" t="str">
        <f>IF(OR(Q1741="Y",IFERROR(R1741&gt;R1751+R1755*$AA$35,0),IFERROR(R1741&lt;R1751-R1755*$AA$35,0)),"",IFERROR(R1741*N1741,""))</f>
        <v/>
      </c>
      <c r="U1741" s="232" t="str">
        <f t="shared" si="1151"/>
        <v/>
      </c>
      <c r="V1741" s="28"/>
      <c r="W1741" s="28"/>
      <c r="Y1741" s="91"/>
      <c r="AO1741" s="91"/>
      <c r="AP1741" s="28"/>
      <c r="AQ1741" s="28"/>
      <c r="AR1741" s="237"/>
      <c r="AS1741" s="28"/>
      <c r="AT1741" s="304" t="str">
        <f t="shared" si="1152"/>
        <v/>
      </c>
      <c r="AU1741" s="304" t="str">
        <f t="shared" si="1152"/>
        <v/>
      </c>
      <c r="AV1741" s="28"/>
      <c r="AW1741" s="304" t="str">
        <f t="shared" si="1153"/>
        <v/>
      </c>
      <c r="AX1741" s="304" t="str">
        <f t="shared" si="1153"/>
        <v/>
      </c>
      <c r="AY1741" s="28"/>
      <c r="AZ1741" s="304" t="str">
        <f t="shared" si="1154"/>
        <v/>
      </c>
      <c r="BA1741" s="304" t="str">
        <f t="shared" si="1154"/>
        <v/>
      </c>
      <c r="BB1741" s="28"/>
      <c r="BC1741" s="304" t="str">
        <f t="shared" si="1155"/>
        <v/>
      </c>
      <c r="BD1741" s="304" t="str">
        <f t="shared" si="1155"/>
        <v/>
      </c>
      <c r="BE1741" s="28"/>
      <c r="BF1741" s="304" t="str">
        <f t="shared" si="1156"/>
        <v/>
      </c>
      <c r="BG1741" s="304" t="str">
        <f t="shared" si="1156"/>
        <v/>
      </c>
      <c r="BH1741" s="28"/>
      <c r="BI1741" s="304" t="str">
        <f t="shared" si="1157"/>
        <v/>
      </c>
      <c r="BJ1741" s="304" t="str">
        <f t="shared" si="1157"/>
        <v/>
      </c>
      <c r="BK1741" s="28"/>
      <c r="BL1741" s="304" t="str">
        <f t="shared" si="1158"/>
        <v/>
      </c>
      <c r="BM1741" s="304" t="str">
        <f t="shared" si="1158"/>
        <v/>
      </c>
      <c r="BN1741" s="28"/>
      <c r="BO1741" s="304" t="str">
        <f t="shared" si="1159"/>
        <v/>
      </c>
      <c r="BP1741" s="304" t="str">
        <f t="shared" si="1159"/>
        <v/>
      </c>
      <c r="BQ1741" s="28"/>
      <c r="BR1741" s="304" t="str">
        <f t="shared" si="1160"/>
        <v/>
      </c>
      <c r="BS1741" s="304" t="str">
        <f t="shared" si="1160"/>
        <v/>
      </c>
      <c r="BT1741" s="28"/>
      <c r="BU1741" s="304" t="str">
        <f t="shared" si="1161"/>
        <v/>
      </c>
      <c r="BV1741" s="304" t="str">
        <f t="shared" si="1161"/>
        <v/>
      </c>
      <c r="BW1741" s="28"/>
      <c r="BX1741" s="91"/>
    </row>
    <row r="1742" spans="1:76" s="55" customFormat="1" x14ac:dyDescent="0.25">
      <c r="A1742" s="195">
        <v>12</v>
      </c>
      <c r="B1742" s="216" t="str">
        <f t="shared" si="1149"/>
        <v xml:space="preserve">: </v>
      </c>
      <c r="C1742" s="221"/>
      <c r="D1742" s="221"/>
      <c r="E1742" s="221"/>
      <c r="F1742" s="221"/>
      <c r="G1742" s="240"/>
      <c r="H1742" s="221"/>
      <c r="I1742" s="240"/>
      <c r="J1742" s="241"/>
      <c r="K1742" s="241"/>
      <c r="L1742" s="227"/>
      <c r="M1742" s="227"/>
      <c r="N1742" s="227"/>
      <c r="O1742" s="227"/>
      <c r="P1742" s="122"/>
      <c r="Q1742" s="228"/>
      <c r="R1742" s="231" t="str">
        <f t="shared" si="1162"/>
        <v/>
      </c>
      <c r="S1742" s="230" t="str">
        <f t="shared" si="1150"/>
        <v/>
      </c>
      <c r="T1742" s="231" t="str">
        <f>IF(OR(Q1742="Y",IFERROR(R1742&gt;R1751+R1755*$AA$35,0),IFERROR(R1742&lt;R1751-R1755*$AA$35,0)),"",IFERROR(R1742*N1742,""))</f>
        <v/>
      </c>
      <c r="U1742" s="232" t="str">
        <f t="shared" si="1151"/>
        <v/>
      </c>
      <c r="V1742" s="28"/>
      <c r="W1742" s="28"/>
      <c r="Y1742" s="91"/>
      <c r="AO1742" s="91"/>
      <c r="AP1742" s="28"/>
      <c r="AQ1742" s="28"/>
      <c r="AR1742" s="237"/>
      <c r="AS1742" s="28"/>
      <c r="AT1742" s="304" t="str">
        <f t="shared" si="1152"/>
        <v/>
      </c>
      <c r="AU1742" s="304" t="str">
        <f t="shared" si="1152"/>
        <v/>
      </c>
      <c r="AV1742" s="28"/>
      <c r="AW1742" s="304" t="str">
        <f t="shared" si="1153"/>
        <v/>
      </c>
      <c r="AX1742" s="304" t="str">
        <f t="shared" si="1153"/>
        <v/>
      </c>
      <c r="AY1742" s="28"/>
      <c r="AZ1742" s="304" t="str">
        <f t="shared" si="1154"/>
        <v/>
      </c>
      <c r="BA1742" s="304" t="str">
        <f t="shared" si="1154"/>
        <v/>
      </c>
      <c r="BB1742" s="28"/>
      <c r="BC1742" s="304" t="str">
        <f t="shared" si="1155"/>
        <v/>
      </c>
      <c r="BD1742" s="304" t="str">
        <f t="shared" si="1155"/>
        <v/>
      </c>
      <c r="BE1742" s="28"/>
      <c r="BF1742" s="304" t="str">
        <f t="shared" si="1156"/>
        <v/>
      </c>
      <c r="BG1742" s="304" t="str">
        <f t="shared" si="1156"/>
        <v/>
      </c>
      <c r="BH1742" s="28"/>
      <c r="BI1742" s="304" t="str">
        <f t="shared" si="1157"/>
        <v/>
      </c>
      <c r="BJ1742" s="304" t="str">
        <f t="shared" si="1157"/>
        <v/>
      </c>
      <c r="BK1742" s="28"/>
      <c r="BL1742" s="304" t="str">
        <f t="shared" si="1158"/>
        <v/>
      </c>
      <c r="BM1742" s="304" t="str">
        <f t="shared" si="1158"/>
        <v/>
      </c>
      <c r="BN1742" s="28"/>
      <c r="BO1742" s="304" t="str">
        <f t="shared" si="1159"/>
        <v/>
      </c>
      <c r="BP1742" s="304" t="str">
        <f t="shared" si="1159"/>
        <v/>
      </c>
      <c r="BQ1742" s="28"/>
      <c r="BR1742" s="304" t="str">
        <f t="shared" si="1160"/>
        <v/>
      </c>
      <c r="BS1742" s="304" t="str">
        <f t="shared" si="1160"/>
        <v/>
      </c>
      <c r="BT1742" s="28"/>
      <c r="BU1742" s="304" t="str">
        <f t="shared" si="1161"/>
        <v/>
      </c>
      <c r="BV1742" s="304" t="str">
        <f t="shared" si="1161"/>
        <v/>
      </c>
      <c r="BW1742" s="28"/>
      <c r="BX1742" s="91"/>
    </row>
    <row r="1743" spans="1:76" s="55" customFormat="1" x14ac:dyDescent="0.25">
      <c r="A1743" s="195">
        <v>13</v>
      </c>
      <c r="B1743" s="216" t="str">
        <f t="shared" si="1149"/>
        <v xml:space="preserve">: </v>
      </c>
      <c r="C1743" s="221"/>
      <c r="D1743" s="221"/>
      <c r="E1743" s="221"/>
      <c r="F1743" s="221"/>
      <c r="G1743" s="240"/>
      <c r="H1743" s="221"/>
      <c r="I1743" s="240"/>
      <c r="J1743" s="241"/>
      <c r="K1743" s="241"/>
      <c r="L1743" s="227"/>
      <c r="M1743" s="227"/>
      <c r="N1743" s="227"/>
      <c r="O1743" s="227"/>
      <c r="P1743" s="122"/>
      <c r="Q1743" s="228"/>
      <c r="R1743" s="231" t="str">
        <f t="shared" si="1162"/>
        <v/>
      </c>
      <c r="S1743" s="230" t="str">
        <f t="shared" si="1150"/>
        <v/>
      </c>
      <c r="T1743" s="231" t="str">
        <f>IF(OR(Q1743="Y",IFERROR(R1743&gt;R1751+R1755*$AA$35,0),IFERROR(R1743&lt;R1751-R1755*$AA$35,0)),"",IFERROR(R1743*N1743,""))</f>
        <v/>
      </c>
      <c r="U1743" s="232" t="str">
        <f t="shared" si="1151"/>
        <v/>
      </c>
      <c r="V1743" s="28"/>
      <c r="W1743" s="28"/>
      <c r="Y1743" s="91"/>
      <c r="AO1743" s="91"/>
      <c r="AP1743" s="28"/>
      <c r="AQ1743" s="28"/>
      <c r="AR1743" s="237"/>
      <c r="AS1743" s="28"/>
      <c r="AT1743" s="304" t="str">
        <f t="shared" si="1152"/>
        <v/>
      </c>
      <c r="AU1743" s="304" t="str">
        <f t="shared" si="1152"/>
        <v/>
      </c>
      <c r="AV1743" s="28"/>
      <c r="AW1743" s="304" t="str">
        <f t="shared" si="1153"/>
        <v/>
      </c>
      <c r="AX1743" s="304" t="str">
        <f t="shared" si="1153"/>
        <v/>
      </c>
      <c r="AY1743" s="28"/>
      <c r="AZ1743" s="304" t="str">
        <f t="shared" si="1154"/>
        <v/>
      </c>
      <c r="BA1743" s="304" t="str">
        <f t="shared" si="1154"/>
        <v/>
      </c>
      <c r="BB1743" s="28"/>
      <c r="BC1743" s="304" t="str">
        <f t="shared" si="1155"/>
        <v/>
      </c>
      <c r="BD1743" s="304" t="str">
        <f t="shared" si="1155"/>
        <v/>
      </c>
      <c r="BE1743" s="28"/>
      <c r="BF1743" s="304" t="str">
        <f t="shared" si="1156"/>
        <v/>
      </c>
      <c r="BG1743" s="304" t="str">
        <f t="shared" si="1156"/>
        <v/>
      </c>
      <c r="BH1743" s="28"/>
      <c r="BI1743" s="304" t="str">
        <f t="shared" si="1157"/>
        <v/>
      </c>
      <c r="BJ1743" s="304" t="str">
        <f t="shared" si="1157"/>
        <v/>
      </c>
      <c r="BK1743" s="28"/>
      <c r="BL1743" s="304" t="str">
        <f t="shared" si="1158"/>
        <v/>
      </c>
      <c r="BM1743" s="304" t="str">
        <f t="shared" si="1158"/>
        <v/>
      </c>
      <c r="BN1743" s="28"/>
      <c r="BO1743" s="304" t="str">
        <f t="shared" si="1159"/>
        <v/>
      </c>
      <c r="BP1743" s="304" t="str">
        <f t="shared" si="1159"/>
        <v/>
      </c>
      <c r="BQ1743" s="28"/>
      <c r="BR1743" s="304" t="str">
        <f t="shared" si="1160"/>
        <v/>
      </c>
      <c r="BS1743" s="304" t="str">
        <f t="shared" si="1160"/>
        <v/>
      </c>
      <c r="BT1743" s="28"/>
      <c r="BU1743" s="304" t="str">
        <f t="shared" si="1161"/>
        <v/>
      </c>
      <c r="BV1743" s="304" t="str">
        <f t="shared" si="1161"/>
        <v/>
      </c>
      <c r="BW1743" s="28"/>
      <c r="BX1743" s="91"/>
    </row>
    <row r="1744" spans="1:76" s="55" customFormat="1" x14ac:dyDescent="0.25">
      <c r="A1744" s="195">
        <v>14</v>
      </c>
      <c r="B1744" s="216" t="str">
        <f t="shared" si="1149"/>
        <v xml:space="preserve">: </v>
      </c>
      <c r="C1744" s="221"/>
      <c r="D1744" s="221"/>
      <c r="E1744" s="221"/>
      <c r="F1744" s="221"/>
      <c r="G1744" s="240"/>
      <c r="H1744" s="221"/>
      <c r="I1744" s="240"/>
      <c r="J1744" s="241"/>
      <c r="K1744" s="241"/>
      <c r="L1744" s="227"/>
      <c r="M1744" s="227"/>
      <c r="N1744" s="227"/>
      <c r="O1744" s="227"/>
      <c r="P1744" s="122"/>
      <c r="Q1744" s="228"/>
      <c r="R1744" s="231" t="str">
        <f t="shared" si="1162"/>
        <v/>
      </c>
      <c r="S1744" s="230" t="str">
        <f t="shared" si="1150"/>
        <v/>
      </c>
      <c r="T1744" s="231" t="str">
        <f>IF(OR(Q1744="Y",IFERROR(R1744&gt;R1751+R1755*$AA$35,0),IFERROR(R1744&lt;R1751-R1755*$AA$35,0)),"",IFERROR(R1744*N1744,""))</f>
        <v/>
      </c>
      <c r="U1744" s="232" t="str">
        <f t="shared" si="1151"/>
        <v/>
      </c>
      <c r="V1744" s="28"/>
      <c r="W1744" s="28"/>
      <c r="Y1744" s="91"/>
      <c r="AO1744" s="91"/>
      <c r="AP1744" s="28"/>
      <c r="AQ1744" s="28"/>
      <c r="AR1744" s="237"/>
      <c r="AS1744" s="28"/>
      <c r="AT1744" s="304" t="str">
        <f t="shared" si="1152"/>
        <v/>
      </c>
      <c r="AU1744" s="304" t="str">
        <f t="shared" si="1152"/>
        <v/>
      </c>
      <c r="AV1744" s="28"/>
      <c r="AW1744" s="304" t="str">
        <f t="shared" si="1153"/>
        <v/>
      </c>
      <c r="AX1744" s="304" t="str">
        <f t="shared" si="1153"/>
        <v/>
      </c>
      <c r="AY1744" s="28"/>
      <c r="AZ1744" s="304" t="str">
        <f t="shared" si="1154"/>
        <v/>
      </c>
      <c r="BA1744" s="304" t="str">
        <f t="shared" si="1154"/>
        <v/>
      </c>
      <c r="BB1744" s="28"/>
      <c r="BC1744" s="304" t="str">
        <f t="shared" si="1155"/>
        <v/>
      </c>
      <c r="BD1744" s="304" t="str">
        <f t="shared" si="1155"/>
        <v/>
      </c>
      <c r="BE1744" s="28"/>
      <c r="BF1744" s="304" t="str">
        <f t="shared" si="1156"/>
        <v/>
      </c>
      <c r="BG1744" s="304" t="str">
        <f t="shared" si="1156"/>
        <v/>
      </c>
      <c r="BH1744" s="28"/>
      <c r="BI1744" s="304" t="str">
        <f t="shared" si="1157"/>
        <v/>
      </c>
      <c r="BJ1744" s="304" t="str">
        <f t="shared" si="1157"/>
        <v/>
      </c>
      <c r="BK1744" s="28"/>
      <c r="BL1744" s="304" t="str">
        <f t="shared" si="1158"/>
        <v/>
      </c>
      <c r="BM1744" s="304" t="str">
        <f t="shared" si="1158"/>
        <v/>
      </c>
      <c r="BN1744" s="28"/>
      <c r="BO1744" s="304" t="str">
        <f t="shared" si="1159"/>
        <v/>
      </c>
      <c r="BP1744" s="304" t="str">
        <f t="shared" si="1159"/>
        <v/>
      </c>
      <c r="BQ1744" s="28"/>
      <c r="BR1744" s="304" t="str">
        <f t="shared" si="1160"/>
        <v/>
      </c>
      <c r="BS1744" s="304" t="str">
        <f t="shared" si="1160"/>
        <v/>
      </c>
      <c r="BT1744" s="28"/>
      <c r="BU1744" s="304" t="str">
        <f t="shared" si="1161"/>
        <v/>
      </c>
      <c r="BV1744" s="304" t="str">
        <f t="shared" si="1161"/>
        <v/>
      </c>
      <c r="BW1744" s="28"/>
      <c r="BX1744" s="91"/>
    </row>
    <row r="1745" spans="1:76" s="55" customFormat="1" x14ac:dyDescent="0.25">
      <c r="A1745" s="195">
        <v>15</v>
      </c>
      <c r="B1745" s="216" t="str">
        <f t="shared" si="1149"/>
        <v xml:space="preserve">: </v>
      </c>
      <c r="C1745" s="221"/>
      <c r="D1745" s="221"/>
      <c r="E1745" s="221"/>
      <c r="F1745" s="221"/>
      <c r="G1745" s="240"/>
      <c r="H1745" s="221"/>
      <c r="I1745" s="240"/>
      <c r="J1745" s="241"/>
      <c r="K1745" s="241"/>
      <c r="L1745" s="227"/>
      <c r="M1745" s="227"/>
      <c r="N1745" s="227"/>
      <c r="O1745" s="227"/>
      <c r="P1745" s="122"/>
      <c r="Q1745" s="228"/>
      <c r="R1745" s="231" t="str">
        <f t="shared" si="1162"/>
        <v/>
      </c>
      <c r="S1745" s="230" t="str">
        <f t="shared" si="1150"/>
        <v/>
      </c>
      <c r="T1745" s="231" t="str">
        <f>IF(OR(Q1745="Y",IFERROR(R1745&gt;R1751+R1755*$AA$35,0),IFERROR(R1745&lt;R1751-R1755*$AA$35,0)),"",IFERROR(R1745*N1745,""))</f>
        <v/>
      </c>
      <c r="U1745" s="232" t="str">
        <f t="shared" si="1151"/>
        <v/>
      </c>
      <c r="V1745" s="28"/>
      <c r="W1745" s="28"/>
      <c r="Y1745" s="91"/>
      <c r="AO1745" s="91"/>
      <c r="AP1745" s="28"/>
      <c r="AQ1745" s="28"/>
      <c r="AR1745" s="237"/>
      <c r="AS1745" s="28"/>
      <c r="AT1745" s="304" t="str">
        <f t="shared" si="1152"/>
        <v/>
      </c>
      <c r="AU1745" s="304" t="str">
        <f t="shared" si="1152"/>
        <v/>
      </c>
      <c r="AV1745" s="28"/>
      <c r="AW1745" s="304" t="str">
        <f t="shared" si="1153"/>
        <v/>
      </c>
      <c r="AX1745" s="304" t="str">
        <f t="shared" si="1153"/>
        <v/>
      </c>
      <c r="AY1745" s="28"/>
      <c r="AZ1745" s="304" t="str">
        <f t="shared" si="1154"/>
        <v/>
      </c>
      <c r="BA1745" s="304" t="str">
        <f t="shared" si="1154"/>
        <v/>
      </c>
      <c r="BB1745" s="28"/>
      <c r="BC1745" s="304" t="str">
        <f t="shared" si="1155"/>
        <v/>
      </c>
      <c r="BD1745" s="304" t="str">
        <f t="shared" si="1155"/>
        <v/>
      </c>
      <c r="BE1745" s="28"/>
      <c r="BF1745" s="304" t="str">
        <f t="shared" si="1156"/>
        <v/>
      </c>
      <c r="BG1745" s="304" t="str">
        <f t="shared" si="1156"/>
        <v/>
      </c>
      <c r="BH1745" s="28"/>
      <c r="BI1745" s="304" t="str">
        <f t="shared" si="1157"/>
        <v/>
      </c>
      <c r="BJ1745" s="304" t="str">
        <f t="shared" si="1157"/>
        <v/>
      </c>
      <c r="BK1745" s="28"/>
      <c r="BL1745" s="304" t="str">
        <f t="shared" si="1158"/>
        <v/>
      </c>
      <c r="BM1745" s="304" t="str">
        <f t="shared" si="1158"/>
        <v/>
      </c>
      <c r="BN1745" s="28"/>
      <c r="BO1745" s="304" t="str">
        <f t="shared" si="1159"/>
        <v/>
      </c>
      <c r="BP1745" s="304" t="str">
        <f t="shared" si="1159"/>
        <v/>
      </c>
      <c r="BQ1745" s="28"/>
      <c r="BR1745" s="304" t="str">
        <f t="shared" si="1160"/>
        <v/>
      </c>
      <c r="BS1745" s="304" t="str">
        <f t="shared" si="1160"/>
        <v/>
      </c>
      <c r="BT1745" s="28"/>
      <c r="BU1745" s="304" t="str">
        <f t="shared" si="1161"/>
        <v/>
      </c>
      <c r="BV1745" s="304" t="str">
        <f t="shared" si="1161"/>
        <v/>
      </c>
      <c r="BW1745" s="28"/>
      <c r="BX1745" s="91"/>
    </row>
    <row r="1746" spans="1:76" s="55" customFormat="1" x14ac:dyDescent="0.25">
      <c r="A1746" s="195">
        <v>16</v>
      </c>
      <c r="B1746" s="216" t="str">
        <f t="shared" si="1149"/>
        <v xml:space="preserve">: </v>
      </c>
      <c r="C1746" s="221"/>
      <c r="D1746" s="221"/>
      <c r="E1746" s="221"/>
      <c r="F1746" s="221"/>
      <c r="G1746" s="240"/>
      <c r="H1746" s="221"/>
      <c r="I1746" s="240"/>
      <c r="J1746" s="241"/>
      <c r="K1746" s="241"/>
      <c r="L1746" s="227"/>
      <c r="M1746" s="227"/>
      <c r="N1746" s="227"/>
      <c r="O1746" s="227"/>
      <c r="P1746" s="122"/>
      <c r="Q1746" s="228"/>
      <c r="R1746" s="231" t="str">
        <f t="shared" si="1162"/>
        <v/>
      </c>
      <c r="S1746" s="230" t="str">
        <f t="shared" si="1150"/>
        <v/>
      </c>
      <c r="T1746" s="231" t="str">
        <f>IF(OR(Q1746="Y",IFERROR(R1746&gt;R1751+R1755*$AA$35,0),IFERROR(R1746&lt;R1751-R1755*$AA$35,0)),"",IFERROR(R1746*N1746,""))</f>
        <v/>
      </c>
      <c r="U1746" s="232" t="str">
        <f t="shared" si="1151"/>
        <v/>
      </c>
      <c r="V1746" s="28"/>
      <c r="W1746" s="28"/>
      <c r="Y1746" s="91"/>
      <c r="AO1746" s="91"/>
      <c r="AP1746" s="28"/>
      <c r="AQ1746" s="28"/>
      <c r="AR1746" s="237"/>
      <c r="AS1746" s="28"/>
      <c r="AT1746" s="304" t="str">
        <f t="shared" si="1152"/>
        <v/>
      </c>
      <c r="AU1746" s="304" t="str">
        <f t="shared" si="1152"/>
        <v/>
      </c>
      <c r="AV1746" s="28"/>
      <c r="AW1746" s="304" t="str">
        <f t="shared" si="1153"/>
        <v/>
      </c>
      <c r="AX1746" s="304" t="str">
        <f t="shared" si="1153"/>
        <v/>
      </c>
      <c r="AY1746" s="28"/>
      <c r="AZ1746" s="304" t="str">
        <f t="shared" si="1154"/>
        <v/>
      </c>
      <c r="BA1746" s="304" t="str">
        <f t="shared" si="1154"/>
        <v/>
      </c>
      <c r="BB1746" s="28"/>
      <c r="BC1746" s="304" t="str">
        <f t="shared" si="1155"/>
        <v/>
      </c>
      <c r="BD1746" s="304" t="str">
        <f t="shared" si="1155"/>
        <v/>
      </c>
      <c r="BE1746" s="28"/>
      <c r="BF1746" s="304" t="str">
        <f t="shared" si="1156"/>
        <v/>
      </c>
      <c r="BG1746" s="304" t="str">
        <f t="shared" si="1156"/>
        <v/>
      </c>
      <c r="BH1746" s="28"/>
      <c r="BI1746" s="304" t="str">
        <f t="shared" si="1157"/>
        <v/>
      </c>
      <c r="BJ1746" s="304" t="str">
        <f t="shared" si="1157"/>
        <v/>
      </c>
      <c r="BK1746" s="28"/>
      <c r="BL1746" s="304" t="str">
        <f t="shared" si="1158"/>
        <v/>
      </c>
      <c r="BM1746" s="304" t="str">
        <f t="shared" si="1158"/>
        <v/>
      </c>
      <c r="BN1746" s="28"/>
      <c r="BO1746" s="304" t="str">
        <f t="shared" si="1159"/>
        <v/>
      </c>
      <c r="BP1746" s="304" t="str">
        <f t="shared" si="1159"/>
        <v/>
      </c>
      <c r="BQ1746" s="28"/>
      <c r="BR1746" s="304" t="str">
        <f t="shared" si="1160"/>
        <v/>
      </c>
      <c r="BS1746" s="304" t="str">
        <f t="shared" si="1160"/>
        <v/>
      </c>
      <c r="BT1746" s="28"/>
      <c r="BU1746" s="304" t="str">
        <f t="shared" si="1161"/>
        <v/>
      </c>
      <c r="BV1746" s="304" t="str">
        <f t="shared" si="1161"/>
        <v/>
      </c>
      <c r="BW1746" s="28"/>
      <c r="BX1746" s="91"/>
    </row>
    <row r="1747" spans="1:76" s="55" customFormat="1" x14ac:dyDescent="0.25">
      <c r="A1747" s="195">
        <v>17</v>
      </c>
      <c r="B1747" s="216" t="str">
        <f t="shared" si="1149"/>
        <v xml:space="preserve">: </v>
      </c>
      <c r="C1747" s="221"/>
      <c r="D1747" s="221"/>
      <c r="E1747" s="221"/>
      <c r="F1747" s="221"/>
      <c r="G1747" s="240"/>
      <c r="H1747" s="221"/>
      <c r="I1747" s="240"/>
      <c r="J1747" s="241"/>
      <c r="K1747" s="241"/>
      <c r="L1747" s="227"/>
      <c r="M1747" s="227"/>
      <c r="N1747" s="227"/>
      <c r="O1747" s="227"/>
      <c r="P1747" s="122"/>
      <c r="Q1747" s="228"/>
      <c r="R1747" s="231" t="str">
        <f t="shared" si="1162"/>
        <v/>
      </c>
      <c r="S1747" s="230" t="str">
        <f t="shared" si="1150"/>
        <v/>
      </c>
      <c r="T1747" s="231" t="str">
        <f>IF(OR(Q1747="Y",IFERROR(R1747&gt;R1751+R1755*$AA$35,0),IFERROR(R1747&lt;R1751-R1755*$AA$35,0)),"",IFERROR(R1747*N1747,""))</f>
        <v/>
      </c>
      <c r="U1747" s="232" t="str">
        <f t="shared" si="1151"/>
        <v/>
      </c>
      <c r="V1747" s="28"/>
      <c r="W1747" s="28"/>
      <c r="Y1747" s="91"/>
      <c r="AO1747" s="91"/>
      <c r="AP1747" s="28"/>
      <c r="AQ1747" s="28"/>
      <c r="AR1747" s="237"/>
      <c r="AS1747" s="28"/>
      <c r="AT1747" s="304" t="str">
        <f t="shared" si="1152"/>
        <v/>
      </c>
      <c r="AU1747" s="304" t="str">
        <f t="shared" si="1152"/>
        <v/>
      </c>
      <c r="AV1747" s="28"/>
      <c r="AW1747" s="304" t="str">
        <f t="shared" si="1153"/>
        <v/>
      </c>
      <c r="AX1747" s="304" t="str">
        <f t="shared" si="1153"/>
        <v/>
      </c>
      <c r="AY1747" s="28"/>
      <c r="AZ1747" s="304" t="str">
        <f t="shared" si="1154"/>
        <v/>
      </c>
      <c r="BA1747" s="304" t="str">
        <f t="shared" si="1154"/>
        <v/>
      </c>
      <c r="BB1747" s="28"/>
      <c r="BC1747" s="304" t="str">
        <f t="shared" si="1155"/>
        <v/>
      </c>
      <c r="BD1747" s="304" t="str">
        <f t="shared" si="1155"/>
        <v/>
      </c>
      <c r="BE1747" s="28"/>
      <c r="BF1747" s="304" t="str">
        <f t="shared" si="1156"/>
        <v/>
      </c>
      <c r="BG1747" s="304" t="str">
        <f t="shared" si="1156"/>
        <v/>
      </c>
      <c r="BH1747" s="28"/>
      <c r="BI1747" s="304" t="str">
        <f t="shared" si="1157"/>
        <v/>
      </c>
      <c r="BJ1747" s="304" t="str">
        <f t="shared" si="1157"/>
        <v/>
      </c>
      <c r="BK1747" s="28"/>
      <c r="BL1747" s="304" t="str">
        <f t="shared" si="1158"/>
        <v/>
      </c>
      <c r="BM1747" s="304" t="str">
        <f t="shared" si="1158"/>
        <v/>
      </c>
      <c r="BN1747" s="28"/>
      <c r="BO1747" s="304" t="str">
        <f t="shared" si="1159"/>
        <v/>
      </c>
      <c r="BP1747" s="304" t="str">
        <f t="shared" si="1159"/>
        <v/>
      </c>
      <c r="BQ1747" s="28"/>
      <c r="BR1747" s="304" t="str">
        <f t="shared" si="1160"/>
        <v/>
      </c>
      <c r="BS1747" s="304" t="str">
        <f t="shared" si="1160"/>
        <v/>
      </c>
      <c r="BT1747" s="28"/>
      <c r="BU1747" s="304" t="str">
        <f t="shared" si="1161"/>
        <v/>
      </c>
      <c r="BV1747" s="304" t="str">
        <f t="shared" si="1161"/>
        <v/>
      </c>
      <c r="BW1747" s="28"/>
      <c r="BX1747" s="91"/>
    </row>
    <row r="1748" spans="1:76" s="55" customFormat="1" x14ac:dyDescent="0.25">
      <c r="A1748" s="195">
        <v>18</v>
      </c>
      <c r="B1748" s="216" t="str">
        <f t="shared" si="1149"/>
        <v xml:space="preserve">: </v>
      </c>
      <c r="C1748" s="221"/>
      <c r="D1748" s="221"/>
      <c r="E1748" s="221"/>
      <c r="F1748" s="221"/>
      <c r="G1748" s="240"/>
      <c r="H1748" s="221"/>
      <c r="I1748" s="240"/>
      <c r="J1748" s="241"/>
      <c r="K1748" s="241"/>
      <c r="L1748" s="227"/>
      <c r="M1748" s="227"/>
      <c r="N1748" s="227"/>
      <c r="O1748" s="227"/>
      <c r="P1748" s="122"/>
      <c r="Q1748" s="228"/>
      <c r="R1748" s="231" t="str">
        <f t="shared" si="1162"/>
        <v/>
      </c>
      <c r="S1748" s="230" t="str">
        <f t="shared" si="1150"/>
        <v/>
      </c>
      <c r="T1748" s="231" t="str">
        <f>IF(OR(Q1748="Y",IFERROR(R1748&gt;R1751+R1755*$AA$35,0),IFERROR(R1748&lt;R1751-R1755*$AA$35,0)),"",IFERROR(R1748*N1748,""))</f>
        <v/>
      </c>
      <c r="U1748" s="232" t="str">
        <f t="shared" si="1151"/>
        <v/>
      </c>
      <c r="V1748" s="28"/>
      <c r="W1748" s="28"/>
      <c r="Y1748" s="91"/>
      <c r="AO1748" s="91"/>
      <c r="AP1748" s="28"/>
      <c r="AQ1748" s="28"/>
      <c r="AR1748" s="237"/>
      <c r="AS1748" s="28"/>
      <c r="AT1748" s="304" t="str">
        <f t="shared" si="1152"/>
        <v/>
      </c>
      <c r="AU1748" s="304" t="str">
        <f t="shared" si="1152"/>
        <v/>
      </c>
      <c r="AV1748" s="28"/>
      <c r="AW1748" s="304" t="str">
        <f t="shared" si="1153"/>
        <v/>
      </c>
      <c r="AX1748" s="304" t="str">
        <f t="shared" si="1153"/>
        <v/>
      </c>
      <c r="AY1748" s="28"/>
      <c r="AZ1748" s="304" t="str">
        <f t="shared" si="1154"/>
        <v/>
      </c>
      <c r="BA1748" s="304" t="str">
        <f t="shared" si="1154"/>
        <v/>
      </c>
      <c r="BB1748" s="28"/>
      <c r="BC1748" s="304" t="str">
        <f t="shared" si="1155"/>
        <v/>
      </c>
      <c r="BD1748" s="304" t="str">
        <f t="shared" si="1155"/>
        <v/>
      </c>
      <c r="BE1748" s="28"/>
      <c r="BF1748" s="304" t="str">
        <f t="shared" si="1156"/>
        <v/>
      </c>
      <c r="BG1748" s="304" t="str">
        <f t="shared" si="1156"/>
        <v/>
      </c>
      <c r="BH1748" s="28"/>
      <c r="BI1748" s="304" t="str">
        <f t="shared" si="1157"/>
        <v/>
      </c>
      <c r="BJ1748" s="304" t="str">
        <f t="shared" si="1157"/>
        <v/>
      </c>
      <c r="BK1748" s="28"/>
      <c r="BL1748" s="304" t="str">
        <f t="shared" si="1158"/>
        <v/>
      </c>
      <c r="BM1748" s="304" t="str">
        <f t="shared" si="1158"/>
        <v/>
      </c>
      <c r="BN1748" s="28"/>
      <c r="BO1748" s="304" t="str">
        <f t="shared" si="1159"/>
        <v/>
      </c>
      <c r="BP1748" s="304" t="str">
        <f t="shared" si="1159"/>
        <v/>
      </c>
      <c r="BQ1748" s="28"/>
      <c r="BR1748" s="304" t="str">
        <f t="shared" si="1160"/>
        <v/>
      </c>
      <c r="BS1748" s="304" t="str">
        <f t="shared" si="1160"/>
        <v/>
      </c>
      <c r="BT1748" s="28"/>
      <c r="BU1748" s="304" t="str">
        <f t="shared" si="1161"/>
        <v/>
      </c>
      <c r="BV1748" s="304" t="str">
        <f t="shared" si="1161"/>
        <v/>
      </c>
      <c r="BW1748" s="28"/>
      <c r="BX1748" s="91"/>
    </row>
    <row r="1749" spans="1:76" s="55" customFormat="1" x14ac:dyDescent="0.25">
      <c r="A1749" s="195">
        <v>19</v>
      </c>
      <c r="B1749" s="216" t="str">
        <f t="shared" si="1149"/>
        <v xml:space="preserve">: </v>
      </c>
      <c r="C1749" s="221"/>
      <c r="D1749" s="221"/>
      <c r="E1749" s="221"/>
      <c r="F1749" s="221"/>
      <c r="G1749" s="240"/>
      <c r="H1749" s="221"/>
      <c r="I1749" s="240"/>
      <c r="J1749" s="241"/>
      <c r="K1749" s="241"/>
      <c r="L1749" s="227"/>
      <c r="M1749" s="227"/>
      <c r="N1749" s="227"/>
      <c r="O1749" s="227"/>
      <c r="P1749" s="122"/>
      <c r="Q1749" s="228"/>
      <c r="R1749" s="231" t="str">
        <f t="shared" si="1162"/>
        <v/>
      </c>
      <c r="S1749" s="230" t="str">
        <f t="shared" si="1150"/>
        <v/>
      </c>
      <c r="T1749" s="231" t="str">
        <f>IF(OR(Q1749="Y",IFERROR(R1749&gt;R1751+R1755*$AA$35,0),IFERROR(R1749&lt;R1751-R1755*$AA$35,0)),"",IFERROR(R1749*N1749,""))</f>
        <v/>
      </c>
      <c r="U1749" s="232" t="str">
        <f t="shared" si="1151"/>
        <v/>
      </c>
      <c r="V1749" s="28"/>
      <c r="W1749" s="28"/>
      <c r="Y1749" s="91"/>
      <c r="AO1749" s="91"/>
      <c r="AP1749" s="28"/>
      <c r="AQ1749" s="28"/>
      <c r="AR1749" s="237"/>
      <c r="AS1749" s="28"/>
      <c r="AT1749" s="304" t="str">
        <f t="shared" si="1152"/>
        <v/>
      </c>
      <c r="AU1749" s="304" t="str">
        <f t="shared" si="1152"/>
        <v/>
      </c>
      <c r="AV1749" s="28"/>
      <c r="AW1749" s="304" t="str">
        <f t="shared" si="1153"/>
        <v/>
      </c>
      <c r="AX1749" s="304" t="str">
        <f t="shared" si="1153"/>
        <v/>
      </c>
      <c r="AY1749" s="28"/>
      <c r="AZ1749" s="304" t="str">
        <f t="shared" si="1154"/>
        <v/>
      </c>
      <c r="BA1749" s="304" t="str">
        <f t="shared" si="1154"/>
        <v/>
      </c>
      <c r="BB1749" s="28"/>
      <c r="BC1749" s="304" t="str">
        <f t="shared" si="1155"/>
        <v/>
      </c>
      <c r="BD1749" s="304" t="str">
        <f t="shared" si="1155"/>
        <v/>
      </c>
      <c r="BE1749" s="28"/>
      <c r="BF1749" s="304" t="str">
        <f t="shared" si="1156"/>
        <v/>
      </c>
      <c r="BG1749" s="304" t="str">
        <f t="shared" si="1156"/>
        <v/>
      </c>
      <c r="BH1749" s="28"/>
      <c r="BI1749" s="304" t="str">
        <f t="shared" si="1157"/>
        <v/>
      </c>
      <c r="BJ1749" s="304" t="str">
        <f t="shared" si="1157"/>
        <v/>
      </c>
      <c r="BK1749" s="28"/>
      <c r="BL1749" s="304" t="str">
        <f t="shared" si="1158"/>
        <v/>
      </c>
      <c r="BM1749" s="304" t="str">
        <f t="shared" si="1158"/>
        <v/>
      </c>
      <c r="BN1749" s="28"/>
      <c r="BO1749" s="304" t="str">
        <f t="shared" si="1159"/>
        <v/>
      </c>
      <c r="BP1749" s="304" t="str">
        <f t="shared" si="1159"/>
        <v/>
      </c>
      <c r="BQ1749" s="28"/>
      <c r="BR1749" s="304" t="str">
        <f t="shared" si="1160"/>
        <v/>
      </c>
      <c r="BS1749" s="304" t="str">
        <f t="shared" si="1160"/>
        <v/>
      </c>
      <c r="BT1749" s="28"/>
      <c r="BU1749" s="304" t="str">
        <f t="shared" si="1161"/>
        <v/>
      </c>
      <c r="BV1749" s="304" t="str">
        <f t="shared" si="1161"/>
        <v/>
      </c>
      <c r="BW1749" s="28"/>
      <c r="BX1749" s="91"/>
    </row>
    <row r="1750" spans="1:76" s="55" customFormat="1" x14ac:dyDescent="0.25">
      <c r="A1750" s="195">
        <v>20</v>
      </c>
      <c r="B1750" s="216" t="str">
        <f t="shared" si="1149"/>
        <v xml:space="preserve">: </v>
      </c>
      <c r="C1750" s="221"/>
      <c r="D1750" s="221"/>
      <c r="E1750" s="221"/>
      <c r="F1750" s="221"/>
      <c r="G1750" s="240"/>
      <c r="H1750" s="221"/>
      <c r="I1750" s="240"/>
      <c r="J1750" s="241"/>
      <c r="K1750" s="241"/>
      <c r="L1750" s="227"/>
      <c r="M1750" s="227"/>
      <c r="N1750" s="227"/>
      <c r="O1750" s="227"/>
      <c r="P1750" s="122"/>
      <c r="Q1750" s="228"/>
      <c r="R1750" s="231" t="str">
        <f t="shared" si="1162"/>
        <v/>
      </c>
      <c r="S1750" s="230" t="str">
        <f t="shared" si="1150"/>
        <v/>
      </c>
      <c r="T1750" s="231" t="str">
        <f>IF(OR(Q1750="Y",IFERROR(R1750&gt;R1751+R1755*$AA$35,0),IFERROR(R1750&lt;R1751-R1755*$AA$35,0)),"",IFERROR(R1750*N1750,""))</f>
        <v/>
      </c>
      <c r="U1750" s="232" t="str">
        <f t="shared" si="1151"/>
        <v/>
      </c>
      <c r="V1750" s="28"/>
      <c r="W1750" s="28"/>
      <c r="Y1750" s="91"/>
      <c r="AO1750" s="91"/>
      <c r="AP1750" s="28"/>
      <c r="AQ1750" s="28"/>
      <c r="AR1750" s="237"/>
      <c r="AS1750" s="28"/>
      <c r="AT1750" s="304" t="str">
        <f t="shared" si="1152"/>
        <v/>
      </c>
      <c r="AU1750" s="304" t="str">
        <f t="shared" si="1152"/>
        <v/>
      </c>
      <c r="AV1750" s="28"/>
      <c r="AW1750" s="304" t="str">
        <f t="shared" si="1153"/>
        <v/>
      </c>
      <c r="AX1750" s="304" t="str">
        <f t="shared" si="1153"/>
        <v/>
      </c>
      <c r="AY1750" s="28"/>
      <c r="AZ1750" s="304" t="str">
        <f t="shared" si="1154"/>
        <v/>
      </c>
      <c r="BA1750" s="304" t="str">
        <f t="shared" si="1154"/>
        <v/>
      </c>
      <c r="BB1750" s="28"/>
      <c r="BC1750" s="304" t="str">
        <f t="shared" si="1155"/>
        <v/>
      </c>
      <c r="BD1750" s="304" t="str">
        <f t="shared" si="1155"/>
        <v/>
      </c>
      <c r="BE1750" s="28"/>
      <c r="BF1750" s="304" t="str">
        <f t="shared" si="1156"/>
        <v/>
      </c>
      <c r="BG1750" s="304" t="str">
        <f t="shared" si="1156"/>
        <v/>
      </c>
      <c r="BH1750" s="28"/>
      <c r="BI1750" s="304" t="str">
        <f t="shared" si="1157"/>
        <v/>
      </c>
      <c r="BJ1750" s="304" t="str">
        <f t="shared" si="1157"/>
        <v/>
      </c>
      <c r="BK1750" s="28"/>
      <c r="BL1750" s="304" t="str">
        <f t="shared" si="1158"/>
        <v/>
      </c>
      <c r="BM1750" s="304" t="str">
        <f t="shared" si="1158"/>
        <v/>
      </c>
      <c r="BN1750" s="28"/>
      <c r="BO1750" s="304" t="str">
        <f t="shared" si="1159"/>
        <v/>
      </c>
      <c r="BP1750" s="304" t="str">
        <f t="shared" si="1159"/>
        <v/>
      </c>
      <c r="BQ1750" s="28"/>
      <c r="BR1750" s="304" t="str">
        <f t="shared" si="1160"/>
        <v/>
      </c>
      <c r="BS1750" s="304" t="str">
        <f t="shared" si="1160"/>
        <v/>
      </c>
      <c r="BT1750" s="28"/>
      <c r="BU1750" s="304" t="str">
        <f t="shared" si="1161"/>
        <v/>
      </c>
      <c r="BV1750" s="304" t="str">
        <f t="shared" si="1161"/>
        <v/>
      </c>
      <c r="BW1750" s="28"/>
      <c r="BX1750" s="91"/>
    </row>
    <row r="1751" spans="1:76" s="55" customFormat="1" x14ac:dyDescent="0.25">
      <c r="A1751" s="195"/>
      <c r="B1751" s="244" t="s">
        <v>163</v>
      </c>
      <c r="C1751" s="199"/>
      <c r="D1751" s="199"/>
      <c r="E1751" s="199"/>
      <c r="F1751" s="199"/>
      <c r="H1751" s="28"/>
      <c r="I1751" s="245"/>
      <c r="J1751" s="122"/>
      <c r="K1751" s="122"/>
      <c r="L1751" s="122" t="s">
        <v>134</v>
      </c>
      <c r="M1751" s="122"/>
      <c r="N1751" s="122"/>
      <c r="O1751" s="122"/>
      <c r="P1751" s="122"/>
      <c r="Q1751" s="305" t="s">
        <v>136</v>
      </c>
      <c r="R1751" s="246" t="e">
        <f>AVERAGE(R1731:R1750)</f>
        <v>#DIV/0!</v>
      </c>
      <c r="S1751" s="247" t="e">
        <f>IF(R1759="Y",SUM(S1731:S1750)/SUMPRODUCT(N1731:N1750,--ISNUMBER(S1731:S1750)),AVERAGE(S1731:S1750))</f>
        <v>#DIV/0!</v>
      </c>
      <c r="T1751" s="248" t="e">
        <f>SUM(T1731:T1750)/SUMPRODUCT(N1731:N1750,--ISNUMBER(T1731:T1750))</f>
        <v>#DIV/0!</v>
      </c>
      <c r="U1751" s="28"/>
      <c r="V1751" s="28"/>
      <c r="W1751" s="28"/>
      <c r="Y1751" s="249"/>
      <c r="AO1751" s="91"/>
      <c r="AP1751" s="28"/>
      <c r="AQ1751" s="28"/>
      <c r="AR1751" s="28"/>
      <c r="AS1751" s="245" t="s">
        <v>136</v>
      </c>
      <c r="AT1751" s="307" t="e">
        <f>AVERAGE(AT1731:AT1750)</f>
        <v>#DIV/0!</v>
      </c>
      <c r="AU1751" s="307" t="e">
        <f>SUM(AU1731:AU1750)/COUNTIF(AU1731:AU1750,"&gt;0")</f>
        <v>#DIV/0!</v>
      </c>
      <c r="AV1751" s="245"/>
      <c r="AW1751" s="307" t="e">
        <f>AVERAGE(AW1731:AW1750)</f>
        <v>#DIV/0!</v>
      </c>
      <c r="AX1751" s="307" t="e">
        <f>SUM(AX1731:AX1750)/COUNTIF(AX1731:AX1750,"&gt;0")</f>
        <v>#DIV/0!</v>
      </c>
      <c r="AY1751" s="28"/>
      <c r="AZ1751" s="307" t="e">
        <f>AVERAGE(AZ1731:AZ1750)</f>
        <v>#DIV/0!</v>
      </c>
      <c r="BA1751" s="307" t="e">
        <f>SUM(BA1731:BA1750)/COUNTIF(BA1731:BA1750,"&gt;0")</f>
        <v>#DIV/0!</v>
      </c>
      <c r="BB1751" s="28"/>
      <c r="BC1751" s="307" t="e">
        <f>AVERAGE(BC1731:BC1750)</f>
        <v>#DIV/0!</v>
      </c>
      <c r="BD1751" s="307" t="e">
        <f>SUM(BD1731:BD1750)/COUNTIF(BD1731:BD1750,"&gt;0")</f>
        <v>#DIV/0!</v>
      </c>
      <c r="BE1751" s="28"/>
      <c r="BF1751" s="307" t="e">
        <f>AVERAGE(BF1731:BF1750)</f>
        <v>#DIV/0!</v>
      </c>
      <c r="BG1751" s="307" t="e">
        <f>SUM(BG1731:BG1750)/COUNTIF(BG1731:BG1750,"&gt;0")</f>
        <v>#DIV/0!</v>
      </c>
      <c r="BH1751" s="28"/>
      <c r="BI1751" s="307" t="e">
        <f>AVERAGE(BI1731:BI1750)</f>
        <v>#DIV/0!</v>
      </c>
      <c r="BJ1751" s="307" t="e">
        <f>SUM(BJ1731:BJ1750)/COUNTIF(BJ1731:BJ1750,"&gt;0")</f>
        <v>#DIV/0!</v>
      </c>
      <c r="BK1751" s="245"/>
      <c r="BL1751" s="307" t="e">
        <f>AVERAGE(BL1731:BL1750)</f>
        <v>#DIV/0!</v>
      </c>
      <c r="BM1751" s="307" t="e">
        <f>SUM(BM1731:BM1750)/COUNTIF(BM1731:BM1750,"&gt;0")</f>
        <v>#DIV/0!</v>
      </c>
      <c r="BN1751" s="28"/>
      <c r="BO1751" s="307" t="e">
        <f>AVERAGE(BO1731:BO1750)</f>
        <v>#DIV/0!</v>
      </c>
      <c r="BP1751" s="307" t="e">
        <f>SUM(BP1731:BP1750)/COUNTIF(BP1731:BP1750,"&gt;0")</f>
        <v>#DIV/0!</v>
      </c>
      <c r="BQ1751" s="28"/>
      <c r="BR1751" s="307" t="e">
        <f>AVERAGE(BR1731:BR1750)</f>
        <v>#DIV/0!</v>
      </c>
      <c r="BS1751" s="307" t="e">
        <f>SUM(BS1731:BS1750)/COUNTIF(BS1731:BS1750,"&gt;0")</f>
        <v>#DIV/0!</v>
      </c>
      <c r="BT1751" s="28"/>
      <c r="BU1751" s="307" t="e">
        <f>AVERAGE(BU1731:BU1750)</f>
        <v>#DIV/0!</v>
      </c>
      <c r="BV1751" s="307" t="e">
        <f>SUM(BV1731:BV1750)/COUNTIF(BV1731:BV1750,"&gt;0")</f>
        <v>#DIV/0!</v>
      </c>
      <c r="BW1751" s="28"/>
      <c r="BX1751" s="91"/>
    </row>
    <row r="1752" spans="1:76" s="55" customFormat="1" x14ac:dyDescent="0.25">
      <c r="A1752" s="195"/>
      <c r="B1752" s="244" t="s">
        <v>164</v>
      </c>
      <c r="C1752" s="199" t="s">
        <v>139</v>
      </c>
      <c r="D1752" s="252"/>
      <c r="E1752" s="253"/>
      <c r="F1752" s="253"/>
      <c r="G1752" s="253"/>
      <c r="H1752" s="253"/>
      <c r="I1752" s="253"/>
      <c r="J1752" s="254"/>
      <c r="K1752" s="122"/>
      <c r="L1752" s="122"/>
      <c r="M1752" s="122"/>
      <c r="N1752" s="122"/>
      <c r="O1752" s="122"/>
      <c r="P1752" s="122"/>
      <c r="Q1752" s="306" t="s">
        <v>144</v>
      </c>
      <c r="R1752" s="257" t="e">
        <f>R1751+U1752*R1755</f>
        <v>#DIV/0!</v>
      </c>
      <c r="S1752" s="257" t="e">
        <f>S1751+U1752*S1755</f>
        <v>#DIV/0!</v>
      </c>
      <c r="T1752" s="257" t="e">
        <f>T1751+U1752*T1755</f>
        <v>#DIV/0!</v>
      </c>
      <c r="U1752" s="258">
        <v>1</v>
      </c>
      <c r="V1752" s="122" t="s">
        <v>142</v>
      </c>
      <c r="W1752" s="28"/>
      <c r="X1752" s="259" t="s">
        <v>143</v>
      </c>
      <c r="Y1752" s="260"/>
      <c r="AO1752" s="91"/>
      <c r="AP1752" s="28"/>
      <c r="AQ1752" s="28"/>
      <c r="AR1752" s="28"/>
      <c r="AS1752" s="256" t="s">
        <v>144</v>
      </c>
      <c r="AT1752" s="261" t="e">
        <f>AT1751+(AT1757*AT1754)</f>
        <v>#DIV/0!</v>
      </c>
      <c r="AU1752" s="261" t="e">
        <f>AU1751+(AU1757*AT1754)</f>
        <v>#DIV/0!</v>
      </c>
      <c r="AV1752" s="256"/>
      <c r="AW1752" s="261" t="e">
        <f>AW1751+(AW1757*AW1754)</f>
        <v>#DIV/0!</v>
      </c>
      <c r="AX1752" s="261" t="e">
        <f>AX1751+(AX1757*AW1754)</f>
        <v>#DIV/0!</v>
      </c>
      <c r="AY1752" s="28"/>
      <c r="AZ1752" s="261" t="e">
        <f>AZ1751+(AZ1757*AZ1754)</f>
        <v>#DIV/0!</v>
      </c>
      <c r="BA1752" s="261" t="e">
        <f>BA1751+(BA1757*AZ1754)</f>
        <v>#DIV/0!</v>
      </c>
      <c r="BB1752" s="28"/>
      <c r="BC1752" s="261" t="e">
        <f>BC1751+(BC1757*BC1754)</f>
        <v>#DIV/0!</v>
      </c>
      <c r="BD1752" s="261" t="e">
        <f>BD1751+(BD1757*BC1754)</f>
        <v>#DIV/0!</v>
      </c>
      <c r="BE1752" s="28"/>
      <c r="BF1752" s="261" t="e">
        <f>BF1751+(BF1757*BF1754)</f>
        <v>#DIV/0!</v>
      </c>
      <c r="BG1752" s="261" t="e">
        <f>BG1751+(BG1757*BF1754)</f>
        <v>#DIV/0!</v>
      </c>
      <c r="BH1752" s="28"/>
      <c r="BI1752" s="261" t="e">
        <f>BI1751+(BI1757*BI1754)</f>
        <v>#DIV/0!</v>
      </c>
      <c r="BJ1752" s="261" t="e">
        <f>BJ1751+(BJ1757*BI1754)</f>
        <v>#DIV/0!</v>
      </c>
      <c r="BK1752" s="256"/>
      <c r="BL1752" s="261" t="e">
        <f>BL1751+(BL1757*BL1754)</f>
        <v>#DIV/0!</v>
      </c>
      <c r="BM1752" s="261" t="e">
        <f>BM1751+(BM1757*BL1754)</f>
        <v>#DIV/0!</v>
      </c>
      <c r="BN1752" s="28"/>
      <c r="BO1752" s="261" t="e">
        <f>BO1751+(BO1757*BO1754)</f>
        <v>#DIV/0!</v>
      </c>
      <c r="BP1752" s="261" t="e">
        <f>BP1751+(BP1757*BO1754)</f>
        <v>#DIV/0!</v>
      </c>
      <c r="BQ1752" s="28"/>
      <c r="BR1752" s="261" t="e">
        <f>BR1751+(BR1757*BR1754)</f>
        <v>#DIV/0!</v>
      </c>
      <c r="BS1752" s="261" t="e">
        <f>BS1751+(BS1757*BR1754)</f>
        <v>#DIV/0!</v>
      </c>
      <c r="BT1752" s="28"/>
      <c r="BU1752" s="261" t="e">
        <f>BU1751+(BU1757*BU1754)</f>
        <v>#DIV/0!</v>
      </c>
      <c r="BV1752" s="261" t="e">
        <f>BV1751+(BV1757*BU1754)</f>
        <v>#DIV/0!</v>
      </c>
      <c r="BW1752" s="28"/>
      <c r="BX1752" s="91"/>
    </row>
    <row r="1753" spans="1:76" s="55" customFormat="1" x14ac:dyDescent="0.25">
      <c r="A1753" s="195"/>
      <c r="B1753" s="244" t="s">
        <v>165</v>
      </c>
      <c r="C1753" s="195"/>
      <c r="D1753" s="263"/>
      <c r="E1753" s="264"/>
      <c r="F1753" s="264"/>
      <c r="G1753" s="264"/>
      <c r="H1753" s="264"/>
      <c r="I1753" s="264"/>
      <c r="J1753" s="265"/>
      <c r="K1753" s="28"/>
      <c r="L1753" s="28"/>
      <c r="M1753" s="122"/>
      <c r="N1753" s="122"/>
      <c r="O1753" s="122"/>
      <c r="P1753" s="122"/>
      <c r="Q1753" s="306" t="s">
        <v>150</v>
      </c>
      <c r="R1753" s="257" t="e">
        <f>IF($X1753="Y",MIN(R1731:R1750),R1751-$U1753*R1755)</f>
        <v>#DIV/0!</v>
      </c>
      <c r="S1753" s="257" t="e">
        <f>IF($X1753="Y",MIN(S1731:S1750),S1751-$U1753*S1755)</f>
        <v>#DIV/0!</v>
      </c>
      <c r="T1753" s="257" t="e">
        <f>IF($X1753="Y",MIN(T1731:T1750),T1751-$U1753*T1755)</f>
        <v>#DIV/0!</v>
      </c>
      <c r="U1753" s="258">
        <v>1</v>
      </c>
      <c r="V1753" s="122" t="s">
        <v>148</v>
      </c>
      <c r="W1753" s="28"/>
      <c r="X1753" s="266" t="s">
        <v>149</v>
      </c>
      <c r="Y1753" s="260"/>
      <c r="AO1753" s="91"/>
      <c r="AP1753" s="28"/>
      <c r="AQ1753" s="28"/>
      <c r="AR1753" s="28"/>
      <c r="AS1753" s="256" t="s">
        <v>150</v>
      </c>
      <c r="AT1753" s="261" t="e">
        <f>AT1751-(AT1757*AT1755)</f>
        <v>#DIV/0!</v>
      </c>
      <c r="AU1753" s="261" t="e">
        <f>AU1751-(AU1757*AT1755)</f>
        <v>#DIV/0!</v>
      </c>
      <c r="AV1753" s="256"/>
      <c r="AW1753" s="261" t="e">
        <f>AW1751-(AW1757*AW1755)</f>
        <v>#DIV/0!</v>
      </c>
      <c r="AX1753" s="261" t="e">
        <f>AX1751-(AX1757*AW1755)</f>
        <v>#DIV/0!</v>
      </c>
      <c r="AY1753" s="28"/>
      <c r="AZ1753" s="261" t="e">
        <f>AZ1751-(AZ1757*AZ1755)</f>
        <v>#DIV/0!</v>
      </c>
      <c r="BA1753" s="261" t="e">
        <f>BA1751-(BA1757*AZ1755)</f>
        <v>#DIV/0!</v>
      </c>
      <c r="BB1753" s="28"/>
      <c r="BC1753" s="261" t="e">
        <f>BC1751-(BC1757*BC1755)</f>
        <v>#DIV/0!</v>
      </c>
      <c r="BD1753" s="261" t="e">
        <f>BD1751-(BD1757*BC1755)</f>
        <v>#DIV/0!</v>
      </c>
      <c r="BE1753" s="28"/>
      <c r="BF1753" s="261" t="e">
        <f>BF1751-(BF1757*BF1755)</f>
        <v>#DIV/0!</v>
      </c>
      <c r="BG1753" s="261" t="e">
        <f>BG1751-(BG1757*BF1755)</f>
        <v>#DIV/0!</v>
      </c>
      <c r="BH1753" s="28"/>
      <c r="BI1753" s="261" t="e">
        <f>BI1751-(BI1757*BI1755)</f>
        <v>#DIV/0!</v>
      </c>
      <c r="BJ1753" s="261" t="e">
        <f>BJ1751-(BJ1757*BI1755)</f>
        <v>#DIV/0!</v>
      </c>
      <c r="BK1753" s="256"/>
      <c r="BL1753" s="261" t="e">
        <f>BL1751-(BL1757*BL1755)</f>
        <v>#DIV/0!</v>
      </c>
      <c r="BM1753" s="261" t="e">
        <f>BM1751-(BM1757*BL1755)</f>
        <v>#DIV/0!</v>
      </c>
      <c r="BN1753" s="28"/>
      <c r="BO1753" s="261" t="e">
        <f>BO1751-(BO1757*BO1755)</f>
        <v>#DIV/0!</v>
      </c>
      <c r="BP1753" s="261" t="e">
        <f>BP1751-(BP1757*BO1755)</f>
        <v>#DIV/0!</v>
      </c>
      <c r="BQ1753" s="28"/>
      <c r="BR1753" s="261" t="e">
        <f>BR1751-(BR1757*BR1755)</f>
        <v>#DIV/0!</v>
      </c>
      <c r="BS1753" s="261" t="e">
        <f>BS1751-(BS1757*BR1755)</f>
        <v>#DIV/0!</v>
      </c>
      <c r="BT1753" s="28"/>
      <c r="BU1753" s="261" t="e">
        <f>BU1751-(BU1757*BU1755)</f>
        <v>#DIV/0!</v>
      </c>
      <c r="BV1753" s="261" t="e">
        <f>BV1751-(BV1757*BU1755)</f>
        <v>#DIV/0!</v>
      </c>
      <c r="BW1753" s="28"/>
      <c r="BX1753" s="91"/>
    </row>
    <row r="1754" spans="1:76" s="55" customFormat="1" ht="14.25" x14ac:dyDescent="0.2">
      <c r="A1754" s="195"/>
      <c r="B1754" s="196"/>
      <c r="C1754" s="195"/>
      <c r="D1754" s="263"/>
      <c r="E1754" s="264"/>
      <c r="F1754" s="264"/>
      <c r="G1754" s="264"/>
      <c r="H1754" s="264"/>
      <c r="I1754" s="264"/>
      <c r="J1754" s="265"/>
      <c r="K1754" s="122"/>
      <c r="L1754" s="122"/>
      <c r="M1754" s="122"/>
      <c r="N1754" s="122"/>
      <c r="O1754" s="122"/>
      <c r="P1754" s="122"/>
      <c r="Q1754" s="306" t="s">
        <v>151</v>
      </c>
      <c r="R1754" s="257" t="e">
        <f>IF((0.67*R1755)&gt;R1751,"no","yes")</f>
        <v>#DIV/0!</v>
      </c>
      <c r="S1754" s="257" t="e">
        <f>IF((0.67*S1755)&gt;S1751,"no","yes")</f>
        <v>#DIV/0!</v>
      </c>
      <c r="T1754" s="257" t="e">
        <f>IF((0.67*T1755)&gt;T1751,"no","yes")</f>
        <v>#DIV/0!</v>
      </c>
      <c r="U1754" s="122"/>
      <c r="V1754" s="122"/>
      <c r="W1754" s="122"/>
      <c r="Y1754" s="260"/>
      <c r="AO1754" s="91"/>
      <c r="AP1754" s="122"/>
      <c r="AQ1754" s="122"/>
      <c r="AR1754" s="267" t="s">
        <v>152</v>
      </c>
      <c r="AS1754" s="268"/>
      <c r="AT1754" s="258">
        <v>1</v>
      </c>
      <c r="AU1754" s="122"/>
      <c r="AV1754" s="308"/>
      <c r="AW1754" s="258">
        <v>1</v>
      </c>
      <c r="AX1754" s="122"/>
      <c r="AY1754" s="122"/>
      <c r="AZ1754" s="258">
        <v>1</v>
      </c>
      <c r="BA1754" s="122"/>
      <c r="BB1754" s="122"/>
      <c r="BC1754" s="258">
        <v>1</v>
      </c>
      <c r="BD1754" s="122"/>
      <c r="BE1754" s="122"/>
      <c r="BF1754" s="258">
        <v>1</v>
      </c>
      <c r="BG1754" s="122"/>
      <c r="BH1754" s="122"/>
      <c r="BI1754" s="258">
        <v>1</v>
      </c>
      <c r="BJ1754" s="122"/>
      <c r="BK1754" s="256"/>
      <c r="BL1754" s="258">
        <v>1</v>
      </c>
      <c r="BM1754" s="122"/>
      <c r="BN1754" s="122"/>
      <c r="BO1754" s="258">
        <v>1</v>
      </c>
      <c r="BP1754" s="122"/>
      <c r="BQ1754" s="122"/>
      <c r="BR1754" s="258">
        <v>1</v>
      </c>
      <c r="BS1754" s="122"/>
      <c r="BT1754" s="122"/>
      <c r="BU1754" s="258">
        <v>1</v>
      </c>
      <c r="BV1754" s="122"/>
      <c r="BW1754" s="122"/>
      <c r="BX1754" s="91"/>
    </row>
    <row r="1755" spans="1:76" s="55" customFormat="1" ht="28.5" x14ac:dyDescent="0.2">
      <c r="A1755" s="195"/>
      <c r="B1755" s="196"/>
      <c r="C1755" s="195"/>
      <c r="D1755" s="263"/>
      <c r="E1755" s="264"/>
      <c r="F1755" s="264"/>
      <c r="G1755" s="264"/>
      <c r="H1755" s="264"/>
      <c r="I1755" s="264"/>
      <c r="J1755" s="265"/>
      <c r="K1755" s="122"/>
      <c r="L1755" s="122"/>
      <c r="M1755" s="122"/>
      <c r="N1755" s="122"/>
      <c r="O1755" s="122"/>
      <c r="P1755" s="122"/>
      <c r="Q1755" s="306" t="s">
        <v>157</v>
      </c>
      <c r="R1755" s="257">
        <f>IF(COUNT(R1731:R1750)&gt;1,_xlfn.STDEV.S(R1731:R1750),0)</f>
        <v>0</v>
      </c>
      <c r="S1755" s="257" t="e">
        <f t="array" ref="S1755">IF(R1759="Y",SQRT(SUM(IFERROR(N1731:N1750*(R1731:R1750-(S1751))^2,0))/((COUNT(S1731:S1750)-1)/COUNT(S1731:S1750)*SUMPRODUCT(N1731:N1750,--ISNUMBER(S1731:S1750)))),_xlfn.STDEV.S(S1731:S1750))</f>
        <v>#DIV/0!</v>
      </c>
      <c r="T1755" s="257" t="e">
        <f t="array" ref="T1755">SQRT(SUM(IFERROR(N1731:N1750*(R1731:R1750-(T1751))^2,0))/((COUNT(T1731:T1750)-1)/COUNT(T1731:T1750)*SUMPRODUCT(N1731:N1750,--ISNUMBER(T1731:T1750))))</f>
        <v>#DIV/0!</v>
      </c>
      <c r="U1755" s="122"/>
      <c r="V1755" s="122"/>
      <c r="W1755" s="122"/>
      <c r="Y1755" s="260"/>
      <c r="AO1755" s="91"/>
      <c r="AP1755" s="122"/>
      <c r="AQ1755" s="122"/>
      <c r="AR1755" s="267"/>
      <c r="AS1755" s="268"/>
      <c r="AT1755" s="258">
        <v>1</v>
      </c>
      <c r="AU1755" s="122"/>
      <c r="AV1755" s="308"/>
      <c r="AW1755" s="258">
        <v>1</v>
      </c>
      <c r="AX1755" s="122"/>
      <c r="AY1755" s="122"/>
      <c r="AZ1755" s="258">
        <v>1</v>
      </c>
      <c r="BA1755" s="122"/>
      <c r="BB1755" s="122"/>
      <c r="BC1755" s="258">
        <v>1</v>
      </c>
      <c r="BD1755" s="122"/>
      <c r="BE1755" s="122"/>
      <c r="BF1755" s="258">
        <v>1</v>
      </c>
      <c r="BG1755" s="122"/>
      <c r="BH1755" s="122"/>
      <c r="BI1755" s="258">
        <v>1</v>
      </c>
      <c r="BJ1755" s="122"/>
      <c r="BK1755" s="256"/>
      <c r="BL1755" s="258">
        <v>1</v>
      </c>
      <c r="BM1755" s="122"/>
      <c r="BN1755" s="122"/>
      <c r="BO1755" s="258">
        <v>1</v>
      </c>
      <c r="BP1755" s="122"/>
      <c r="BQ1755" s="122"/>
      <c r="BR1755" s="258">
        <v>1</v>
      </c>
      <c r="BS1755" s="122"/>
      <c r="BT1755" s="122"/>
      <c r="BU1755" s="258">
        <v>1</v>
      </c>
      <c r="BV1755" s="122"/>
      <c r="BW1755" s="122"/>
      <c r="BX1755" s="91"/>
    </row>
    <row r="1756" spans="1:76" s="55" customFormat="1" ht="15" customHeight="1" x14ac:dyDescent="0.25">
      <c r="A1756" s="122"/>
      <c r="B1756" s="118"/>
      <c r="C1756" s="195"/>
      <c r="D1756" s="263"/>
      <c r="E1756" s="264"/>
      <c r="F1756" s="264"/>
      <c r="G1756" s="264"/>
      <c r="H1756" s="264"/>
      <c r="I1756" s="264"/>
      <c r="J1756" s="265"/>
      <c r="K1756" s="122"/>
      <c r="L1756" s="122"/>
      <c r="M1756" s="122"/>
      <c r="N1756" s="122"/>
      <c r="O1756" s="122"/>
      <c r="P1756" s="122"/>
      <c r="Q1756" s="309" t="s">
        <v>159</v>
      </c>
      <c r="R1756" s="310">
        <f>COUNT(R1731:R1750)</f>
        <v>0</v>
      </c>
      <c r="S1756" s="310">
        <f>COUNT(S1731:S1750)</f>
        <v>0</v>
      </c>
      <c r="T1756" s="118"/>
      <c r="U1756" s="273" t="s">
        <v>155</v>
      </c>
      <c r="V1756" s="122"/>
      <c r="W1756" s="122"/>
      <c r="Y1756" s="91"/>
      <c r="AO1756" s="91"/>
      <c r="AP1756" s="122"/>
      <c r="AQ1756" s="122"/>
      <c r="AR1756" s="122"/>
      <c r="AS1756" s="256" t="s">
        <v>151</v>
      </c>
      <c r="AT1756" s="261" t="e">
        <f>IF((0.67*AT1757)&gt;AT1751,"no","yes")</f>
        <v>#DIV/0!</v>
      </c>
      <c r="AU1756" s="261" t="e">
        <f>IF((0.67*AU1757)&gt;AU1751,"no","yes")</f>
        <v>#DIV/0!</v>
      </c>
      <c r="AV1756" s="256"/>
      <c r="AW1756" s="261" t="e">
        <f>IF((0.67*AW1757)&gt;AW1751,"no","yes")</f>
        <v>#DIV/0!</v>
      </c>
      <c r="AX1756" s="261" t="e">
        <f>IF((0.67*AX1757)&gt;AX1751,"no","yes")</f>
        <v>#DIV/0!</v>
      </c>
      <c r="AY1756" s="122"/>
      <c r="AZ1756" s="261" t="e">
        <f>IF((0.67*AZ1757)&gt;AZ1751,"no","yes")</f>
        <v>#DIV/0!</v>
      </c>
      <c r="BA1756" s="261" t="e">
        <f>IF((0.67*BA1757)&gt;BA1751,"no","yes")</f>
        <v>#DIV/0!</v>
      </c>
      <c r="BB1756" s="122"/>
      <c r="BC1756" s="261" t="e">
        <f>IF((0.67*BC1757)&gt;BC1751,"no","yes")</f>
        <v>#DIV/0!</v>
      </c>
      <c r="BD1756" s="261" t="e">
        <f>IF((0.67*BD1757)&gt;BD1751,"no","yes")</f>
        <v>#DIV/0!</v>
      </c>
      <c r="BE1756" s="122"/>
      <c r="BF1756" s="261" t="e">
        <f>IF((0.67*BF1757)&gt;BF1751,"no","yes")</f>
        <v>#DIV/0!</v>
      </c>
      <c r="BG1756" s="261" t="e">
        <f>IF((0.67*BG1757)&gt;BG1751,"no","yes")</f>
        <v>#DIV/0!</v>
      </c>
      <c r="BH1756" s="122"/>
      <c r="BI1756" s="261" t="e">
        <f>IF((0.67*BI1757)&gt;BI1751,"no","yes")</f>
        <v>#DIV/0!</v>
      </c>
      <c r="BJ1756" s="261" t="e">
        <f>IF((0.67*BJ1757)&gt;BJ1751,"no","yes")</f>
        <v>#DIV/0!</v>
      </c>
      <c r="BK1756" s="133"/>
      <c r="BL1756" s="261" t="e">
        <f>IF((0.67*BL1757)&gt;BL1751,"no","yes")</f>
        <v>#DIV/0!</v>
      </c>
      <c r="BM1756" s="261" t="e">
        <f>IF((0.67*BM1757)&gt;BM1751,"no","yes")</f>
        <v>#DIV/0!</v>
      </c>
      <c r="BN1756" s="122"/>
      <c r="BO1756" s="261" t="e">
        <f>IF((0.67*BO1757)&gt;BO1751,"no","yes")</f>
        <v>#DIV/0!</v>
      </c>
      <c r="BP1756" s="261" t="e">
        <f>IF((0.67*BP1757)&gt;BP1751,"no","yes")</f>
        <v>#DIV/0!</v>
      </c>
      <c r="BQ1756" s="122"/>
      <c r="BR1756" s="261" t="e">
        <f>IF((0.67*BR1757)&gt;BR1751,"no","yes")</f>
        <v>#DIV/0!</v>
      </c>
      <c r="BS1756" s="261" t="e">
        <f>IF((0.67*BS1757)&gt;BS1751,"no","yes")</f>
        <v>#DIV/0!</v>
      </c>
      <c r="BT1756" s="122"/>
      <c r="BU1756" s="261" t="e">
        <f>IF((0.67*BU1757)&gt;BU1751,"no","yes")</f>
        <v>#DIV/0!</v>
      </c>
      <c r="BV1756" s="261" t="e">
        <f>IF((0.67*BV1757)&gt;BV1751,"no","yes")</f>
        <v>#DIV/0!</v>
      </c>
      <c r="BW1756" s="122"/>
      <c r="BX1756" s="91"/>
    </row>
    <row r="1757" spans="1:76" s="55" customFormat="1" ht="14.25" x14ac:dyDescent="0.2">
      <c r="B1757" s="23"/>
      <c r="C1757" s="195"/>
      <c r="D1757" s="263"/>
      <c r="E1757" s="264"/>
      <c r="F1757" s="264"/>
      <c r="G1757" s="264"/>
      <c r="H1757" s="264"/>
      <c r="I1757" s="264"/>
      <c r="J1757" s="265"/>
      <c r="K1757" s="122"/>
      <c r="L1757" s="122"/>
      <c r="M1757" s="122"/>
      <c r="N1757" s="122"/>
      <c r="O1757" s="122"/>
      <c r="P1757" s="122"/>
      <c r="Q1757" s="311"/>
      <c r="R1757" s="389"/>
      <c r="S1757" s="118"/>
      <c r="T1757" s="118"/>
      <c r="U1757" s="274"/>
      <c r="V1757" s="275"/>
      <c r="W1757" s="276"/>
      <c r="Y1757" s="91"/>
      <c r="AO1757" s="91"/>
      <c r="AP1757" s="122"/>
      <c r="AQ1757" s="122"/>
      <c r="AR1757" s="122"/>
      <c r="AS1757" s="256" t="s">
        <v>157</v>
      </c>
      <c r="AT1757" s="261">
        <f>IF(AT1758&gt;1,_xlfn.STDEV.S(AT1731:AT1750),0)</f>
        <v>0</v>
      </c>
      <c r="AU1757" s="261">
        <f>IF(AU1758&gt;1,_xlfn.STDEV.S(AU1731:AU1750),0)</f>
        <v>0</v>
      </c>
      <c r="AV1757" s="122"/>
      <c r="AW1757" s="261">
        <f t="shared" ref="AW1757:AX1757" si="1163">IF(AW1758&gt;1,_xlfn.STDEV.S(AW1731:AW1750),0)</f>
        <v>0</v>
      </c>
      <c r="AX1757" s="261">
        <f t="shared" si="1163"/>
        <v>0</v>
      </c>
      <c r="AY1757" s="122"/>
      <c r="AZ1757" s="261">
        <f t="shared" ref="AZ1757:BA1757" si="1164">IF(AZ1758&gt;1,_xlfn.STDEV.S(AZ1731:AZ1750),0)</f>
        <v>0</v>
      </c>
      <c r="BA1757" s="261">
        <f t="shared" si="1164"/>
        <v>0</v>
      </c>
      <c r="BB1757" s="122"/>
      <c r="BC1757" s="261">
        <f t="shared" ref="BC1757:BD1757" si="1165">IF(BC1758&gt;1,_xlfn.STDEV.S(BC1731:BC1750),0)</f>
        <v>0</v>
      </c>
      <c r="BD1757" s="261">
        <f t="shared" si="1165"/>
        <v>0</v>
      </c>
      <c r="BE1757" s="122"/>
      <c r="BF1757" s="261">
        <f t="shared" ref="BF1757:BG1757" si="1166">IF(BF1758&gt;1,_xlfn.STDEV.S(BF1731:BF1750),0)</f>
        <v>0</v>
      </c>
      <c r="BG1757" s="261">
        <f t="shared" si="1166"/>
        <v>0</v>
      </c>
      <c r="BH1757" s="122"/>
      <c r="BI1757" s="261">
        <f t="shared" ref="BI1757:BJ1757" si="1167">IF(BI1758&gt;1,_xlfn.STDEV.S(BI1731:BI1750),0)</f>
        <v>0</v>
      </c>
      <c r="BJ1757" s="261">
        <f t="shared" si="1167"/>
        <v>0</v>
      </c>
      <c r="BK1757" s="122"/>
      <c r="BL1757" s="261">
        <f t="shared" ref="BL1757:BM1757" si="1168">IF(BL1758&gt;1,_xlfn.STDEV.S(BL1731:BL1750),0)</f>
        <v>0</v>
      </c>
      <c r="BM1757" s="261">
        <f t="shared" si="1168"/>
        <v>0</v>
      </c>
      <c r="BN1757" s="122"/>
      <c r="BO1757" s="261">
        <f t="shared" ref="BO1757:BP1757" si="1169">IF(BO1758&gt;1,_xlfn.STDEV.S(BO1731:BO1750),0)</f>
        <v>0</v>
      </c>
      <c r="BP1757" s="261">
        <f t="shared" si="1169"/>
        <v>0</v>
      </c>
      <c r="BQ1757" s="122"/>
      <c r="BR1757" s="261">
        <f t="shared" ref="BR1757:BS1757" si="1170">IF(BR1758&gt;1,_xlfn.STDEV.S(BR1731:BR1750),0)</f>
        <v>0</v>
      </c>
      <c r="BS1757" s="261">
        <f t="shared" si="1170"/>
        <v>0</v>
      </c>
      <c r="BT1757" s="122"/>
      <c r="BU1757" s="261">
        <f t="shared" ref="BU1757:BV1757" si="1171">IF(BU1758&gt;1,_xlfn.STDEV.S(BU1731:BU1750),0)</f>
        <v>0</v>
      </c>
      <c r="BV1757" s="261">
        <f t="shared" si="1171"/>
        <v>0</v>
      </c>
      <c r="BW1757" s="122"/>
      <c r="BX1757" s="91"/>
    </row>
    <row r="1758" spans="1:76" s="55" customFormat="1" x14ac:dyDescent="0.2">
      <c r="A1758" s="270" t="e">
        <f ca="1">HYPERLINK("#"&amp;"'"&amp;A$1&amp;"'!a1","Back to top")</f>
        <v>#VALUE!</v>
      </c>
      <c r="B1758" s="271"/>
      <c r="C1758" s="122"/>
      <c r="D1758" s="277"/>
      <c r="E1758" s="278"/>
      <c r="F1758" s="278"/>
      <c r="G1758" s="278"/>
      <c r="H1758" s="278"/>
      <c r="I1758" s="278"/>
      <c r="J1758" s="279"/>
      <c r="Q1758" s="81"/>
      <c r="R1758" s="362" t="s">
        <v>158</v>
      </c>
      <c r="T1758" s="122"/>
      <c r="U1758" s="281"/>
      <c r="V1758" s="282"/>
      <c r="W1758" s="283"/>
      <c r="Y1758" s="91"/>
      <c r="AO1758" s="91"/>
      <c r="AP1758" s="122"/>
      <c r="AQ1758" s="122"/>
      <c r="AR1758" s="122"/>
      <c r="AS1758" s="133" t="s">
        <v>159</v>
      </c>
      <c r="AT1758" s="284">
        <f>COUNT(AT1731:AT1750)</f>
        <v>0</v>
      </c>
      <c r="AU1758" s="284">
        <f>COUNT(AU1731:AU1750)</f>
        <v>0</v>
      </c>
      <c r="AV1758" s="122"/>
      <c r="AW1758" s="284">
        <f t="shared" ref="AW1758:AX1758" si="1172">COUNT(AW1731:AW1750)</f>
        <v>0</v>
      </c>
      <c r="AX1758" s="284">
        <f t="shared" si="1172"/>
        <v>0</v>
      </c>
      <c r="AY1758" s="122"/>
      <c r="AZ1758" s="284">
        <f t="shared" ref="AZ1758:BA1758" si="1173">COUNT(AZ1731:AZ1750)</f>
        <v>0</v>
      </c>
      <c r="BA1758" s="284">
        <f t="shared" si="1173"/>
        <v>0</v>
      </c>
      <c r="BB1758" s="122"/>
      <c r="BC1758" s="284">
        <f t="shared" ref="BC1758:BD1758" si="1174">COUNT(BC1731:BC1750)</f>
        <v>0</v>
      </c>
      <c r="BD1758" s="284">
        <f t="shared" si="1174"/>
        <v>0</v>
      </c>
      <c r="BE1758" s="122"/>
      <c r="BF1758" s="284">
        <f t="shared" ref="BF1758:BG1758" si="1175">COUNT(BF1731:BF1750)</f>
        <v>0</v>
      </c>
      <c r="BG1758" s="284">
        <f t="shared" si="1175"/>
        <v>0</v>
      </c>
      <c r="BH1758" s="122"/>
      <c r="BI1758" s="284">
        <f t="shared" ref="BI1758:BJ1758" si="1176">COUNT(BI1731:BI1750)</f>
        <v>0</v>
      </c>
      <c r="BJ1758" s="284">
        <f t="shared" si="1176"/>
        <v>0</v>
      </c>
      <c r="BK1758" s="122"/>
      <c r="BL1758" s="284">
        <f t="shared" ref="BL1758:BM1758" si="1177">COUNT(BL1731:BL1750)</f>
        <v>0</v>
      </c>
      <c r="BM1758" s="284">
        <f t="shared" si="1177"/>
        <v>0</v>
      </c>
      <c r="BN1758" s="122"/>
      <c r="BO1758" s="284">
        <f t="shared" ref="BO1758:BP1758" si="1178">COUNT(BO1731:BO1750)</f>
        <v>0</v>
      </c>
      <c r="BP1758" s="284">
        <f t="shared" si="1178"/>
        <v>0</v>
      </c>
      <c r="BQ1758" s="122"/>
      <c r="BR1758" s="284">
        <f t="shared" ref="BR1758:BS1758" si="1179">COUNT(BR1731:BR1750)</f>
        <v>0</v>
      </c>
      <c r="BS1758" s="284">
        <f t="shared" si="1179"/>
        <v>0</v>
      </c>
      <c r="BT1758" s="122"/>
      <c r="BU1758" s="284">
        <f t="shared" ref="BU1758:BV1758" si="1180">COUNT(BU1731:BU1750)</f>
        <v>0</v>
      </c>
      <c r="BV1758" s="284">
        <f t="shared" si="1180"/>
        <v>0</v>
      </c>
      <c r="BW1758" s="122"/>
      <c r="BX1758" s="91"/>
    </row>
    <row r="1759" spans="1:76" s="55" customFormat="1" ht="14.25" x14ac:dyDescent="0.2">
      <c r="B1759" s="23"/>
      <c r="Q1759" s="81"/>
      <c r="R1759" s="287" t="s">
        <v>149</v>
      </c>
      <c r="T1759" s="122"/>
      <c r="U1759" s="281"/>
      <c r="V1759" s="282"/>
      <c r="W1759" s="283"/>
      <c r="Y1759" s="91"/>
      <c r="AO1759" s="91"/>
      <c r="BX1759" s="91"/>
    </row>
    <row r="1760" spans="1:76" s="55" customFormat="1" ht="14.25" x14ac:dyDescent="0.2">
      <c r="B1760" s="23"/>
      <c r="Q1760" s="81"/>
      <c r="T1760" s="122"/>
      <c r="U1760" s="288"/>
      <c r="V1760" s="289"/>
      <c r="W1760" s="290"/>
      <c r="Y1760" s="91"/>
      <c r="AO1760" s="91"/>
      <c r="BX1760" s="91"/>
    </row>
    <row r="1761" spans="1:76" s="55" customFormat="1" ht="14.25" x14ac:dyDescent="0.2">
      <c r="B1761" s="23"/>
      <c r="Q1761" s="81"/>
      <c r="Y1761" s="91"/>
      <c r="AO1761" s="91"/>
      <c r="BX1761" s="91"/>
    </row>
    <row r="1762" spans="1:76" s="9" customFormat="1" ht="18" x14ac:dyDescent="0.25">
      <c r="A1762" s="188">
        <f>A1728+1</f>
        <v>31</v>
      </c>
      <c r="B1762" s="189"/>
      <c r="C1762" s="293" t="s">
        <v>774</v>
      </c>
      <c r="D1762" s="191"/>
      <c r="E1762" s="191"/>
      <c r="F1762" s="191"/>
      <c r="G1762" s="191"/>
      <c r="J1762" s="191"/>
      <c r="K1762" s="191"/>
      <c r="L1762" s="192"/>
      <c r="M1762" s="192"/>
      <c r="N1762" s="192"/>
      <c r="Q1762" s="193"/>
      <c r="R1762" s="194" t="s">
        <v>93</v>
      </c>
      <c r="S1762" s="194"/>
      <c r="T1762" s="194"/>
      <c r="U1762" s="194"/>
      <c r="AP1762" s="175">
        <f>A1762</f>
        <v>31</v>
      </c>
      <c r="AQ1762" s="175" t="str">
        <f>C1762</f>
        <v>VARIABLE31</v>
      </c>
    </row>
    <row r="1763" spans="1:76" s="55" customFormat="1" x14ac:dyDescent="0.25">
      <c r="A1763" s="195"/>
      <c r="B1763" s="196"/>
      <c r="C1763" s="195"/>
      <c r="D1763" s="120"/>
      <c r="E1763" s="120"/>
      <c r="F1763" s="120"/>
      <c r="G1763" s="120"/>
      <c r="J1763" s="120"/>
      <c r="K1763" s="120"/>
      <c r="L1763" s="122"/>
      <c r="M1763" s="122"/>
      <c r="N1763" s="122"/>
      <c r="Q1763" s="81"/>
      <c r="Y1763" s="91"/>
      <c r="AO1763" s="91"/>
      <c r="AP1763" s="28"/>
      <c r="AQ1763" s="28"/>
      <c r="AR1763" s="28"/>
      <c r="AS1763" s="28"/>
      <c r="AT1763" s="198" t="s">
        <v>171</v>
      </c>
      <c r="AU1763" s="198"/>
      <c r="AV1763" s="28"/>
      <c r="AW1763" s="198" t="s">
        <v>96</v>
      </c>
      <c r="AX1763" s="198"/>
      <c r="AY1763" s="28"/>
      <c r="AZ1763" s="198" t="s">
        <v>97</v>
      </c>
      <c r="BA1763" s="198"/>
      <c r="BB1763" s="28"/>
      <c r="BC1763" s="198" t="s">
        <v>98</v>
      </c>
      <c r="BD1763" s="198"/>
      <c r="BE1763" s="28"/>
      <c r="BF1763" s="198" t="s">
        <v>99</v>
      </c>
      <c r="BG1763" s="198"/>
      <c r="BH1763" s="28"/>
      <c r="BI1763" s="198" t="s">
        <v>100</v>
      </c>
      <c r="BJ1763" s="198"/>
      <c r="BK1763" s="28"/>
      <c r="BL1763" s="198" t="s">
        <v>101</v>
      </c>
      <c r="BM1763" s="198"/>
      <c r="BN1763" s="28"/>
      <c r="BO1763" s="198" t="s">
        <v>102</v>
      </c>
      <c r="BP1763" s="198"/>
      <c r="BQ1763" s="28"/>
      <c r="BR1763" s="198" t="s">
        <v>103</v>
      </c>
      <c r="BS1763" s="198"/>
      <c r="BT1763" s="28"/>
      <c r="BU1763" s="198" t="s">
        <v>104</v>
      </c>
      <c r="BV1763" s="198"/>
      <c r="BW1763" s="28"/>
      <c r="BX1763" s="91"/>
    </row>
    <row r="1764" spans="1:76" s="55" customFormat="1" ht="30.75" thickBot="1" x14ac:dyDescent="0.3">
      <c r="A1764" s="199" t="s">
        <v>105</v>
      </c>
      <c r="B1764" s="200" t="s">
        <v>106</v>
      </c>
      <c r="C1764" s="201" t="s">
        <v>107</v>
      </c>
      <c r="D1764" s="202" t="s">
        <v>108</v>
      </c>
      <c r="E1764" s="202" t="s">
        <v>109</v>
      </c>
      <c r="F1764" s="201" t="s">
        <v>110</v>
      </c>
      <c r="G1764" s="201" t="s">
        <v>111</v>
      </c>
      <c r="H1764" s="202" t="s">
        <v>112</v>
      </c>
      <c r="I1764" s="203" t="s">
        <v>113</v>
      </c>
      <c r="J1764" s="204" t="s">
        <v>114</v>
      </c>
      <c r="K1764" s="205" t="s">
        <v>115</v>
      </c>
      <c r="L1764" s="206" t="s">
        <v>116</v>
      </c>
      <c r="M1764" s="207" t="s">
        <v>117</v>
      </c>
      <c r="N1764" s="208" t="s">
        <v>118</v>
      </c>
      <c r="O1764" s="207" t="s">
        <v>119</v>
      </c>
      <c r="P1764" s="210"/>
      <c r="Q1764" s="211" t="s">
        <v>120</v>
      </c>
      <c r="R1764" s="212" t="s">
        <v>121</v>
      </c>
      <c r="S1764" s="212" t="s">
        <v>122</v>
      </c>
      <c r="T1764" s="212" t="s">
        <v>123</v>
      </c>
      <c r="U1764" s="213" t="s">
        <v>124</v>
      </c>
      <c r="V1764" s="210"/>
      <c r="W1764" s="210"/>
      <c r="Y1764" s="91"/>
      <c r="AO1764" s="91"/>
      <c r="AP1764" s="210"/>
      <c r="AQ1764" s="210"/>
      <c r="AR1764" s="213" t="s">
        <v>125</v>
      </c>
      <c r="AS1764" s="210"/>
      <c r="AT1764" s="215" t="s">
        <v>121</v>
      </c>
      <c r="AU1764" s="215" t="s">
        <v>122</v>
      </c>
      <c r="AV1764" s="210"/>
      <c r="AW1764" s="215" t="s">
        <v>121</v>
      </c>
      <c r="AX1764" s="215" t="s">
        <v>122</v>
      </c>
      <c r="AY1764" s="210"/>
      <c r="AZ1764" s="215" t="s">
        <v>121</v>
      </c>
      <c r="BA1764" s="215" t="s">
        <v>122</v>
      </c>
      <c r="BB1764" s="210"/>
      <c r="BC1764" s="215" t="s">
        <v>121</v>
      </c>
      <c r="BD1764" s="215" t="s">
        <v>122</v>
      </c>
      <c r="BE1764" s="210"/>
      <c r="BF1764" s="215" t="s">
        <v>121</v>
      </c>
      <c r="BG1764" s="215" t="s">
        <v>122</v>
      </c>
      <c r="BH1764" s="210"/>
      <c r="BI1764" s="215" t="s">
        <v>121</v>
      </c>
      <c r="BJ1764" s="215" t="s">
        <v>122</v>
      </c>
      <c r="BK1764" s="210"/>
      <c r="BL1764" s="215" t="s">
        <v>121</v>
      </c>
      <c r="BM1764" s="215" t="s">
        <v>122</v>
      </c>
      <c r="BN1764" s="210"/>
      <c r="BO1764" s="215" t="s">
        <v>121</v>
      </c>
      <c r="BP1764" s="215" t="s">
        <v>122</v>
      </c>
      <c r="BQ1764" s="210"/>
      <c r="BR1764" s="215" t="s">
        <v>121</v>
      </c>
      <c r="BS1764" s="215" t="s">
        <v>122</v>
      </c>
      <c r="BT1764" s="210"/>
      <c r="BU1764" s="215" t="s">
        <v>121</v>
      </c>
      <c r="BV1764" s="215" t="s">
        <v>122</v>
      </c>
      <c r="BW1764" s="210"/>
      <c r="BX1764" s="91"/>
    </row>
    <row r="1765" spans="1:76" s="55" customFormat="1" x14ac:dyDescent="0.25">
      <c r="A1765" s="195">
        <v>1</v>
      </c>
      <c r="B1765" s="216" t="str">
        <f t="shared" ref="B1765:B1784" si="1181">CONCATENATE(E1765,": ",C1765)</f>
        <v xml:space="preserve">: </v>
      </c>
      <c r="C1765" s="219"/>
      <c r="D1765" s="219"/>
      <c r="E1765" s="219"/>
      <c r="F1765" s="219"/>
      <c r="G1765" s="220"/>
      <c r="H1765" s="221"/>
      <c r="I1765" s="220"/>
      <c r="J1765" s="227"/>
      <c r="K1765" s="226"/>
      <c r="L1765" s="227"/>
      <c r="M1765" s="227"/>
      <c r="N1765" s="227"/>
      <c r="O1765" s="227"/>
      <c r="P1765" s="122"/>
      <c r="Q1765" s="228"/>
      <c r="R1765" s="231" t="str">
        <f>IF(Q1765="Y","",IF(AND(L1765="",J1765=""),"",IF(L1765="",J1765,L1765)))</f>
        <v/>
      </c>
      <c r="S1765" s="230" t="str">
        <f t="shared" ref="S1765:S1784" si="1182">IF(R1765="","",IF($R$1793="Y",T1765,IF(R1765&gt;=$R$1785-$AA$35*$R$1789,IF(R1765&lt;=$R$1785+$AA$35*$R$1789,R1765,""),"")))</f>
        <v/>
      </c>
      <c r="T1765" s="231" t="str">
        <f>IF(OR(Q1765="Y",IFERROR(R1765&gt;R1785+R1789*$AA$35,0),IFERROR(R1765&lt;R1785-R1789*$AA$35,0)),"",IFERROR(R1765*N1765,""))</f>
        <v/>
      </c>
      <c r="U1765" s="232" t="str">
        <f t="shared" ref="U1765:U1784" si="1183">IF(AND(M1765="",K1765=""),"",IF(M1765="",K1765,M1765))</f>
        <v/>
      </c>
      <c r="V1765" s="28"/>
      <c r="W1765" s="28"/>
      <c r="Y1765" s="91"/>
      <c r="AO1765" s="91"/>
      <c r="AP1765" s="28"/>
      <c r="AQ1765" s="28"/>
      <c r="AR1765" s="233" t="str">
        <f>$U1765</f>
        <v/>
      </c>
      <c r="AS1765" s="28"/>
      <c r="AT1765" s="304" t="str">
        <f t="shared" ref="AT1765:AU1784" si="1184">IF($E1765=$AT$47,R1765,"")</f>
        <v/>
      </c>
      <c r="AU1765" s="304" t="str">
        <f t="shared" si="1184"/>
        <v/>
      </c>
      <c r="AV1765" s="28"/>
      <c r="AW1765" s="304" t="str">
        <f t="shared" ref="AW1765:AX1784" si="1185">IF($E1765=$AW$83,R1765,"")</f>
        <v/>
      </c>
      <c r="AX1765" s="304" t="str">
        <f t="shared" si="1185"/>
        <v/>
      </c>
      <c r="AY1765" s="28"/>
      <c r="AZ1765" s="304" t="str">
        <f t="shared" ref="AZ1765:BA1784" si="1186">IF($E1765=$AZ$83,R1765,"")</f>
        <v/>
      </c>
      <c r="BA1765" s="304" t="str">
        <f t="shared" si="1186"/>
        <v/>
      </c>
      <c r="BB1765" s="28"/>
      <c r="BC1765" s="304" t="str">
        <f t="shared" ref="BC1765:BD1784" si="1187">IF($E1765=$BC$83,R1765,"")</f>
        <v/>
      </c>
      <c r="BD1765" s="304" t="str">
        <f t="shared" si="1187"/>
        <v/>
      </c>
      <c r="BE1765" s="28"/>
      <c r="BF1765" s="304" t="str">
        <f t="shared" ref="BF1765:BG1784" si="1188">IF($E1765=$BF$83,R1765,"")</f>
        <v/>
      </c>
      <c r="BG1765" s="304" t="str">
        <f t="shared" si="1188"/>
        <v/>
      </c>
      <c r="BH1765" s="28"/>
      <c r="BI1765" s="304" t="str">
        <f t="shared" ref="BI1765:BJ1784" si="1189">IF($E1765=$BI$83,R1765,"")</f>
        <v/>
      </c>
      <c r="BJ1765" s="304" t="str">
        <f t="shared" si="1189"/>
        <v/>
      </c>
      <c r="BK1765" s="28"/>
      <c r="BL1765" s="304" t="str">
        <f t="shared" ref="BL1765:BM1784" si="1190">IF($E1765=$BL$83,R1765,"")</f>
        <v/>
      </c>
      <c r="BM1765" s="304" t="str">
        <f t="shared" si="1190"/>
        <v/>
      </c>
      <c r="BN1765" s="28"/>
      <c r="BO1765" s="304" t="str">
        <f t="shared" ref="BO1765:BP1784" si="1191">IF($E1765=$BO$83,R1765,"")</f>
        <v/>
      </c>
      <c r="BP1765" s="304" t="str">
        <f t="shared" si="1191"/>
        <v/>
      </c>
      <c r="BQ1765" s="28"/>
      <c r="BR1765" s="304" t="str">
        <f t="shared" ref="BR1765:BS1784" si="1192">IF($E1765=$BR$83,R1765,"")</f>
        <v/>
      </c>
      <c r="BS1765" s="304" t="str">
        <f t="shared" si="1192"/>
        <v/>
      </c>
      <c r="BT1765" s="28"/>
      <c r="BU1765" s="304" t="str">
        <f t="shared" ref="BU1765:BV1784" si="1193">IF($E1765=$BU$83,R1765,"")</f>
        <v/>
      </c>
      <c r="BV1765" s="304" t="str">
        <f t="shared" si="1193"/>
        <v/>
      </c>
      <c r="BW1765" s="28"/>
      <c r="BX1765" s="91"/>
    </row>
    <row r="1766" spans="1:76" s="55" customFormat="1" x14ac:dyDescent="0.25">
      <c r="A1766" s="195">
        <v>2</v>
      </c>
      <c r="B1766" s="216" t="str">
        <f t="shared" si="1181"/>
        <v xml:space="preserve">: </v>
      </c>
      <c r="C1766" s="219"/>
      <c r="D1766" s="219"/>
      <c r="E1766" s="219"/>
      <c r="F1766" s="219"/>
      <c r="G1766" s="220"/>
      <c r="H1766" s="221"/>
      <c r="I1766" s="220"/>
      <c r="J1766" s="227"/>
      <c r="K1766" s="227"/>
      <c r="L1766" s="227"/>
      <c r="M1766" s="227"/>
      <c r="N1766" s="227"/>
      <c r="O1766" s="227"/>
      <c r="P1766" s="122"/>
      <c r="Q1766" s="228"/>
      <c r="R1766" s="231" t="str">
        <f t="shared" ref="R1766:R1784" si="1194">IF(Q1766="Y","",IF(AND(L1766="",J1766=""),"",IF(L1766="",J1766,L1766)))</f>
        <v/>
      </c>
      <c r="S1766" s="230" t="str">
        <f t="shared" si="1182"/>
        <v/>
      </c>
      <c r="T1766" s="231" t="str">
        <f>IF(OR(Q1766="Y",IFERROR(R1766&gt;R1785+R1789*$AA$35,0),IFERROR(R1766&lt;R1785-R1789*$AA$35,0)),"",IFERROR(R1766*N1766,""))</f>
        <v/>
      </c>
      <c r="U1766" s="232" t="str">
        <f t="shared" si="1183"/>
        <v/>
      </c>
      <c r="V1766" s="28"/>
      <c r="W1766" s="28"/>
      <c r="Y1766" s="91"/>
      <c r="AO1766" s="91"/>
      <c r="AP1766" s="28"/>
      <c r="AQ1766" s="28"/>
      <c r="AR1766" s="237"/>
      <c r="AS1766" s="28"/>
      <c r="AT1766" s="304" t="str">
        <f t="shared" si="1184"/>
        <v/>
      </c>
      <c r="AU1766" s="304" t="str">
        <f t="shared" si="1184"/>
        <v/>
      </c>
      <c r="AV1766" s="28"/>
      <c r="AW1766" s="304" t="str">
        <f t="shared" si="1185"/>
        <v/>
      </c>
      <c r="AX1766" s="304" t="str">
        <f t="shared" si="1185"/>
        <v/>
      </c>
      <c r="AY1766" s="28"/>
      <c r="AZ1766" s="304" t="str">
        <f t="shared" si="1186"/>
        <v/>
      </c>
      <c r="BA1766" s="304" t="str">
        <f t="shared" si="1186"/>
        <v/>
      </c>
      <c r="BB1766" s="28"/>
      <c r="BC1766" s="304" t="str">
        <f t="shared" si="1187"/>
        <v/>
      </c>
      <c r="BD1766" s="304" t="str">
        <f t="shared" si="1187"/>
        <v/>
      </c>
      <c r="BE1766" s="28"/>
      <c r="BF1766" s="304" t="str">
        <f t="shared" si="1188"/>
        <v/>
      </c>
      <c r="BG1766" s="304" t="str">
        <f t="shared" si="1188"/>
        <v/>
      </c>
      <c r="BH1766" s="28"/>
      <c r="BI1766" s="304" t="str">
        <f t="shared" si="1189"/>
        <v/>
      </c>
      <c r="BJ1766" s="304" t="str">
        <f t="shared" si="1189"/>
        <v/>
      </c>
      <c r="BK1766" s="28"/>
      <c r="BL1766" s="304" t="str">
        <f t="shared" si="1190"/>
        <v/>
      </c>
      <c r="BM1766" s="304" t="str">
        <f t="shared" si="1190"/>
        <v/>
      </c>
      <c r="BN1766" s="28"/>
      <c r="BO1766" s="304" t="str">
        <f t="shared" si="1191"/>
        <v/>
      </c>
      <c r="BP1766" s="304" t="str">
        <f t="shared" si="1191"/>
        <v/>
      </c>
      <c r="BQ1766" s="28"/>
      <c r="BR1766" s="304" t="str">
        <f t="shared" si="1192"/>
        <v/>
      </c>
      <c r="BS1766" s="304" t="str">
        <f t="shared" si="1192"/>
        <v/>
      </c>
      <c r="BT1766" s="28"/>
      <c r="BU1766" s="304" t="str">
        <f t="shared" si="1193"/>
        <v/>
      </c>
      <c r="BV1766" s="304" t="str">
        <f t="shared" si="1193"/>
        <v/>
      </c>
      <c r="BW1766" s="28"/>
      <c r="BX1766" s="91"/>
    </row>
    <row r="1767" spans="1:76" s="55" customFormat="1" x14ac:dyDescent="0.25">
      <c r="A1767" s="195">
        <v>3</v>
      </c>
      <c r="B1767" s="216" t="str">
        <f t="shared" si="1181"/>
        <v xml:space="preserve">: </v>
      </c>
      <c r="C1767" s="221"/>
      <c r="D1767" s="221"/>
      <c r="E1767" s="221"/>
      <c r="F1767" s="221"/>
      <c r="G1767" s="240"/>
      <c r="H1767" s="221"/>
      <c r="I1767" s="240"/>
      <c r="J1767" s="241"/>
      <c r="K1767" s="241"/>
      <c r="L1767" s="227"/>
      <c r="M1767" s="227"/>
      <c r="N1767" s="227"/>
      <c r="O1767" s="227"/>
      <c r="P1767" s="122"/>
      <c r="Q1767" s="228"/>
      <c r="R1767" s="231" t="str">
        <f t="shared" si="1194"/>
        <v/>
      </c>
      <c r="S1767" s="230" t="str">
        <f t="shared" si="1182"/>
        <v/>
      </c>
      <c r="T1767" s="231" t="str">
        <f>IF(OR(Q1767="Y",IFERROR(R1767&gt;R1785+R1789*$AA$35,0),IFERROR(R1767&lt;R1785-R1789*$AA$35,0)),"",IFERROR(R1767*N1767,""))</f>
        <v/>
      </c>
      <c r="U1767" s="232" t="str">
        <f t="shared" si="1183"/>
        <v/>
      </c>
      <c r="V1767" s="28"/>
      <c r="W1767" s="28"/>
      <c r="Y1767" s="91"/>
      <c r="AO1767" s="91"/>
      <c r="AP1767" s="28"/>
      <c r="AQ1767" s="28"/>
      <c r="AR1767" s="237"/>
      <c r="AS1767" s="28"/>
      <c r="AT1767" s="304" t="str">
        <f t="shared" si="1184"/>
        <v/>
      </c>
      <c r="AU1767" s="304" t="str">
        <f t="shared" si="1184"/>
        <v/>
      </c>
      <c r="AV1767" s="28"/>
      <c r="AW1767" s="304" t="str">
        <f t="shared" si="1185"/>
        <v/>
      </c>
      <c r="AX1767" s="304" t="str">
        <f t="shared" si="1185"/>
        <v/>
      </c>
      <c r="AY1767" s="28"/>
      <c r="AZ1767" s="304" t="str">
        <f t="shared" si="1186"/>
        <v/>
      </c>
      <c r="BA1767" s="304" t="str">
        <f t="shared" si="1186"/>
        <v/>
      </c>
      <c r="BB1767" s="28"/>
      <c r="BC1767" s="304" t="str">
        <f t="shared" si="1187"/>
        <v/>
      </c>
      <c r="BD1767" s="304" t="str">
        <f t="shared" si="1187"/>
        <v/>
      </c>
      <c r="BE1767" s="28"/>
      <c r="BF1767" s="304" t="str">
        <f t="shared" si="1188"/>
        <v/>
      </c>
      <c r="BG1767" s="304" t="str">
        <f t="shared" si="1188"/>
        <v/>
      </c>
      <c r="BH1767" s="28"/>
      <c r="BI1767" s="304" t="str">
        <f t="shared" si="1189"/>
        <v/>
      </c>
      <c r="BJ1767" s="304" t="str">
        <f t="shared" si="1189"/>
        <v/>
      </c>
      <c r="BK1767" s="28"/>
      <c r="BL1767" s="304" t="str">
        <f t="shared" si="1190"/>
        <v/>
      </c>
      <c r="BM1767" s="304" t="str">
        <f t="shared" si="1190"/>
        <v/>
      </c>
      <c r="BN1767" s="28"/>
      <c r="BO1767" s="304" t="str">
        <f t="shared" si="1191"/>
        <v/>
      </c>
      <c r="BP1767" s="304" t="str">
        <f t="shared" si="1191"/>
        <v/>
      </c>
      <c r="BQ1767" s="28"/>
      <c r="BR1767" s="304" t="str">
        <f t="shared" si="1192"/>
        <v/>
      </c>
      <c r="BS1767" s="304" t="str">
        <f t="shared" si="1192"/>
        <v/>
      </c>
      <c r="BT1767" s="28"/>
      <c r="BU1767" s="304" t="str">
        <f t="shared" si="1193"/>
        <v/>
      </c>
      <c r="BV1767" s="304" t="str">
        <f t="shared" si="1193"/>
        <v/>
      </c>
      <c r="BW1767" s="28"/>
      <c r="BX1767" s="91"/>
    </row>
    <row r="1768" spans="1:76" s="55" customFormat="1" x14ac:dyDescent="0.25">
      <c r="A1768" s="195">
        <v>4</v>
      </c>
      <c r="B1768" s="216" t="str">
        <f t="shared" si="1181"/>
        <v xml:space="preserve">: </v>
      </c>
      <c r="C1768" s="221"/>
      <c r="D1768" s="221"/>
      <c r="E1768" s="221"/>
      <c r="F1768" s="221"/>
      <c r="G1768" s="240"/>
      <c r="H1768" s="221"/>
      <c r="I1768" s="240"/>
      <c r="J1768" s="241"/>
      <c r="K1768" s="241"/>
      <c r="L1768" s="227"/>
      <c r="M1768" s="227"/>
      <c r="N1768" s="227"/>
      <c r="O1768" s="227"/>
      <c r="P1768" s="122"/>
      <c r="Q1768" s="228"/>
      <c r="R1768" s="231" t="str">
        <f t="shared" si="1194"/>
        <v/>
      </c>
      <c r="S1768" s="230" t="str">
        <f t="shared" si="1182"/>
        <v/>
      </c>
      <c r="T1768" s="231" t="str">
        <f>IF(OR(Q1768="Y",IFERROR(R1768&gt;R1785+R1789*$AA$35,0),IFERROR(R1768&lt;R1785-R1789*$AA$35,0)),"",IFERROR(R1768*N1768,""))</f>
        <v/>
      </c>
      <c r="U1768" s="232" t="str">
        <f t="shared" si="1183"/>
        <v/>
      </c>
      <c r="V1768" s="28"/>
      <c r="W1768" s="28"/>
      <c r="Y1768" s="91"/>
      <c r="AO1768" s="91"/>
      <c r="AP1768" s="28"/>
      <c r="AQ1768" s="28"/>
      <c r="AR1768" s="237"/>
      <c r="AS1768" s="28"/>
      <c r="AT1768" s="304" t="str">
        <f t="shared" si="1184"/>
        <v/>
      </c>
      <c r="AU1768" s="304" t="str">
        <f t="shared" si="1184"/>
        <v/>
      </c>
      <c r="AV1768" s="28"/>
      <c r="AW1768" s="304" t="str">
        <f t="shared" si="1185"/>
        <v/>
      </c>
      <c r="AX1768" s="304" t="str">
        <f t="shared" si="1185"/>
        <v/>
      </c>
      <c r="AY1768" s="28"/>
      <c r="AZ1768" s="304" t="str">
        <f t="shared" si="1186"/>
        <v/>
      </c>
      <c r="BA1768" s="304" t="str">
        <f t="shared" si="1186"/>
        <v/>
      </c>
      <c r="BB1768" s="28"/>
      <c r="BC1768" s="304" t="str">
        <f t="shared" si="1187"/>
        <v/>
      </c>
      <c r="BD1768" s="304" t="str">
        <f t="shared" si="1187"/>
        <v/>
      </c>
      <c r="BE1768" s="28"/>
      <c r="BF1768" s="304" t="str">
        <f t="shared" si="1188"/>
        <v/>
      </c>
      <c r="BG1768" s="304" t="str">
        <f t="shared" si="1188"/>
        <v/>
      </c>
      <c r="BH1768" s="28"/>
      <c r="BI1768" s="304" t="str">
        <f t="shared" si="1189"/>
        <v/>
      </c>
      <c r="BJ1768" s="304" t="str">
        <f t="shared" si="1189"/>
        <v/>
      </c>
      <c r="BK1768" s="28"/>
      <c r="BL1768" s="304" t="str">
        <f t="shared" si="1190"/>
        <v/>
      </c>
      <c r="BM1768" s="304" t="str">
        <f t="shared" si="1190"/>
        <v/>
      </c>
      <c r="BN1768" s="28"/>
      <c r="BO1768" s="304" t="str">
        <f t="shared" si="1191"/>
        <v/>
      </c>
      <c r="BP1768" s="304" t="str">
        <f t="shared" si="1191"/>
        <v/>
      </c>
      <c r="BQ1768" s="28"/>
      <c r="BR1768" s="304" t="str">
        <f t="shared" si="1192"/>
        <v/>
      </c>
      <c r="BS1768" s="304" t="str">
        <f t="shared" si="1192"/>
        <v/>
      </c>
      <c r="BT1768" s="28"/>
      <c r="BU1768" s="304" t="str">
        <f t="shared" si="1193"/>
        <v/>
      </c>
      <c r="BV1768" s="304" t="str">
        <f t="shared" si="1193"/>
        <v/>
      </c>
      <c r="BW1768" s="28"/>
      <c r="BX1768" s="91"/>
    </row>
    <row r="1769" spans="1:76" s="55" customFormat="1" x14ac:dyDescent="0.25">
      <c r="A1769" s="195">
        <v>5</v>
      </c>
      <c r="B1769" s="216" t="str">
        <f t="shared" si="1181"/>
        <v xml:space="preserve">: </v>
      </c>
      <c r="C1769" s="221"/>
      <c r="D1769" s="221"/>
      <c r="E1769" s="221"/>
      <c r="F1769" s="221"/>
      <c r="G1769" s="240"/>
      <c r="H1769" s="221"/>
      <c r="I1769" s="240"/>
      <c r="J1769" s="241"/>
      <c r="K1769" s="241"/>
      <c r="L1769" s="227"/>
      <c r="M1769" s="227"/>
      <c r="N1769" s="227"/>
      <c r="O1769" s="227"/>
      <c r="P1769" s="122"/>
      <c r="Q1769" s="228"/>
      <c r="R1769" s="231" t="str">
        <f t="shared" si="1194"/>
        <v/>
      </c>
      <c r="S1769" s="230" t="str">
        <f t="shared" si="1182"/>
        <v/>
      </c>
      <c r="T1769" s="231" t="str">
        <f>IF(OR(Q1769="Y",IFERROR(R1769&gt;R1785+R1789*$AA$35,0),IFERROR(R1769&lt;R1785-R1789*$AA$35,0)),"",IFERROR(R1769*N1769,""))</f>
        <v/>
      </c>
      <c r="U1769" s="232" t="str">
        <f t="shared" si="1183"/>
        <v/>
      </c>
      <c r="V1769" s="28"/>
      <c r="W1769" s="28"/>
      <c r="Y1769" s="91"/>
      <c r="AO1769" s="91"/>
      <c r="AP1769" s="28"/>
      <c r="AQ1769" s="28"/>
      <c r="AR1769" s="237"/>
      <c r="AS1769" s="28"/>
      <c r="AT1769" s="304" t="str">
        <f t="shared" si="1184"/>
        <v/>
      </c>
      <c r="AU1769" s="304" t="str">
        <f t="shared" si="1184"/>
        <v/>
      </c>
      <c r="AV1769" s="28"/>
      <c r="AW1769" s="304" t="str">
        <f t="shared" si="1185"/>
        <v/>
      </c>
      <c r="AX1769" s="304" t="str">
        <f t="shared" si="1185"/>
        <v/>
      </c>
      <c r="AY1769" s="28"/>
      <c r="AZ1769" s="304" t="str">
        <f t="shared" si="1186"/>
        <v/>
      </c>
      <c r="BA1769" s="304" t="str">
        <f t="shared" si="1186"/>
        <v/>
      </c>
      <c r="BB1769" s="28"/>
      <c r="BC1769" s="304" t="str">
        <f t="shared" si="1187"/>
        <v/>
      </c>
      <c r="BD1769" s="304" t="str">
        <f t="shared" si="1187"/>
        <v/>
      </c>
      <c r="BE1769" s="28"/>
      <c r="BF1769" s="304" t="str">
        <f t="shared" si="1188"/>
        <v/>
      </c>
      <c r="BG1769" s="304" t="str">
        <f t="shared" si="1188"/>
        <v/>
      </c>
      <c r="BH1769" s="28"/>
      <c r="BI1769" s="304" t="str">
        <f t="shared" si="1189"/>
        <v/>
      </c>
      <c r="BJ1769" s="304" t="str">
        <f t="shared" si="1189"/>
        <v/>
      </c>
      <c r="BK1769" s="28"/>
      <c r="BL1769" s="304" t="str">
        <f t="shared" si="1190"/>
        <v/>
      </c>
      <c r="BM1769" s="304" t="str">
        <f t="shared" si="1190"/>
        <v/>
      </c>
      <c r="BN1769" s="28"/>
      <c r="BO1769" s="304" t="str">
        <f t="shared" si="1191"/>
        <v/>
      </c>
      <c r="BP1769" s="304" t="str">
        <f t="shared" si="1191"/>
        <v/>
      </c>
      <c r="BQ1769" s="28"/>
      <c r="BR1769" s="304" t="str">
        <f t="shared" si="1192"/>
        <v/>
      </c>
      <c r="BS1769" s="304" t="str">
        <f t="shared" si="1192"/>
        <v/>
      </c>
      <c r="BT1769" s="28"/>
      <c r="BU1769" s="304" t="str">
        <f t="shared" si="1193"/>
        <v/>
      </c>
      <c r="BV1769" s="304" t="str">
        <f t="shared" si="1193"/>
        <v/>
      </c>
      <c r="BW1769" s="28"/>
      <c r="BX1769" s="91"/>
    </row>
    <row r="1770" spans="1:76" s="55" customFormat="1" x14ac:dyDescent="0.25">
      <c r="A1770" s="195">
        <v>6</v>
      </c>
      <c r="B1770" s="216" t="str">
        <f t="shared" si="1181"/>
        <v xml:space="preserve">: </v>
      </c>
      <c r="C1770" s="221"/>
      <c r="D1770" s="221"/>
      <c r="E1770" s="221"/>
      <c r="F1770" s="221"/>
      <c r="G1770" s="240"/>
      <c r="H1770" s="221"/>
      <c r="I1770" s="240"/>
      <c r="J1770" s="241"/>
      <c r="K1770" s="241"/>
      <c r="L1770" s="227"/>
      <c r="M1770" s="227"/>
      <c r="N1770" s="227"/>
      <c r="O1770" s="227"/>
      <c r="P1770" s="122"/>
      <c r="Q1770" s="228"/>
      <c r="R1770" s="231" t="str">
        <f t="shared" si="1194"/>
        <v/>
      </c>
      <c r="S1770" s="230" t="str">
        <f t="shared" si="1182"/>
        <v/>
      </c>
      <c r="T1770" s="231" t="str">
        <f>IF(OR(Q1770="Y",IFERROR(R1770&gt;R1785+R1789*$AA$35,0),IFERROR(R1770&lt;R1785-R1789*$AA$35,0)),"",IFERROR(R1770*N1770,""))</f>
        <v/>
      </c>
      <c r="U1770" s="232" t="str">
        <f t="shared" si="1183"/>
        <v/>
      </c>
      <c r="V1770" s="28"/>
      <c r="W1770" s="28"/>
      <c r="Y1770" s="91"/>
      <c r="AO1770" s="91"/>
      <c r="AP1770" s="28"/>
      <c r="AQ1770" s="28"/>
      <c r="AR1770" s="237"/>
      <c r="AS1770" s="28"/>
      <c r="AT1770" s="304" t="str">
        <f t="shared" si="1184"/>
        <v/>
      </c>
      <c r="AU1770" s="304" t="str">
        <f t="shared" si="1184"/>
        <v/>
      </c>
      <c r="AV1770" s="28"/>
      <c r="AW1770" s="304" t="str">
        <f t="shared" si="1185"/>
        <v/>
      </c>
      <c r="AX1770" s="304" t="str">
        <f t="shared" si="1185"/>
        <v/>
      </c>
      <c r="AY1770" s="28"/>
      <c r="AZ1770" s="304" t="str">
        <f t="shared" si="1186"/>
        <v/>
      </c>
      <c r="BA1770" s="304" t="str">
        <f t="shared" si="1186"/>
        <v/>
      </c>
      <c r="BB1770" s="28"/>
      <c r="BC1770" s="304" t="str">
        <f t="shared" si="1187"/>
        <v/>
      </c>
      <c r="BD1770" s="304" t="str">
        <f t="shared" si="1187"/>
        <v/>
      </c>
      <c r="BE1770" s="28"/>
      <c r="BF1770" s="304" t="str">
        <f t="shared" si="1188"/>
        <v/>
      </c>
      <c r="BG1770" s="304" t="str">
        <f t="shared" si="1188"/>
        <v/>
      </c>
      <c r="BH1770" s="28"/>
      <c r="BI1770" s="304" t="str">
        <f t="shared" si="1189"/>
        <v/>
      </c>
      <c r="BJ1770" s="304" t="str">
        <f t="shared" si="1189"/>
        <v/>
      </c>
      <c r="BK1770" s="28"/>
      <c r="BL1770" s="304" t="str">
        <f t="shared" si="1190"/>
        <v/>
      </c>
      <c r="BM1770" s="304" t="str">
        <f t="shared" si="1190"/>
        <v/>
      </c>
      <c r="BN1770" s="28"/>
      <c r="BO1770" s="304" t="str">
        <f t="shared" si="1191"/>
        <v/>
      </c>
      <c r="BP1770" s="304" t="str">
        <f t="shared" si="1191"/>
        <v/>
      </c>
      <c r="BQ1770" s="28"/>
      <c r="BR1770" s="304" t="str">
        <f t="shared" si="1192"/>
        <v/>
      </c>
      <c r="BS1770" s="304" t="str">
        <f t="shared" si="1192"/>
        <v/>
      </c>
      <c r="BT1770" s="28"/>
      <c r="BU1770" s="304" t="str">
        <f t="shared" si="1193"/>
        <v/>
      </c>
      <c r="BV1770" s="304" t="str">
        <f t="shared" si="1193"/>
        <v/>
      </c>
      <c r="BW1770" s="28"/>
      <c r="BX1770" s="91"/>
    </row>
    <row r="1771" spans="1:76" s="55" customFormat="1" x14ac:dyDescent="0.25">
      <c r="A1771" s="195">
        <v>7</v>
      </c>
      <c r="B1771" s="216" t="str">
        <f t="shared" si="1181"/>
        <v xml:space="preserve">: </v>
      </c>
      <c r="C1771" s="221"/>
      <c r="D1771" s="221"/>
      <c r="E1771" s="221"/>
      <c r="F1771" s="221"/>
      <c r="G1771" s="240"/>
      <c r="H1771" s="221"/>
      <c r="I1771" s="240"/>
      <c r="J1771" s="241"/>
      <c r="K1771" s="241"/>
      <c r="L1771" s="227"/>
      <c r="M1771" s="227"/>
      <c r="N1771" s="227"/>
      <c r="O1771" s="227"/>
      <c r="P1771" s="122"/>
      <c r="Q1771" s="228"/>
      <c r="R1771" s="231" t="str">
        <f t="shared" si="1194"/>
        <v/>
      </c>
      <c r="S1771" s="230" t="str">
        <f t="shared" si="1182"/>
        <v/>
      </c>
      <c r="T1771" s="231" t="str">
        <f>IF(OR(Q1771="Y",IFERROR(R1771&gt;R1785+R1789*$AA$35,0),IFERROR(R1771&lt;R1785-R1789*$AA$35,0)),"",IFERROR(R1771*N1771,""))</f>
        <v/>
      </c>
      <c r="U1771" s="232" t="str">
        <f t="shared" si="1183"/>
        <v/>
      </c>
      <c r="V1771" s="28"/>
      <c r="W1771" s="28"/>
      <c r="Y1771" s="91"/>
      <c r="AO1771" s="91"/>
      <c r="AP1771" s="28"/>
      <c r="AQ1771" s="28"/>
      <c r="AR1771" s="237"/>
      <c r="AS1771" s="28"/>
      <c r="AT1771" s="304" t="str">
        <f t="shared" si="1184"/>
        <v/>
      </c>
      <c r="AU1771" s="304" t="str">
        <f t="shared" si="1184"/>
        <v/>
      </c>
      <c r="AV1771" s="28"/>
      <c r="AW1771" s="304" t="str">
        <f t="shared" si="1185"/>
        <v/>
      </c>
      <c r="AX1771" s="304" t="str">
        <f t="shared" si="1185"/>
        <v/>
      </c>
      <c r="AY1771" s="28"/>
      <c r="AZ1771" s="304" t="str">
        <f t="shared" si="1186"/>
        <v/>
      </c>
      <c r="BA1771" s="304" t="str">
        <f t="shared" si="1186"/>
        <v/>
      </c>
      <c r="BB1771" s="28"/>
      <c r="BC1771" s="304" t="str">
        <f t="shared" si="1187"/>
        <v/>
      </c>
      <c r="BD1771" s="304" t="str">
        <f t="shared" si="1187"/>
        <v/>
      </c>
      <c r="BE1771" s="28"/>
      <c r="BF1771" s="304" t="str">
        <f t="shared" si="1188"/>
        <v/>
      </c>
      <c r="BG1771" s="304" t="str">
        <f t="shared" si="1188"/>
        <v/>
      </c>
      <c r="BH1771" s="28"/>
      <c r="BI1771" s="304" t="str">
        <f t="shared" si="1189"/>
        <v/>
      </c>
      <c r="BJ1771" s="304" t="str">
        <f t="shared" si="1189"/>
        <v/>
      </c>
      <c r="BK1771" s="28"/>
      <c r="BL1771" s="304" t="str">
        <f t="shared" si="1190"/>
        <v/>
      </c>
      <c r="BM1771" s="304" t="str">
        <f t="shared" si="1190"/>
        <v/>
      </c>
      <c r="BN1771" s="28"/>
      <c r="BO1771" s="304" t="str">
        <f t="shared" si="1191"/>
        <v/>
      </c>
      <c r="BP1771" s="304" t="str">
        <f t="shared" si="1191"/>
        <v/>
      </c>
      <c r="BQ1771" s="28"/>
      <c r="BR1771" s="304" t="str">
        <f t="shared" si="1192"/>
        <v/>
      </c>
      <c r="BS1771" s="304" t="str">
        <f t="shared" si="1192"/>
        <v/>
      </c>
      <c r="BT1771" s="28"/>
      <c r="BU1771" s="304" t="str">
        <f t="shared" si="1193"/>
        <v/>
      </c>
      <c r="BV1771" s="304" t="str">
        <f t="shared" si="1193"/>
        <v/>
      </c>
      <c r="BW1771" s="28"/>
      <c r="BX1771" s="91"/>
    </row>
    <row r="1772" spans="1:76" s="55" customFormat="1" x14ac:dyDescent="0.25">
      <c r="A1772" s="195">
        <v>8</v>
      </c>
      <c r="B1772" s="216" t="str">
        <f t="shared" si="1181"/>
        <v xml:space="preserve">: </v>
      </c>
      <c r="C1772" s="221"/>
      <c r="D1772" s="221"/>
      <c r="E1772" s="221"/>
      <c r="F1772" s="221"/>
      <c r="G1772" s="240"/>
      <c r="H1772" s="221"/>
      <c r="I1772" s="240"/>
      <c r="J1772" s="241"/>
      <c r="K1772" s="241"/>
      <c r="L1772" s="227"/>
      <c r="M1772" s="227"/>
      <c r="N1772" s="227"/>
      <c r="O1772" s="227"/>
      <c r="P1772" s="122"/>
      <c r="Q1772" s="228"/>
      <c r="R1772" s="231" t="str">
        <f t="shared" si="1194"/>
        <v/>
      </c>
      <c r="S1772" s="230" t="str">
        <f t="shared" si="1182"/>
        <v/>
      </c>
      <c r="T1772" s="231" t="str">
        <f>IF(OR(Q1772="Y",IFERROR(R1772&gt;R1785+R1789*$AA$35,0),IFERROR(R1772&lt;R1785-R1789*$AA$35,0)),"",IFERROR(R1772*N1772,""))</f>
        <v/>
      </c>
      <c r="U1772" s="232" t="str">
        <f t="shared" si="1183"/>
        <v/>
      </c>
      <c r="V1772" s="28"/>
      <c r="W1772" s="28"/>
      <c r="Y1772" s="91"/>
      <c r="AO1772" s="91"/>
      <c r="AP1772" s="28"/>
      <c r="AQ1772" s="28"/>
      <c r="AR1772" s="237"/>
      <c r="AS1772" s="28"/>
      <c r="AT1772" s="304" t="str">
        <f t="shared" si="1184"/>
        <v/>
      </c>
      <c r="AU1772" s="304" t="str">
        <f t="shared" si="1184"/>
        <v/>
      </c>
      <c r="AV1772" s="28"/>
      <c r="AW1772" s="304" t="str">
        <f t="shared" si="1185"/>
        <v/>
      </c>
      <c r="AX1772" s="304" t="str">
        <f t="shared" si="1185"/>
        <v/>
      </c>
      <c r="AY1772" s="28"/>
      <c r="AZ1772" s="304" t="str">
        <f t="shared" si="1186"/>
        <v/>
      </c>
      <c r="BA1772" s="304" t="str">
        <f t="shared" si="1186"/>
        <v/>
      </c>
      <c r="BB1772" s="28"/>
      <c r="BC1772" s="304" t="str">
        <f t="shared" si="1187"/>
        <v/>
      </c>
      <c r="BD1772" s="304" t="str">
        <f t="shared" si="1187"/>
        <v/>
      </c>
      <c r="BE1772" s="28"/>
      <c r="BF1772" s="304" t="str">
        <f t="shared" si="1188"/>
        <v/>
      </c>
      <c r="BG1772" s="304" t="str">
        <f t="shared" si="1188"/>
        <v/>
      </c>
      <c r="BH1772" s="28"/>
      <c r="BI1772" s="304" t="str">
        <f t="shared" si="1189"/>
        <v/>
      </c>
      <c r="BJ1772" s="304" t="str">
        <f t="shared" si="1189"/>
        <v/>
      </c>
      <c r="BK1772" s="28"/>
      <c r="BL1772" s="304" t="str">
        <f t="shared" si="1190"/>
        <v/>
      </c>
      <c r="BM1772" s="304" t="str">
        <f t="shared" si="1190"/>
        <v/>
      </c>
      <c r="BN1772" s="28"/>
      <c r="BO1772" s="304" t="str">
        <f t="shared" si="1191"/>
        <v/>
      </c>
      <c r="BP1772" s="304" t="str">
        <f t="shared" si="1191"/>
        <v/>
      </c>
      <c r="BQ1772" s="28"/>
      <c r="BR1772" s="304" t="str">
        <f t="shared" si="1192"/>
        <v/>
      </c>
      <c r="BS1772" s="304" t="str">
        <f t="shared" si="1192"/>
        <v/>
      </c>
      <c r="BT1772" s="28"/>
      <c r="BU1772" s="304" t="str">
        <f t="shared" si="1193"/>
        <v/>
      </c>
      <c r="BV1772" s="304" t="str">
        <f t="shared" si="1193"/>
        <v/>
      </c>
      <c r="BW1772" s="28"/>
      <c r="BX1772" s="91"/>
    </row>
    <row r="1773" spans="1:76" s="55" customFormat="1" x14ac:dyDescent="0.25">
      <c r="A1773" s="195">
        <v>9</v>
      </c>
      <c r="B1773" s="216" t="str">
        <f t="shared" si="1181"/>
        <v xml:space="preserve">: </v>
      </c>
      <c r="C1773" s="221"/>
      <c r="D1773" s="221"/>
      <c r="E1773" s="221"/>
      <c r="F1773" s="221"/>
      <c r="G1773" s="240"/>
      <c r="H1773" s="221"/>
      <c r="I1773" s="240"/>
      <c r="J1773" s="241"/>
      <c r="K1773" s="241"/>
      <c r="L1773" s="227"/>
      <c r="M1773" s="227"/>
      <c r="N1773" s="227"/>
      <c r="O1773" s="227"/>
      <c r="P1773" s="122"/>
      <c r="Q1773" s="228"/>
      <c r="R1773" s="231" t="str">
        <f t="shared" si="1194"/>
        <v/>
      </c>
      <c r="S1773" s="230" t="str">
        <f t="shared" si="1182"/>
        <v/>
      </c>
      <c r="T1773" s="231" t="str">
        <f>IF(OR(Q1773="Y",IFERROR(R1773&gt;R1785+R1789*$AA$35,0),IFERROR(R1773&lt;R1785-R1789*$AA$35,0)),"",IFERROR(R1773*N1773,""))</f>
        <v/>
      </c>
      <c r="U1773" s="232" t="str">
        <f t="shared" si="1183"/>
        <v/>
      </c>
      <c r="V1773" s="28"/>
      <c r="W1773" s="28"/>
      <c r="Y1773" s="91"/>
      <c r="AO1773" s="91"/>
      <c r="AP1773" s="28"/>
      <c r="AQ1773" s="28"/>
      <c r="AR1773" s="237"/>
      <c r="AS1773" s="28"/>
      <c r="AT1773" s="304" t="str">
        <f t="shared" si="1184"/>
        <v/>
      </c>
      <c r="AU1773" s="304" t="str">
        <f t="shared" si="1184"/>
        <v/>
      </c>
      <c r="AV1773" s="28"/>
      <c r="AW1773" s="304" t="str">
        <f t="shared" si="1185"/>
        <v/>
      </c>
      <c r="AX1773" s="304" t="str">
        <f t="shared" si="1185"/>
        <v/>
      </c>
      <c r="AY1773" s="28"/>
      <c r="AZ1773" s="304" t="str">
        <f t="shared" si="1186"/>
        <v/>
      </c>
      <c r="BA1773" s="304" t="str">
        <f t="shared" si="1186"/>
        <v/>
      </c>
      <c r="BB1773" s="28"/>
      <c r="BC1773" s="304" t="str">
        <f t="shared" si="1187"/>
        <v/>
      </c>
      <c r="BD1773" s="304" t="str">
        <f t="shared" si="1187"/>
        <v/>
      </c>
      <c r="BE1773" s="28"/>
      <c r="BF1773" s="304" t="str">
        <f t="shared" si="1188"/>
        <v/>
      </c>
      <c r="BG1773" s="304" t="str">
        <f t="shared" si="1188"/>
        <v/>
      </c>
      <c r="BH1773" s="28"/>
      <c r="BI1773" s="304" t="str">
        <f t="shared" si="1189"/>
        <v/>
      </c>
      <c r="BJ1773" s="304" t="str">
        <f t="shared" si="1189"/>
        <v/>
      </c>
      <c r="BK1773" s="28"/>
      <c r="BL1773" s="304" t="str">
        <f t="shared" si="1190"/>
        <v/>
      </c>
      <c r="BM1773" s="304" t="str">
        <f t="shared" si="1190"/>
        <v/>
      </c>
      <c r="BN1773" s="28"/>
      <c r="BO1773" s="304" t="str">
        <f t="shared" si="1191"/>
        <v/>
      </c>
      <c r="BP1773" s="304" t="str">
        <f t="shared" si="1191"/>
        <v/>
      </c>
      <c r="BQ1773" s="28"/>
      <c r="BR1773" s="304" t="str">
        <f t="shared" si="1192"/>
        <v/>
      </c>
      <c r="BS1773" s="304" t="str">
        <f t="shared" si="1192"/>
        <v/>
      </c>
      <c r="BT1773" s="28"/>
      <c r="BU1773" s="304" t="str">
        <f t="shared" si="1193"/>
        <v/>
      </c>
      <c r="BV1773" s="304" t="str">
        <f t="shared" si="1193"/>
        <v/>
      </c>
      <c r="BW1773" s="28"/>
      <c r="BX1773" s="91"/>
    </row>
    <row r="1774" spans="1:76" s="55" customFormat="1" x14ac:dyDescent="0.25">
      <c r="A1774" s="195">
        <v>10</v>
      </c>
      <c r="B1774" s="216" t="str">
        <f t="shared" si="1181"/>
        <v xml:space="preserve">: </v>
      </c>
      <c r="C1774" s="221"/>
      <c r="D1774" s="221"/>
      <c r="E1774" s="221"/>
      <c r="F1774" s="221"/>
      <c r="G1774" s="240"/>
      <c r="H1774" s="221"/>
      <c r="I1774" s="240"/>
      <c r="J1774" s="241"/>
      <c r="K1774" s="241"/>
      <c r="L1774" s="227"/>
      <c r="M1774" s="227"/>
      <c r="N1774" s="227"/>
      <c r="O1774" s="227"/>
      <c r="P1774" s="122"/>
      <c r="Q1774" s="228"/>
      <c r="R1774" s="231" t="str">
        <f t="shared" si="1194"/>
        <v/>
      </c>
      <c r="S1774" s="230" t="str">
        <f t="shared" si="1182"/>
        <v/>
      </c>
      <c r="T1774" s="231" t="str">
        <f>IF(OR(Q1774="Y",IFERROR(R1774&gt;R1785+R1789*$AA$35,0),IFERROR(R1774&lt;R1785-R1789*$AA$35,0)),"",IFERROR(R1774*N1774,""))</f>
        <v/>
      </c>
      <c r="U1774" s="232" t="str">
        <f t="shared" si="1183"/>
        <v/>
      </c>
      <c r="V1774" s="28"/>
      <c r="W1774" s="28"/>
      <c r="Y1774" s="91"/>
      <c r="AO1774" s="91"/>
      <c r="AP1774" s="28"/>
      <c r="AQ1774" s="28"/>
      <c r="AR1774" s="237"/>
      <c r="AS1774" s="28"/>
      <c r="AT1774" s="304" t="str">
        <f t="shared" si="1184"/>
        <v/>
      </c>
      <c r="AU1774" s="304" t="str">
        <f t="shared" si="1184"/>
        <v/>
      </c>
      <c r="AV1774" s="28"/>
      <c r="AW1774" s="304" t="str">
        <f t="shared" si="1185"/>
        <v/>
      </c>
      <c r="AX1774" s="304" t="str">
        <f t="shared" si="1185"/>
        <v/>
      </c>
      <c r="AY1774" s="28"/>
      <c r="AZ1774" s="304" t="str">
        <f t="shared" si="1186"/>
        <v/>
      </c>
      <c r="BA1774" s="304" t="str">
        <f t="shared" si="1186"/>
        <v/>
      </c>
      <c r="BB1774" s="28"/>
      <c r="BC1774" s="304" t="str">
        <f t="shared" si="1187"/>
        <v/>
      </c>
      <c r="BD1774" s="304" t="str">
        <f t="shared" si="1187"/>
        <v/>
      </c>
      <c r="BE1774" s="28"/>
      <c r="BF1774" s="304" t="str">
        <f t="shared" si="1188"/>
        <v/>
      </c>
      <c r="BG1774" s="304" t="str">
        <f t="shared" si="1188"/>
        <v/>
      </c>
      <c r="BH1774" s="28"/>
      <c r="BI1774" s="304" t="str">
        <f t="shared" si="1189"/>
        <v/>
      </c>
      <c r="BJ1774" s="304" t="str">
        <f t="shared" si="1189"/>
        <v/>
      </c>
      <c r="BK1774" s="28"/>
      <c r="BL1774" s="304" t="str">
        <f t="shared" si="1190"/>
        <v/>
      </c>
      <c r="BM1774" s="304" t="str">
        <f t="shared" si="1190"/>
        <v/>
      </c>
      <c r="BN1774" s="28"/>
      <c r="BO1774" s="304" t="str">
        <f t="shared" si="1191"/>
        <v/>
      </c>
      <c r="BP1774" s="304" t="str">
        <f t="shared" si="1191"/>
        <v/>
      </c>
      <c r="BQ1774" s="28"/>
      <c r="BR1774" s="304" t="str">
        <f t="shared" si="1192"/>
        <v/>
      </c>
      <c r="BS1774" s="304" t="str">
        <f t="shared" si="1192"/>
        <v/>
      </c>
      <c r="BT1774" s="28"/>
      <c r="BU1774" s="304" t="str">
        <f t="shared" si="1193"/>
        <v/>
      </c>
      <c r="BV1774" s="304" t="str">
        <f t="shared" si="1193"/>
        <v/>
      </c>
      <c r="BW1774" s="28"/>
      <c r="BX1774" s="91"/>
    </row>
    <row r="1775" spans="1:76" s="55" customFormat="1" x14ac:dyDescent="0.25">
      <c r="A1775" s="195">
        <v>11</v>
      </c>
      <c r="B1775" s="216" t="str">
        <f t="shared" si="1181"/>
        <v xml:space="preserve">: </v>
      </c>
      <c r="C1775" s="221"/>
      <c r="D1775" s="221"/>
      <c r="E1775" s="221"/>
      <c r="F1775" s="221"/>
      <c r="G1775" s="240"/>
      <c r="H1775" s="221"/>
      <c r="I1775" s="240"/>
      <c r="J1775" s="241"/>
      <c r="K1775" s="241"/>
      <c r="L1775" s="227"/>
      <c r="M1775" s="227"/>
      <c r="N1775" s="227"/>
      <c r="O1775" s="227"/>
      <c r="P1775" s="122"/>
      <c r="Q1775" s="228"/>
      <c r="R1775" s="231" t="str">
        <f t="shared" si="1194"/>
        <v/>
      </c>
      <c r="S1775" s="230" t="str">
        <f t="shared" si="1182"/>
        <v/>
      </c>
      <c r="T1775" s="231" t="str">
        <f>IF(OR(Q1775="Y",IFERROR(R1775&gt;R1785+R1789*$AA$35,0),IFERROR(R1775&lt;R1785-R1789*$AA$35,0)),"",IFERROR(R1775*N1775,""))</f>
        <v/>
      </c>
      <c r="U1775" s="232" t="str">
        <f t="shared" si="1183"/>
        <v/>
      </c>
      <c r="V1775" s="28"/>
      <c r="W1775" s="28"/>
      <c r="Y1775" s="91"/>
      <c r="AO1775" s="91"/>
      <c r="AP1775" s="28"/>
      <c r="AQ1775" s="28"/>
      <c r="AR1775" s="237"/>
      <c r="AS1775" s="28"/>
      <c r="AT1775" s="304" t="str">
        <f t="shared" si="1184"/>
        <v/>
      </c>
      <c r="AU1775" s="304" t="str">
        <f t="shared" si="1184"/>
        <v/>
      </c>
      <c r="AV1775" s="28"/>
      <c r="AW1775" s="304" t="str">
        <f t="shared" si="1185"/>
        <v/>
      </c>
      <c r="AX1775" s="304" t="str">
        <f t="shared" si="1185"/>
        <v/>
      </c>
      <c r="AY1775" s="28"/>
      <c r="AZ1775" s="304" t="str">
        <f t="shared" si="1186"/>
        <v/>
      </c>
      <c r="BA1775" s="304" t="str">
        <f t="shared" si="1186"/>
        <v/>
      </c>
      <c r="BB1775" s="28"/>
      <c r="BC1775" s="304" t="str">
        <f t="shared" si="1187"/>
        <v/>
      </c>
      <c r="BD1775" s="304" t="str">
        <f t="shared" si="1187"/>
        <v/>
      </c>
      <c r="BE1775" s="28"/>
      <c r="BF1775" s="304" t="str">
        <f t="shared" si="1188"/>
        <v/>
      </c>
      <c r="BG1775" s="304" t="str">
        <f t="shared" si="1188"/>
        <v/>
      </c>
      <c r="BH1775" s="28"/>
      <c r="BI1775" s="304" t="str">
        <f t="shared" si="1189"/>
        <v/>
      </c>
      <c r="BJ1775" s="304" t="str">
        <f t="shared" si="1189"/>
        <v/>
      </c>
      <c r="BK1775" s="28"/>
      <c r="BL1775" s="304" t="str">
        <f t="shared" si="1190"/>
        <v/>
      </c>
      <c r="BM1775" s="304" t="str">
        <f t="shared" si="1190"/>
        <v/>
      </c>
      <c r="BN1775" s="28"/>
      <c r="BO1775" s="304" t="str">
        <f t="shared" si="1191"/>
        <v/>
      </c>
      <c r="BP1775" s="304" t="str">
        <f t="shared" si="1191"/>
        <v/>
      </c>
      <c r="BQ1775" s="28"/>
      <c r="BR1775" s="304" t="str">
        <f t="shared" si="1192"/>
        <v/>
      </c>
      <c r="BS1775" s="304" t="str">
        <f t="shared" si="1192"/>
        <v/>
      </c>
      <c r="BT1775" s="28"/>
      <c r="BU1775" s="304" t="str">
        <f t="shared" si="1193"/>
        <v/>
      </c>
      <c r="BV1775" s="304" t="str">
        <f t="shared" si="1193"/>
        <v/>
      </c>
      <c r="BW1775" s="28"/>
      <c r="BX1775" s="91"/>
    </row>
    <row r="1776" spans="1:76" s="55" customFormat="1" x14ac:dyDescent="0.25">
      <c r="A1776" s="195">
        <v>12</v>
      </c>
      <c r="B1776" s="216" t="str">
        <f t="shared" si="1181"/>
        <v xml:space="preserve">: </v>
      </c>
      <c r="C1776" s="221"/>
      <c r="D1776" s="221"/>
      <c r="E1776" s="221"/>
      <c r="F1776" s="221"/>
      <c r="G1776" s="240"/>
      <c r="H1776" s="221"/>
      <c r="I1776" s="240"/>
      <c r="J1776" s="241"/>
      <c r="K1776" s="241"/>
      <c r="L1776" s="227"/>
      <c r="M1776" s="227"/>
      <c r="N1776" s="227"/>
      <c r="O1776" s="227"/>
      <c r="P1776" s="122"/>
      <c r="Q1776" s="228"/>
      <c r="R1776" s="231" t="str">
        <f t="shared" si="1194"/>
        <v/>
      </c>
      <c r="S1776" s="230" t="str">
        <f t="shared" si="1182"/>
        <v/>
      </c>
      <c r="T1776" s="231" t="str">
        <f>IF(OR(Q1776="Y",IFERROR(R1776&gt;R1785+R1789*$AA$35,0),IFERROR(R1776&lt;R1785-R1789*$AA$35,0)),"",IFERROR(R1776*N1776,""))</f>
        <v/>
      </c>
      <c r="U1776" s="232" t="str">
        <f t="shared" si="1183"/>
        <v/>
      </c>
      <c r="V1776" s="28"/>
      <c r="W1776" s="28"/>
      <c r="Y1776" s="91"/>
      <c r="AO1776" s="91"/>
      <c r="AP1776" s="28"/>
      <c r="AQ1776" s="28"/>
      <c r="AR1776" s="237"/>
      <c r="AS1776" s="28"/>
      <c r="AT1776" s="304" t="str">
        <f t="shared" si="1184"/>
        <v/>
      </c>
      <c r="AU1776" s="304" t="str">
        <f t="shared" si="1184"/>
        <v/>
      </c>
      <c r="AV1776" s="28"/>
      <c r="AW1776" s="304" t="str">
        <f t="shared" si="1185"/>
        <v/>
      </c>
      <c r="AX1776" s="304" t="str">
        <f t="shared" si="1185"/>
        <v/>
      </c>
      <c r="AY1776" s="28"/>
      <c r="AZ1776" s="304" t="str">
        <f t="shared" si="1186"/>
        <v/>
      </c>
      <c r="BA1776" s="304" t="str">
        <f t="shared" si="1186"/>
        <v/>
      </c>
      <c r="BB1776" s="28"/>
      <c r="BC1776" s="304" t="str">
        <f t="shared" si="1187"/>
        <v/>
      </c>
      <c r="BD1776" s="304" t="str">
        <f t="shared" si="1187"/>
        <v/>
      </c>
      <c r="BE1776" s="28"/>
      <c r="BF1776" s="304" t="str">
        <f t="shared" si="1188"/>
        <v/>
      </c>
      <c r="BG1776" s="304" t="str">
        <f t="shared" si="1188"/>
        <v/>
      </c>
      <c r="BH1776" s="28"/>
      <c r="BI1776" s="304" t="str">
        <f t="shared" si="1189"/>
        <v/>
      </c>
      <c r="BJ1776" s="304" t="str">
        <f t="shared" si="1189"/>
        <v/>
      </c>
      <c r="BK1776" s="28"/>
      <c r="BL1776" s="304" t="str">
        <f t="shared" si="1190"/>
        <v/>
      </c>
      <c r="BM1776" s="304" t="str">
        <f t="shared" si="1190"/>
        <v/>
      </c>
      <c r="BN1776" s="28"/>
      <c r="BO1776" s="304" t="str">
        <f t="shared" si="1191"/>
        <v/>
      </c>
      <c r="BP1776" s="304" t="str">
        <f t="shared" si="1191"/>
        <v/>
      </c>
      <c r="BQ1776" s="28"/>
      <c r="BR1776" s="304" t="str">
        <f t="shared" si="1192"/>
        <v/>
      </c>
      <c r="BS1776" s="304" t="str">
        <f t="shared" si="1192"/>
        <v/>
      </c>
      <c r="BT1776" s="28"/>
      <c r="BU1776" s="304" t="str">
        <f t="shared" si="1193"/>
        <v/>
      </c>
      <c r="BV1776" s="304" t="str">
        <f t="shared" si="1193"/>
        <v/>
      </c>
      <c r="BW1776" s="28"/>
      <c r="BX1776" s="91"/>
    </row>
    <row r="1777" spans="1:76" s="55" customFormat="1" x14ac:dyDescent="0.25">
      <c r="A1777" s="195">
        <v>13</v>
      </c>
      <c r="B1777" s="216" t="str">
        <f t="shared" si="1181"/>
        <v xml:space="preserve">: </v>
      </c>
      <c r="C1777" s="221"/>
      <c r="D1777" s="221"/>
      <c r="E1777" s="221"/>
      <c r="F1777" s="221"/>
      <c r="G1777" s="240"/>
      <c r="H1777" s="221"/>
      <c r="I1777" s="240"/>
      <c r="J1777" s="241"/>
      <c r="K1777" s="241"/>
      <c r="L1777" s="227"/>
      <c r="M1777" s="227"/>
      <c r="N1777" s="227"/>
      <c r="O1777" s="227"/>
      <c r="P1777" s="122"/>
      <c r="Q1777" s="228"/>
      <c r="R1777" s="231" t="str">
        <f t="shared" si="1194"/>
        <v/>
      </c>
      <c r="S1777" s="230" t="str">
        <f t="shared" si="1182"/>
        <v/>
      </c>
      <c r="T1777" s="231" t="str">
        <f>IF(OR(Q1777="Y",IFERROR(R1777&gt;R1785+R1789*$AA$35,0),IFERROR(R1777&lt;R1785-R1789*$AA$35,0)),"",IFERROR(R1777*N1777,""))</f>
        <v/>
      </c>
      <c r="U1777" s="232" t="str">
        <f t="shared" si="1183"/>
        <v/>
      </c>
      <c r="V1777" s="28"/>
      <c r="W1777" s="28"/>
      <c r="Y1777" s="91"/>
      <c r="AO1777" s="91"/>
      <c r="AP1777" s="28"/>
      <c r="AQ1777" s="28"/>
      <c r="AR1777" s="237"/>
      <c r="AS1777" s="28"/>
      <c r="AT1777" s="304" t="str">
        <f t="shared" si="1184"/>
        <v/>
      </c>
      <c r="AU1777" s="304" t="str">
        <f t="shared" si="1184"/>
        <v/>
      </c>
      <c r="AV1777" s="28"/>
      <c r="AW1777" s="304" t="str">
        <f t="shared" si="1185"/>
        <v/>
      </c>
      <c r="AX1777" s="304" t="str">
        <f t="shared" si="1185"/>
        <v/>
      </c>
      <c r="AY1777" s="28"/>
      <c r="AZ1777" s="304" t="str">
        <f t="shared" si="1186"/>
        <v/>
      </c>
      <c r="BA1777" s="304" t="str">
        <f t="shared" si="1186"/>
        <v/>
      </c>
      <c r="BB1777" s="28"/>
      <c r="BC1777" s="304" t="str">
        <f t="shared" si="1187"/>
        <v/>
      </c>
      <c r="BD1777" s="304" t="str">
        <f t="shared" si="1187"/>
        <v/>
      </c>
      <c r="BE1777" s="28"/>
      <c r="BF1777" s="304" t="str">
        <f t="shared" si="1188"/>
        <v/>
      </c>
      <c r="BG1777" s="304" t="str">
        <f t="shared" si="1188"/>
        <v/>
      </c>
      <c r="BH1777" s="28"/>
      <c r="BI1777" s="304" t="str">
        <f t="shared" si="1189"/>
        <v/>
      </c>
      <c r="BJ1777" s="304" t="str">
        <f t="shared" si="1189"/>
        <v/>
      </c>
      <c r="BK1777" s="28"/>
      <c r="BL1777" s="304" t="str">
        <f t="shared" si="1190"/>
        <v/>
      </c>
      <c r="BM1777" s="304" t="str">
        <f t="shared" si="1190"/>
        <v/>
      </c>
      <c r="BN1777" s="28"/>
      <c r="BO1777" s="304" t="str">
        <f t="shared" si="1191"/>
        <v/>
      </c>
      <c r="BP1777" s="304" t="str">
        <f t="shared" si="1191"/>
        <v/>
      </c>
      <c r="BQ1777" s="28"/>
      <c r="BR1777" s="304" t="str">
        <f t="shared" si="1192"/>
        <v/>
      </c>
      <c r="BS1777" s="304" t="str">
        <f t="shared" si="1192"/>
        <v/>
      </c>
      <c r="BT1777" s="28"/>
      <c r="BU1777" s="304" t="str">
        <f t="shared" si="1193"/>
        <v/>
      </c>
      <c r="BV1777" s="304" t="str">
        <f t="shared" si="1193"/>
        <v/>
      </c>
      <c r="BW1777" s="28"/>
      <c r="BX1777" s="91"/>
    </row>
    <row r="1778" spans="1:76" s="55" customFormat="1" x14ac:dyDescent="0.25">
      <c r="A1778" s="195">
        <v>14</v>
      </c>
      <c r="B1778" s="216" t="str">
        <f t="shared" si="1181"/>
        <v xml:space="preserve">: </v>
      </c>
      <c r="C1778" s="221"/>
      <c r="D1778" s="221"/>
      <c r="E1778" s="221"/>
      <c r="F1778" s="221"/>
      <c r="G1778" s="240"/>
      <c r="H1778" s="221"/>
      <c r="I1778" s="240"/>
      <c r="J1778" s="241"/>
      <c r="K1778" s="241"/>
      <c r="L1778" s="227"/>
      <c r="M1778" s="227"/>
      <c r="N1778" s="227"/>
      <c r="O1778" s="227"/>
      <c r="P1778" s="122"/>
      <c r="Q1778" s="228"/>
      <c r="R1778" s="231" t="str">
        <f t="shared" si="1194"/>
        <v/>
      </c>
      <c r="S1778" s="230" t="str">
        <f t="shared" si="1182"/>
        <v/>
      </c>
      <c r="T1778" s="231" t="str">
        <f>IF(OR(Q1778="Y",IFERROR(R1778&gt;R1785+R1789*$AA$35,0),IFERROR(R1778&lt;R1785-R1789*$AA$35,0)),"",IFERROR(R1778*N1778,""))</f>
        <v/>
      </c>
      <c r="U1778" s="232" t="str">
        <f t="shared" si="1183"/>
        <v/>
      </c>
      <c r="V1778" s="28"/>
      <c r="W1778" s="28"/>
      <c r="Y1778" s="91"/>
      <c r="AO1778" s="91"/>
      <c r="AP1778" s="28"/>
      <c r="AQ1778" s="28"/>
      <c r="AR1778" s="237"/>
      <c r="AS1778" s="28"/>
      <c r="AT1778" s="304" t="str">
        <f t="shared" si="1184"/>
        <v/>
      </c>
      <c r="AU1778" s="304" t="str">
        <f t="shared" si="1184"/>
        <v/>
      </c>
      <c r="AV1778" s="28"/>
      <c r="AW1778" s="304" t="str">
        <f t="shared" si="1185"/>
        <v/>
      </c>
      <c r="AX1778" s="304" t="str">
        <f t="shared" si="1185"/>
        <v/>
      </c>
      <c r="AY1778" s="28"/>
      <c r="AZ1778" s="304" t="str">
        <f t="shared" si="1186"/>
        <v/>
      </c>
      <c r="BA1778" s="304" t="str">
        <f t="shared" si="1186"/>
        <v/>
      </c>
      <c r="BB1778" s="28"/>
      <c r="BC1778" s="304" t="str">
        <f t="shared" si="1187"/>
        <v/>
      </c>
      <c r="BD1778" s="304" t="str">
        <f t="shared" si="1187"/>
        <v/>
      </c>
      <c r="BE1778" s="28"/>
      <c r="BF1778" s="304" t="str">
        <f t="shared" si="1188"/>
        <v/>
      </c>
      <c r="BG1778" s="304" t="str">
        <f t="shared" si="1188"/>
        <v/>
      </c>
      <c r="BH1778" s="28"/>
      <c r="BI1778" s="304" t="str">
        <f t="shared" si="1189"/>
        <v/>
      </c>
      <c r="BJ1778" s="304" t="str">
        <f t="shared" si="1189"/>
        <v/>
      </c>
      <c r="BK1778" s="28"/>
      <c r="BL1778" s="304" t="str">
        <f t="shared" si="1190"/>
        <v/>
      </c>
      <c r="BM1778" s="304" t="str">
        <f t="shared" si="1190"/>
        <v/>
      </c>
      <c r="BN1778" s="28"/>
      <c r="BO1778" s="304" t="str">
        <f t="shared" si="1191"/>
        <v/>
      </c>
      <c r="BP1778" s="304" t="str">
        <f t="shared" si="1191"/>
        <v/>
      </c>
      <c r="BQ1778" s="28"/>
      <c r="BR1778" s="304" t="str">
        <f t="shared" si="1192"/>
        <v/>
      </c>
      <c r="BS1778" s="304" t="str">
        <f t="shared" si="1192"/>
        <v/>
      </c>
      <c r="BT1778" s="28"/>
      <c r="BU1778" s="304" t="str">
        <f t="shared" si="1193"/>
        <v/>
      </c>
      <c r="BV1778" s="304" t="str">
        <f t="shared" si="1193"/>
        <v/>
      </c>
      <c r="BW1778" s="28"/>
      <c r="BX1778" s="91"/>
    </row>
    <row r="1779" spans="1:76" s="55" customFormat="1" x14ac:dyDescent="0.25">
      <c r="A1779" s="195">
        <v>15</v>
      </c>
      <c r="B1779" s="216" t="str">
        <f t="shared" si="1181"/>
        <v xml:space="preserve">: </v>
      </c>
      <c r="C1779" s="221"/>
      <c r="D1779" s="221"/>
      <c r="E1779" s="221"/>
      <c r="F1779" s="221"/>
      <c r="G1779" s="240"/>
      <c r="H1779" s="221"/>
      <c r="I1779" s="240"/>
      <c r="J1779" s="241"/>
      <c r="K1779" s="241"/>
      <c r="L1779" s="227"/>
      <c r="M1779" s="227"/>
      <c r="N1779" s="227"/>
      <c r="O1779" s="227"/>
      <c r="P1779" s="122"/>
      <c r="Q1779" s="228"/>
      <c r="R1779" s="231" t="str">
        <f t="shared" si="1194"/>
        <v/>
      </c>
      <c r="S1779" s="230" t="str">
        <f t="shared" si="1182"/>
        <v/>
      </c>
      <c r="T1779" s="231" t="str">
        <f>IF(OR(Q1779="Y",IFERROR(R1779&gt;R1785+R1789*$AA$35,0),IFERROR(R1779&lt;R1785-R1789*$AA$35,0)),"",IFERROR(R1779*N1779,""))</f>
        <v/>
      </c>
      <c r="U1779" s="232" t="str">
        <f t="shared" si="1183"/>
        <v/>
      </c>
      <c r="V1779" s="28"/>
      <c r="W1779" s="28"/>
      <c r="Y1779" s="91"/>
      <c r="AO1779" s="91"/>
      <c r="AP1779" s="28"/>
      <c r="AQ1779" s="28"/>
      <c r="AR1779" s="237"/>
      <c r="AS1779" s="28"/>
      <c r="AT1779" s="304" t="str">
        <f t="shared" si="1184"/>
        <v/>
      </c>
      <c r="AU1779" s="304" t="str">
        <f t="shared" si="1184"/>
        <v/>
      </c>
      <c r="AV1779" s="28"/>
      <c r="AW1779" s="304" t="str">
        <f t="shared" si="1185"/>
        <v/>
      </c>
      <c r="AX1779" s="304" t="str">
        <f t="shared" si="1185"/>
        <v/>
      </c>
      <c r="AY1779" s="28"/>
      <c r="AZ1779" s="304" t="str">
        <f t="shared" si="1186"/>
        <v/>
      </c>
      <c r="BA1779" s="304" t="str">
        <f t="shared" si="1186"/>
        <v/>
      </c>
      <c r="BB1779" s="28"/>
      <c r="BC1779" s="304" t="str">
        <f t="shared" si="1187"/>
        <v/>
      </c>
      <c r="BD1779" s="304" t="str">
        <f t="shared" si="1187"/>
        <v/>
      </c>
      <c r="BE1779" s="28"/>
      <c r="BF1779" s="304" t="str">
        <f t="shared" si="1188"/>
        <v/>
      </c>
      <c r="BG1779" s="304" t="str">
        <f t="shared" si="1188"/>
        <v/>
      </c>
      <c r="BH1779" s="28"/>
      <c r="BI1779" s="304" t="str">
        <f t="shared" si="1189"/>
        <v/>
      </c>
      <c r="BJ1779" s="304" t="str">
        <f t="shared" si="1189"/>
        <v/>
      </c>
      <c r="BK1779" s="28"/>
      <c r="BL1779" s="304" t="str">
        <f t="shared" si="1190"/>
        <v/>
      </c>
      <c r="BM1779" s="304" t="str">
        <f t="shared" si="1190"/>
        <v/>
      </c>
      <c r="BN1779" s="28"/>
      <c r="BO1779" s="304" t="str">
        <f t="shared" si="1191"/>
        <v/>
      </c>
      <c r="BP1779" s="304" t="str">
        <f t="shared" si="1191"/>
        <v/>
      </c>
      <c r="BQ1779" s="28"/>
      <c r="BR1779" s="304" t="str">
        <f t="shared" si="1192"/>
        <v/>
      </c>
      <c r="BS1779" s="304" t="str">
        <f t="shared" si="1192"/>
        <v/>
      </c>
      <c r="BT1779" s="28"/>
      <c r="BU1779" s="304" t="str">
        <f t="shared" si="1193"/>
        <v/>
      </c>
      <c r="BV1779" s="304" t="str">
        <f t="shared" si="1193"/>
        <v/>
      </c>
      <c r="BW1779" s="28"/>
      <c r="BX1779" s="91"/>
    </row>
    <row r="1780" spans="1:76" s="55" customFormat="1" x14ac:dyDescent="0.25">
      <c r="A1780" s="195">
        <v>16</v>
      </c>
      <c r="B1780" s="216" t="str">
        <f t="shared" si="1181"/>
        <v xml:space="preserve">: </v>
      </c>
      <c r="C1780" s="221"/>
      <c r="D1780" s="221"/>
      <c r="E1780" s="221"/>
      <c r="F1780" s="221"/>
      <c r="G1780" s="240"/>
      <c r="H1780" s="221"/>
      <c r="I1780" s="240"/>
      <c r="J1780" s="241"/>
      <c r="K1780" s="241"/>
      <c r="L1780" s="227"/>
      <c r="M1780" s="227"/>
      <c r="N1780" s="227"/>
      <c r="O1780" s="227"/>
      <c r="P1780" s="122"/>
      <c r="Q1780" s="228"/>
      <c r="R1780" s="231" t="str">
        <f t="shared" si="1194"/>
        <v/>
      </c>
      <c r="S1780" s="230" t="str">
        <f t="shared" si="1182"/>
        <v/>
      </c>
      <c r="T1780" s="231" t="str">
        <f>IF(OR(Q1780="Y",IFERROR(R1780&gt;R1785+R1789*$AA$35,0),IFERROR(R1780&lt;R1785-R1789*$AA$35,0)),"",IFERROR(R1780*N1780,""))</f>
        <v/>
      </c>
      <c r="U1780" s="232" t="str">
        <f t="shared" si="1183"/>
        <v/>
      </c>
      <c r="V1780" s="28"/>
      <c r="W1780" s="28"/>
      <c r="Y1780" s="91"/>
      <c r="AO1780" s="91"/>
      <c r="AP1780" s="28"/>
      <c r="AQ1780" s="28"/>
      <c r="AR1780" s="237"/>
      <c r="AS1780" s="28"/>
      <c r="AT1780" s="304" t="str">
        <f t="shared" si="1184"/>
        <v/>
      </c>
      <c r="AU1780" s="304" t="str">
        <f t="shared" si="1184"/>
        <v/>
      </c>
      <c r="AV1780" s="28"/>
      <c r="AW1780" s="304" t="str">
        <f t="shared" si="1185"/>
        <v/>
      </c>
      <c r="AX1780" s="304" t="str">
        <f t="shared" si="1185"/>
        <v/>
      </c>
      <c r="AY1780" s="28"/>
      <c r="AZ1780" s="304" t="str">
        <f t="shared" si="1186"/>
        <v/>
      </c>
      <c r="BA1780" s="304" t="str">
        <f t="shared" si="1186"/>
        <v/>
      </c>
      <c r="BB1780" s="28"/>
      <c r="BC1780" s="304" t="str">
        <f t="shared" si="1187"/>
        <v/>
      </c>
      <c r="BD1780" s="304" t="str">
        <f t="shared" si="1187"/>
        <v/>
      </c>
      <c r="BE1780" s="28"/>
      <c r="BF1780" s="304" t="str">
        <f t="shared" si="1188"/>
        <v/>
      </c>
      <c r="BG1780" s="304" t="str">
        <f t="shared" si="1188"/>
        <v/>
      </c>
      <c r="BH1780" s="28"/>
      <c r="BI1780" s="304" t="str">
        <f t="shared" si="1189"/>
        <v/>
      </c>
      <c r="BJ1780" s="304" t="str">
        <f t="shared" si="1189"/>
        <v/>
      </c>
      <c r="BK1780" s="28"/>
      <c r="BL1780" s="304" t="str">
        <f t="shared" si="1190"/>
        <v/>
      </c>
      <c r="BM1780" s="304" t="str">
        <f t="shared" si="1190"/>
        <v/>
      </c>
      <c r="BN1780" s="28"/>
      <c r="BO1780" s="304" t="str">
        <f t="shared" si="1191"/>
        <v/>
      </c>
      <c r="BP1780" s="304" t="str">
        <f t="shared" si="1191"/>
        <v/>
      </c>
      <c r="BQ1780" s="28"/>
      <c r="BR1780" s="304" t="str">
        <f t="shared" si="1192"/>
        <v/>
      </c>
      <c r="BS1780" s="304" t="str">
        <f t="shared" si="1192"/>
        <v/>
      </c>
      <c r="BT1780" s="28"/>
      <c r="BU1780" s="304" t="str">
        <f t="shared" si="1193"/>
        <v/>
      </c>
      <c r="BV1780" s="304" t="str">
        <f t="shared" si="1193"/>
        <v/>
      </c>
      <c r="BW1780" s="28"/>
      <c r="BX1780" s="91"/>
    </row>
    <row r="1781" spans="1:76" s="55" customFormat="1" x14ac:dyDescent="0.25">
      <c r="A1781" s="195">
        <v>17</v>
      </c>
      <c r="B1781" s="216" t="str">
        <f t="shared" si="1181"/>
        <v xml:space="preserve">: </v>
      </c>
      <c r="C1781" s="221"/>
      <c r="D1781" s="221"/>
      <c r="E1781" s="221"/>
      <c r="F1781" s="221"/>
      <c r="G1781" s="240"/>
      <c r="H1781" s="221"/>
      <c r="I1781" s="240"/>
      <c r="J1781" s="241"/>
      <c r="K1781" s="241"/>
      <c r="L1781" s="227"/>
      <c r="M1781" s="227"/>
      <c r="N1781" s="227"/>
      <c r="O1781" s="227"/>
      <c r="P1781" s="122"/>
      <c r="Q1781" s="228"/>
      <c r="R1781" s="231" t="str">
        <f t="shared" si="1194"/>
        <v/>
      </c>
      <c r="S1781" s="230" t="str">
        <f t="shared" si="1182"/>
        <v/>
      </c>
      <c r="T1781" s="231" t="str">
        <f>IF(OR(Q1781="Y",IFERROR(R1781&gt;R1785+R1789*$AA$35,0),IFERROR(R1781&lt;R1785-R1789*$AA$35,0)),"",IFERROR(R1781*N1781,""))</f>
        <v/>
      </c>
      <c r="U1781" s="232" t="str">
        <f t="shared" si="1183"/>
        <v/>
      </c>
      <c r="V1781" s="28"/>
      <c r="W1781" s="28"/>
      <c r="Y1781" s="91"/>
      <c r="AO1781" s="91"/>
      <c r="AP1781" s="28"/>
      <c r="AQ1781" s="28"/>
      <c r="AR1781" s="237"/>
      <c r="AS1781" s="28"/>
      <c r="AT1781" s="304" t="str">
        <f t="shared" si="1184"/>
        <v/>
      </c>
      <c r="AU1781" s="304" t="str">
        <f t="shared" si="1184"/>
        <v/>
      </c>
      <c r="AV1781" s="28"/>
      <c r="AW1781" s="304" t="str">
        <f t="shared" si="1185"/>
        <v/>
      </c>
      <c r="AX1781" s="304" t="str">
        <f t="shared" si="1185"/>
        <v/>
      </c>
      <c r="AY1781" s="28"/>
      <c r="AZ1781" s="304" t="str">
        <f t="shared" si="1186"/>
        <v/>
      </c>
      <c r="BA1781" s="304" t="str">
        <f t="shared" si="1186"/>
        <v/>
      </c>
      <c r="BB1781" s="28"/>
      <c r="BC1781" s="304" t="str">
        <f t="shared" si="1187"/>
        <v/>
      </c>
      <c r="BD1781" s="304" t="str">
        <f t="shared" si="1187"/>
        <v/>
      </c>
      <c r="BE1781" s="28"/>
      <c r="BF1781" s="304" t="str">
        <f t="shared" si="1188"/>
        <v/>
      </c>
      <c r="BG1781" s="304" t="str">
        <f t="shared" si="1188"/>
        <v/>
      </c>
      <c r="BH1781" s="28"/>
      <c r="BI1781" s="304" t="str">
        <f t="shared" si="1189"/>
        <v/>
      </c>
      <c r="BJ1781" s="304" t="str">
        <f t="shared" si="1189"/>
        <v/>
      </c>
      <c r="BK1781" s="28"/>
      <c r="BL1781" s="304" t="str">
        <f t="shared" si="1190"/>
        <v/>
      </c>
      <c r="BM1781" s="304" t="str">
        <f t="shared" si="1190"/>
        <v/>
      </c>
      <c r="BN1781" s="28"/>
      <c r="BO1781" s="304" t="str">
        <f t="shared" si="1191"/>
        <v/>
      </c>
      <c r="BP1781" s="304" t="str">
        <f t="shared" si="1191"/>
        <v/>
      </c>
      <c r="BQ1781" s="28"/>
      <c r="BR1781" s="304" t="str">
        <f t="shared" si="1192"/>
        <v/>
      </c>
      <c r="BS1781" s="304" t="str">
        <f t="shared" si="1192"/>
        <v/>
      </c>
      <c r="BT1781" s="28"/>
      <c r="BU1781" s="304" t="str">
        <f t="shared" si="1193"/>
        <v/>
      </c>
      <c r="BV1781" s="304" t="str">
        <f t="shared" si="1193"/>
        <v/>
      </c>
      <c r="BW1781" s="28"/>
      <c r="BX1781" s="91"/>
    </row>
    <row r="1782" spans="1:76" s="55" customFormat="1" x14ac:dyDescent="0.25">
      <c r="A1782" s="195">
        <v>18</v>
      </c>
      <c r="B1782" s="216" t="str">
        <f t="shared" si="1181"/>
        <v xml:space="preserve">: </v>
      </c>
      <c r="C1782" s="221"/>
      <c r="D1782" s="221"/>
      <c r="E1782" s="221"/>
      <c r="F1782" s="221"/>
      <c r="G1782" s="240"/>
      <c r="H1782" s="221"/>
      <c r="I1782" s="240"/>
      <c r="J1782" s="241"/>
      <c r="K1782" s="241"/>
      <c r="L1782" s="227"/>
      <c r="M1782" s="227"/>
      <c r="N1782" s="227"/>
      <c r="O1782" s="227"/>
      <c r="P1782" s="122"/>
      <c r="Q1782" s="228"/>
      <c r="R1782" s="231" t="str">
        <f t="shared" si="1194"/>
        <v/>
      </c>
      <c r="S1782" s="230" t="str">
        <f t="shared" si="1182"/>
        <v/>
      </c>
      <c r="T1782" s="231" t="str">
        <f>IF(OR(Q1782="Y",IFERROR(R1782&gt;R1785+R1789*$AA$35,0),IFERROR(R1782&lt;R1785-R1789*$AA$35,0)),"",IFERROR(R1782*N1782,""))</f>
        <v/>
      </c>
      <c r="U1782" s="232" t="str">
        <f t="shared" si="1183"/>
        <v/>
      </c>
      <c r="V1782" s="28"/>
      <c r="W1782" s="28"/>
      <c r="Y1782" s="91"/>
      <c r="AO1782" s="91"/>
      <c r="AP1782" s="28"/>
      <c r="AQ1782" s="28"/>
      <c r="AR1782" s="237"/>
      <c r="AS1782" s="28"/>
      <c r="AT1782" s="304" t="str">
        <f t="shared" si="1184"/>
        <v/>
      </c>
      <c r="AU1782" s="304" t="str">
        <f t="shared" si="1184"/>
        <v/>
      </c>
      <c r="AV1782" s="28"/>
      <c r="AW1782" s="304" t="str">
        <f t="shared" si="1185"/>
        <v/>
      </c>
      <c r="AX1782" s="304" t="str">
        <f t="shared" si="1185"/>
        <v/>
      </c>
      <c r="AY1782" s="28"/>
      <c r="AZ1782" s="304" t="str">
        <f t="shared" si="1186"/>
        <v/>
      </c>
      <c r="BA1782" s="304" t="str">
        <f t="shared" si="1186"/>
        <v/>
      </c>
      <c r="BB1782" s="28"/>
      <c r="BC1782" s="304" t="str">
        <f t="shared" si="1187"/>
        <v/>
      </c>
      <c r="BD1782" s="304" t="str">
        <f t="shared" si="1187"/>
        <v/>
      </c>
      <c r="BE1782" s="28"/>
      <c r="BF1782" s="304" t="str">
        <f t="shared" si="1188"/>
        <v/>
      </c>
      <c r="BG1782" s="304" t="str">
        <f t="shared" si="1188"/>
        <v/>
      </c>
      <c r="BH1782" s="28"/>
      <c r="BI1782" s="304" t="str">
        <f t="shared" si="1189"/>
        <v/>
      </c>
      <c r="BJ1782" s="304" t="str">
        <f t="shared" si="1189"/>
        <v/>
      </c>
      <c r="BK1782" s="28"/>
      <c r="BL1782" s="304" t="str">
        <f t="shared" si="1190"/>
        <v/>
      </c>
      <c r="BM1782" s="304" t="str">
        <f t="shared" si="1190"/>
        <v/>
      </c>
      <c r="BN1782" s="28"/>
      <c r="BO1782" s="304" t="str">
        <f t="shared" si="1191"/>
        <v/>
      </c>
      <c r="BP1782" s="304" t="str">
        <f t="shared" si="1191"/>
        <v/>
      </c>
      <c r="BQ1782" s="28"/>
      <c r="BR1782" s="304" t="str">
        <f t="shared" si="1192"/>
        <v/>
      </c>
      <c r="BS1782" s="304" t="str">
        <f t="shared" si="1192"/>
        <v/>
      </c>
      <c r="BT1782" s="28"/>
      <c r="BU1782" s="304" t="str">
        <f t="shared" si="1193"/>
        <v/>
      </c>
      <c r="BV1782" s="304" t="str">
        <f t="shared" si="1193"/>
        <v/>
      </c>
      <c r="BW1782" s="28"/>
      <c r="BX1782" s="91"/>
    </row>
    <row r="1783" spans="1:76" s="55" customFormat="1" x14ac:dyDescent="0.25">
      <c r="A1783" s="195">
        <v>19</v>
      </c>
      <c r="B1783" s="216" t="str">
        <f t="shared" si="1181"/>
        <v xml:space="preserve">: </v>
      </c>
      <c r="C1783" s="221"/>
      <c r="D1783" s="221"/>
      <c r="E1783" s="221"/>
      <c r="F1783" s="221"/>
      <c r="G1783" s="240"/>
      <c r="H1783" s="221"/>
      <c r="I1783" s="240"/>
      <c r="J1783" s="241"/>
      <c r="K1783" s="241"/>
      <c r="L1783" s="227"/>
      <c r="M1783" s="227"/>
      <c r="N1783" s="227"/>
      <c r="O1783" s="227"/>
      <c r="P1783" s="122"/>
      <c r="Q1783" s="228"/>
      <c r="R1783" s="231" t="str">
        <f t="shared" si="1194"/>
        <v/>
      </c>
      <c r="S1783" s="230" t="str">
        <f t="shared" si="1182"/>
        <v/>
      </c>
      <c r="T1783" s="231" t="str">
        <f>IF(OR(Q1783="Y",IFERROR(R1783&gt;R1785+R1789*$AA$35,0),IFERROR(R1783&lt;R1785-R1789*$AA$35,0)),"",IFERROR(R1783*N1783,""))</f>
        <v/>
      </c>
      <c r="U1783" s="232" t="str">
        <f t="shared" si="1183"/>
        <v/>
      </c>
      <c r="V1783" s="28"/>
      <c r="W1783" s="28"/>
      <c r="Y1783" s="91"/>
      <c r="AO1783" s="91"/>
      <c r="AP1783" s="28"/>
      <c r="AQ1783" s="28"/>
      <c r="AR1783" s="237"/>
      <c r="AS1783" s="28"/>
      <c r="AT1783" s="304" t="str">
        <f t="shared" si="1184"/>
        <v/>
      </c>
      <c r="AU1783" s="304" t="str">
        <f t="shared" si="1184"/>
        <v/>
      </c>
      <c r="AV1783" s="28"/>
      <c r="AW1783" s="304" t="str">
        <f t="shared" si="1185"/>
        <v/>
      </c>
      <c r="AX1783" s="304" t="str">
        <f t="shared" si="1185"/>
        <v/>
      </c>
      <c r="AY1783" s="28"/>
      <c r="AZ1783" s="304" t="str">
        <f t="shared" si="1186"/>
        <v/>
      </c>
      <c r="BA1783" s="304" t="str">
        <f t="shared" si="1186"/>
        <v/>
      </c>
      <c r="BB1783" s="28"/>
      <c r="BC1783" s="304" t="str">
        <f t="shared" si="1187"/>
        <v/>
      </c>
      <c r="BD1783" s="304" t="str">
        <f t="shared" si="1187"/>
        <v/>
      </c>
      <c r="BE1783" s="28"/>
      <c r="BF1783" s="304" t="str">
        <f t="shared" si="1188"/>
        <v/>
      </c>
      <c r="BG1783" s="304" t="str">
        <f t="shared" si="1188"/>
        <v/>
      </c>
      <c r="BH1783" s="28"/>
      <c r="BI1783" s="304" t="str">
        <f t="shared" si="1189"/>
        <v/>
      </c>
      <c r="BJ1783" s="304" t="str">
        <f t="shared" si="1189"/>
        <v/>
      </c>
      <c r="BK1783" s="28"/>
      <c r="BL1783" s="304" t="str">
        <f t="shared" si="1190"/>
        <v/>
      </c>
      <c r="BM1783" s="304" t="str">
        <f t="shared" si="1190"/>
        <v/>
      </c>
      <c r="BN1783" s="28"/>
      <c r="BO1783" s="304" t="str">
        <f t="shared" si="1191"/>
        <v/>
      </c>
      <c r="BP1783" s="304" t="str">
        <f t="shared" si="1191"/>
        <v/>
      </c>
      <c r="BQ1783" s="28"/>
      <c r="BR1783" s="304" t="str">
        <f t="shared" si="1192"/>
        <v/>
      </c>
      <c r="BS1783" s="304" t="str">
        <f t="shared" si="1192"/>
        <v/>
      </c>
      <c r="BT1783" s="28"/>
      <c r="BU1783" s="304" t="str">
        <f t="shared" si="1193"/>
        <v/>
      </c>
      <c r="BV1783" s="304" t="str">
        <f t="shared" si="1193"/>
        <v/>
      </c>
      <c r="BW1783" s="28"/>
      <c r="BX1783" s="91"/>
    </row>
    <row r="1784" spans="1:76" s="55" customFormat="1" x14ac:dyDescent="0.25">
      <c r="A1784" s="195">
        <v>20</v>
      </c>
      <c r="B1784" s="216" t="str">
        <f t="shared" si="1181"/>
        <v xml:space="preserve">: </v>
      </c>
      <c r="C1784" s="221"/>
      <c r="D1784" s="221"/>
      <c r="E1784" s="221"/>
      <c r="F1784" s="221"/>
      <c r="G1784" s="240"/>
      <c r="H1784" s="221"/>
      <c r="I1784" s="240"/>
      <c r="J1784" s="241"/>
      <c r="K1784" s="241"/>
      <c r="L1784" s="227"/>
      <c r="M1784" s="227"/>
      <c r="N1784" s="227"/>
      <c r="O1784" s="227"/>
      <c r="P1784" s="122"/>
      <c r="Q1784" s="228"/>
      <c r="R1784" s="231" t="str">
        <f t="shared" si="1194"/>
        <v/>
      </c>
      <c r="S1784" s="230" t="str">
        <f t="shared" si="1182"/>
        <v/>
      </c>
      <c r="T1784" s="231" t="str">
        <f>IF(OR(Q1784="Y",IFERROR(R1784&gt;R1785+R1789*$AA$35,0),IFERROR(R1784&lt;R1785-R1789*$AA$35,0)),"",IFERROR(R1784*N1784,""))</f>
        <v/>
      </c>
      <c r="U1784" s="232" t="str">
        <f t="shared" si="1183"/>
        <v/>
      </c>
      <c r="V1784" s="28"/>
      <c r="W1784" s="28"/>
      <c r="Y1784" s="91"/>
      <c r="AO1784" s="91"/>
      <c r="AP1784" s="28"/>
      <c r="AQ1784" s="28"/>
      <c r="AR1784" s="237"/>
      <c r="AS1784" s="28"/>
      <c r="AT1784" s="304" t="str">
        <f t="shared" si="1184"/>
        <v/>
      </c>
      <c r="AU1784" s="304" t="str">
        <f t="shared" si="1184"/>
        <v/>
      </c>
      <c r="AV1784" s="28"/>
      <c r="AW1784" s="304" t="str">
        <f t="shared" si="1185"/>
        <v/>
      </c>
      <c r="AX1784" s="304" t="str">
        <f t="shared" si="1185"/>
        <v/>
      </c>
      <c r="AY1784" s="28"/>
      <c r="AZ1784" s="304" t="str">
        <f t="shared" si="1186"/>
        <v/>
      </c>
      <c r="BA1784" s="304" t="str">
        <f t="shared" si="1186"/>
        <v/>
      </c>
      <c r="BB1784" s="28"/>
      <c r="BC1784" s="304" t="str">
        <f t="shared" si="1187"/>
        <v/>
      </c>
      <c r="BD1784" s="304" t="str">
        <f t="shared" si="1187"/>
        <v/>
      </c>
      <c r="BE1784" s="28"/>
      <c r="BF1784" s="304" t="str">
        <f t="shared" si="1188"/>
        <v/>
      </c>
      <c r="BG1784" s="304" t="str">
        <f t="shared" si="1188"/>
        <v/>
      </c>
      <c r="BH1784" s="28"/>
      <c r="BI1784" s="304" t="str">
        <f t="shared" si="1189"/>
        <v/>
      </c>
      <c r="BJ1784" s="304" t="str">
        <f t="shared" si="1189"/>
        <v/>
      </c>
      <c r="BK1784" s="28"/>
      <c r="BL1784" s="304" t="str">
        <f t="shared" si="1190"/>
        <v/>
      </c>
      <c r="BM1784" s="304" t="str">
        <f t="shared" si="1190"/>
        <v/>
      </c>
      <c r="BN1784" s="28"/>
      <c r="BO1784" s="304" t="str">
        <f t="shared" si="1191"/>
        <v/>
      </c>
      <c r="BP1784" s="304" t="str">
        <f t="shared" si="1191"/>
        <v/>
      </c>
      <c r="BQ1784" s="28"/>
      <c r="BR1784" s="304" t="str">
        <f t="shared" si="1192"/>
        <v/>
      </c>
      <c r="BS1784" s="304" t="str">
        <f t="shared" si="1192"/>
        <v/>
      </c>
      <c r="BT1784" s="28"/>
      <c r="BU1784" s="304" t="str">
        <f t="shared" si="1193"/>
        <v/>
      </c>
      <c r="BV1784" s="304" t="str">
        <f t="shared" si="1193"/>
        <v/>
      </c>
      <c r="BW1784" s="28"/>
      <c r="BX1784" s="91"/>
    </row>
    <row r="1785" spans="1:76" s="55" customFormat="1" x14ac:dyDescent="0.25">
      <c r="A1785" s="195"/>
      <c r="B1785" s="244" t="s">
        <v>163</v>
      </c>
      <c r="C1785" s="199"/>
      <c r="D1785" s="199"/>
      <c r="E1785" s="199"/>
      <c r="F1785" s="199"/>
      <c r="H1785" s="28"/>
      <c r="I1785" s="245"/>
      <c r="J1785" s="122"/>
      <c r="K1785" s="122"/>
      <c r="L1785" s="122" t="s">
        <v>134</v>
      </c>
      <c r="M1785" s="122"/>
      <c r="N1785" s="122"/>
      <c r="O1785" s="122"/>
      <c r="P1785" s="122"/>
      <c r="Q1785" s="305" t="s">
        <v>136</v>
      </c>
      <c r="R1785" s="246" t="e">
        <f>AVERAGE(R1765:R1784)</f>
        <v>#DIV/0!</v>
      </c>
      <c r="S1785" s="247" t="e">
        <f>IF(R1793="Y",SUM(S1765:S1784)/SUMPRODUCT(N1765:N1784,--ISNUMBER(S1765:S1784)),AVERAGE(S1765:S1784))</f>
        <v>#DIV/0!</v>
      </c>
      <c r="T1785" s="248" t="e">
        <f>SUM(T1765:T1784)/SUMPRODUCT(N1765:N1784,--ISNUMBER(T1765:T1784))</f>
        <v>#DIV/0!</v>
      </c>
      <c r="U1785" s="28"/>
      <c r="V1785" s="28"/>
      <c r="W1785" s="28"/>
      <c r="Y1785" s="249"/>
      <c r="AO1785" s="91"/>
      <c r="AP1785" s="28"/>
      <c r="AQ1785" s="28"/>
      <c r="AR1785" s="28"/>
      <c r="AS1785" s="245" t="s">
        <v>136</v>
      </c>
      <c r="AT1785" s="307" t="e">
        <f>AVERAGE(AT1765:AT1784)</f>
        <v>#DIV/0!</v>
      </c>
      <c r="AU1785" s="307" t="e">
        <f>SUM(AU1765:AU1784)/COUNTIF(AU1765:AU1784,"&gt;0")</f>
        <v>#DIV/0!</v>
      </c>
      <c r="AV1785" s="245"/>
      <c r="AW1785" s="307" t="e">
        <f>AVERAGE(AW1765:AW1784)</f>
        <v>#DIV/0!</v>
      </c>
      <c r="AX1785" s="307" t="e">
        <f>SUM(AX1765:AX1784)/COUNTIF(AX1765:AX1784,"&gt;0")</f>
        <v>#DIV/0!</v>
      </c>
      <c r="AY1785" s="28"/>
      <c r="AZ1785" s="307" t="e">
        <f>AVERAGE(AZ1765:AZ1784)</f>
        <v>#DIV/0!</v>
      </c>
      <c r="BA1785" s="307" t="e">
        <f>SUM(BA1765:BA1784)/COUNTIF(BA1765:BA1784,"&gt;0")</f>
        <v>#DIV/0!</v>
      </c>
      <c r="BB1785" s="28"/>
      <c r="BC1785" s="307" t="e">
        <f>AVERAGE(BC1765:BC1784)</f>
        <v>#DIV/0!</v>
      </c>
      <c r="BD1785" s="307" t="e">
        <f>SUM(BD1765:BD1784)/COUNTIF(BD1765:BD1784,"&gt;0")</f>
        <v>#DIV/0!</v>
      </c>
      <c r="BE1785" s="28"/>
      <c r="BF1785" s="307" t="e">
        <f>AVERAGE(BF1765:BF1784)</f>
        <v>#DIV/0!</v>
      </c>
      <c r="BG1785" s="307" t="e">
        <f>SUM(BG1765:BG1784)/COUNTIF(BG1765:BG1784,"&gt;0")</f>
        <v>#DIV/0!</v>
      </c>
      <c r="BH1785" s="28"/>
      <c r="BI1785" s="307" t="e">
        <f>AVERAGE(BI1765:BI1784)</f>
        <v>#DIV/0!</v>
      </c>
      <c r="BJ1785" s="307" t="e">
        <f>SUM(BJ1765:BJ1784)/COUNTIF(BJ1765:BJ1784,"&gt;0")</f>
        <v>#DIV/0!</v>
      </c>
      <c r="BK1785" s="245"/>
      <c r="BL1785" s="307" t="e">
        <f>AVERAGE(BL1765:BL1784)</f>
        <v>#DIV/0!</v>
      </c>
      <c r="BM1785" s="307" t="e">
        <f>SUM(BM1765:BM1784)/COUNTIF(BM1765:BM1784,"&gt;0")</f>
        <v>#DIV/0!</v>
      </c>
      <c r="BN1785" s="28"/>
      <c r="BO1785" s="307" t="e">
        <f>AVERAGE(BO1765:BO1784)</f>
        <v>#DIV/0!</v>
      </c>
      <c r="BP1785" s="307" t="e">
        <f>SUM(BP1765:BP1784)/COUNTIF(BP1765:BP1784,"&gt;0")</f>
        <v>#DIV/0!</v>
      </c>
      <c r="BQ1785" s="28"/>
      <c r="BR1785" s="307" t="e">
        <f>AVERAGE(BR1765:BR1784)</f>
        <v>#DIV/0!</v>
      </c>
      <c r="BS1785" s="307" t="e">
        <f>SUM(BS1765:BS1784)/COUNTIF(BS1765:BS1784,"&gt;0")</f>
        <v>#DIV/0!</v>
      </c>
      <c r="BT1785" s="28"/>
      <c r="BU1785" s="307" t="e">
        <f>AVERAGE(BU1765:BU1784)</f>
        <v>#DIV/0!</v>
      </c>
      <c r="BV1785" s="307" t="e">
        <f>SUM(BV1765:BV1784)/COUNTIF(BV1765:BV1784,"&gt;0")</f>
        <v>#DIV/0!</v>
      </c>
      <c r="BW1785" s="28"/>
      <c r="BX1785" s="91"/>
    </row>
    <row r="1786" spans="1:76" s="55" customFormat="1" x14ac:dyDescent="0.25">
      <c r="A1786" s="195"/>
      <c r="B1786" s="244" t="s">
        <v>164</v>
      </c>
      <c r="C1786" s="199" t="s">
        <v>139</v>
      </c>
      <c r="D1786" s="252"/>
      <c r="E1786" s="253"/>
      <c r="F1786" s="253"/>
      <c r="G1786" s="253"/>
      <c r="H1786" s="253"/>
      <c r="I1786" s="253"/>
      <c r="J1786" s="254"/>
      <c r="K1786" s="122"/>
      <c r="L1786" s="122"/>
      <c r="M1786" s="122"/>
      <c r="N1786" s="122"/>
      <c r="O1786" s="122"/>
      <c r="P1786" s="122"/>
      <c r="Q1786" s="306" t="s">
        <v>144</v>
      </c>
      <c r="R1786" s="257" t="e">
        <f>R1785+U1786*R1789</f>
        <v>#DIV/0!</v>
      </c>
      <c r="S1786" s="257" t="e">
        <f>S1785+U1786*S1789</f>
        <v>#DIV/0!</v>
      </c>
      <c r="T1786" s="257" t="e">
        <f>T1785+U1786*T1789</f>
        <v>#DIV/0!</v>
      </c>
      <c r="U1786" s="258">
        <v>1</v>
      </c>
      <c r="V1786" s="122" t="s">
        <v>142</v>
      </c>
      <c r="W1786" s="28"/>
      <c r="X1786" s="259" t="s">
        <v>143</v>
      </c>
      <c r="Y1786" s="260"/>
      <c r="AO1786" s="91"/>
      <c r="AP1786" s="28"/>
      <c r="AQ1786" s="28"/>
      <c r="AR1786" s="28"/>
      <c r="AS1786" s="256" t="s">
        <v>144</v>
      </c>
      <c r="AT1786" s="261" t="e">
        <f>AT1785+(AT1791*AT1788)</f>
        <v>#DIV/0!</v>
      </c>
      <c r="AU1786" s="261" t="e">
        <f>AU1785+(AU1791*AT1788)</f>
        <v>#DIV/0!</v>
      </c>
      <c r="AV1786" s="256"/>
      <c r="AW1786" s="261" t="e">
        <f>AW1785+(AW1791*AW1788)</f>
        <v>#DIV/0!</v>
      </c>
      <c r="AX1786" s="261" t="e">
        <f>AX1785+(AX1791*AW1788)</f>
        <v>#DIV/0!</v>
      </c>
      <c r="AY1786" s="28"/>
      <c r="AZ1786" s="261" t="e">
        <f>AZ1785+(AZ1791*AZ1788)</f>
        <v>#DIV/0!</v>
      </c>
      <c r="BA1786" s="261" t="e">
        <f>BA1785+(BA1791*AZ1788)</f>
        <v>#DIV/0!</v>
      </c>
      <c r="BB1786" s="28"/>
      <c r="BC1786" s="261" t="e">
        <f>BC1785+(BC1791*BC1788)</f>
        <v>#DIV/0!</v>
      </c>
      <c r="BD1786" s="261" t="e">
        <f>BD1785+(BD1791*BC1788)</f>
        <v>#DIV/0!</v>
      </c>
      <c r="BE1786" s="28"/>
      <c r="BF1786" s="261" t="e">
        <f>BF1785+(BF1791*BF1788)</f>
        <v>#DIV/0!</v>
      </c>
      <c r="BG1786" s="261" t="e">
        <f>BG1785+(BG1791*BF1788)</f>
        <v>#DIV/0!</v>
      </c>
      <c r="BH1786" s="28"/>
      <c r="BI1786" s="261" t="e">
        <f>BI1785+(BI1791*BI1788)</f>
        <v>#DIV/0!</v>
      </c>
      <c r="BJ1786" s="261" t="e">
        <f>BJ1785+(BJ1791*BI1788)</f>
        <v>#DIV/0!</v>
      </c>
      <c r="BK1786" s="256"/>
      <c r="BL1786" s="261" t="e">
        <f>BL1785+(BL1791*BL1788)</f>
        <v>#DIV/0!</v>
      </c>
      <c r="BM1786" s="261" t="e">
        <f>BM1785+(BM1791*BL1788)</f>
        <v>#DIV/0!</v>
      </c>
      <c r="BN1786" s="28"/>
      <c r="BO1786" s="261" t="e">
        <f>BO1785+(BO1791*BO1788)</f>
        <v>#DIV/0!</v>
      </c>
      <c r="BP1786" s="261" t="e">
        <f>BP1785+(BP1791*BO1788)</f>
        <v>#DIV/0!</v>
      </c>
      <c r="BQ1786" s="28"/>
      <c r="BR1786" s="261" t="e">
        <f>BR1785+(BR1791*BR1788)</f>
        <v>#DIV/0!</v>
      </c>
      <c r="BS1786" s="261" t="e">
        <f>BS1785+(BS1791*BR1788)</f>
        <v>#DIV/0!</v>
      </c>
      <c r="BT1786" s="28"/>
      <c r="BU1786" s="261" t="e">
        <f>BU1785+(BU1791*BU1788)</f>
        <v>#DIV/0!</v>
      </c>
      <c r="BV1786" s="261" t="e">
        <f>BV1785+(BV1791*BU1788)</f>
        <v>#DIV/0!</v>
      </c>
      <c r="BW1786" s="28"/>
      <c r="BX1786" s="91"/>
    </row>
    <row r="1787" spans="1:76" s="55" customFormat="1" x14ac:dyDescent="0.25">
      <c r="A1787" s="195"/>
      <c r="B1787" s="244" t="s">
        <v>165</v>
      </c>
      <c r="C1787" s="195"/>
      <c r="D1787" s="263"/>
      <c r="E1787" s="264"/>
      <c r="F1787" s="264"/>
      <c r="G1787" s="264"/>
      <c r="H1787" s="264"/>
      <c r="I1787" s="264"/>
      <c r="J1787" s="265"/>
      <c r="K1787" s="28"/>
      <c r="L1787" s="28"/>
      <c r="M1787" s="122"/>
      <c r="N1787" s="122"/>
      <c r="O1787" s="122"/>
      <c r="P1787" s="122"/>
      <c r="Q1787" s="306" t="s">
        <v>150</v>
      </c>
      <c r="R1787" s="257" t="e">
        <f>IF($X1787="Y",MIN(R1765:R1784),R1785-$U1787*R1789)</f>
        <v>#DIV/0!</v>
      </c>
      <c r="S1787" s="257" t="e">
        <f>IF($X1787="Y",MIN(S1765:S1784),S1785-$U1787*S1789)</f>
        <v>#DIV/0!</v>
      </c>
      <c r="T1787" s="257" t="e">
        <f>IF($X1787="Y",MIN(T1765:T1784),T1785-$U1787*T1789)</f>
        <v>#DIV/0!</v>
      </c>
      <c r="U1787" s="258">
        <v>1</v>
      </c>
      <c r="V1787" s="122" t="s">
        <v>148</v>
      </c>
      <c r="W1787" s="28"/>
      <c r="X1787" s="266" t="s">
        <v>149</v>
      </c>
      <c r="Y1787" s="260"/>
      <c r="AO1787" s="91"/>
      <c r="AP1787" s="28"/>
      <c r="AQ1787" s="28"/>
      <c r="AR1787" s="28"/>
      <c r="AS1787" s="256" t="s">
        <v>150</v>
      </c>
      <c r="AT1787" s="261" t="e">
        <f>AT1785-(AT1791*AT1789)</f>
        <v>#DIV/0!</v>
      </c>
      <c r="AU1787" s="261" t="e">
        <f>AU1785-(AU1791*AT1789)</f>
        <v>#DIV/0!</v>
      </c>
      <c r="AV1787" s="256"/>
      <c r="AW1787" s="261" t="e">
        <f>AW1785-(AW1791*AW1789)</f>
        <v>#DIV/0!</v>
      </c>
      <c r="AX1787" s="261" t="e">
        <f>AX1785-(AX1791*AW1789)</f>
        <v>#DIV/0!</v>
      </c>
      <c r="AY1787" s="28"/>
      <c r="AZ1787" s="261" t="e">
        <f>AZ1785-(AZ1791*AZ1789)</f>
        <v>#DIV/0!</v>
      </c>
      <c r="BA1787" s="261" t="e">
        <f>BA1785-(BA1791*AZ1789)</f>
        <v>#DIV/0!</v>
      </c>
      <c r="BB1787" s="28"/>
      <c r="BC1787" s="261" t="e">
        <f>BC1785-(BC1791*BC1789)</f>
        <v>#DIV/0!</v>
      </c>
      <c r="BD1787" s="261" t="e">
        <f>BD1785-(BD1791*BC1789)</f>
        <v>#DIV/0!</v>
      </c>
      <c r="BE1787" s="28"/>
      <c r="BF1787" s="261" t="e">
        <f>BF1785-(BF1791*BF1789)</f>
        <v>#DIV/0!</v>
      </c>
      <c r="BG1787" s="261" t="e">
        <f>BG1785-(BG1791*BF1789)</f>
        <v>#DIV/0!</v>
      </c>
      <c r="BH1787" s="28"/>
      <c r="BI1787" s="261" t="e">
        <f>BI1785-(BI1791*BI1789)</f>
        <v>#DIV/0!</v>
      </c>
      <c r="BJ1787" s="261" t="e">
        <f>BJ1785-(BJ1791*BI1789)</f>
        <v>#DIV/0!</v>
      </c>
      <c r="BK1787" s="256"/>
      <c r="BL1787" s="261" t="e">
        <f>BL1785-(BL1791*BL1789)</f>
        <v>#DIV/0!</v>
      </c>
      <c r="BM1787" s="261" t="e">
        <f>BM1785-(BM1791*BL1789)</f>
        <v>#DIV/0!</v>
      </c>
      <c r="BN1787" s="28"/>
      <c r="BO1787" s="261" t="e">
        <f>BO1785-(BO1791*BO1789)</f>
        <v>#DIV/0!</v>
      </c>
      <c r="BP1787" s="261" t="e">
        <f>BP1785-(BP1791*BO1789)</f>
        <v>#DIV/0!</v>
      </c>
      <c r="BQ1787" s="28"/>
      <c r="BR1787" s="261" t="e">
        <f>BR1785-(BR1791*BR1789)</f>
        <v>#DIV/0!</v>
      </c>
      <c r="BS1787" s="261" t="e">
        <f>BS1785-(BS1791*BR1789)</f>
        <v>#DIV/0!</v>
      </c>
      <c r="BT1787" s="28"/>
      <c r="BU1787" s="261" t="e">
        <f>BU1785-(BU1791*BU1789)</f>
        <v>#DIV/0!</v>
      </c>
      <c r="BV1787" s="261" t="e">
        <f>BV1785-(BV1791*BU1789)</f>
        <v>#DIV/0!</v>
      </c>
      <c r="BW1787" s="28"/>
      <c r="BX1787" s="91"/>
    </row>
    <row r="1788" spans="1:76" s="55" customFormat="1" ht="14.25" x14ac:dyDescent="0.2">
      <c r="A1788" s="195"/>
      <c r="B1788" s="195"/>
      <c r="C1788" s="195"/>
      <c r="D1788" s="263"/>
      <c r="E1788" s="264"/>
      <c r="F1788" s="264"/>
      <c r="G1788" s="264"/>
      <c r="H1788" s="264"/>
      <c r="I1788" s="264"/>
      <c r="J1788" s="265"/>
      <c r="K1788" s="122"/>
      <c r="L1788" s="122"/>
      <c r="M1788" s="122"/>
      <c r="N1788" s="122"/>
      <c r="O1788" s="122"/>
      <c r="P1788" s="122"/>
      <c r="Q1788" s="306" t="s">
        <v>151</v>
      </c>
      <c r="R1788" s="257" t="e">
        <f>IF((0.67*R1789)&gt;R1785,"no","yes")</f>
        <v>#DIV/0!</v>
      </c>
      <c r="S1788" s="257" t="e">
        <f>IF((0.67*S1789)&gt;S1785,"no","yes")</f>
        <v>#DIV/0!</v>
      </c>
      <c r="T1788" s="257" t="e">
        <f>IF((0.67*T1789)&gt;T1785,"no","yes")</f>
        <v>#DIV/0!</v>
      </c>
      <c r="U1788" s="122"/>
      <c r="V1788" s="122"/>
      <c r="W1788" s="122"/>
      <c r="Y1788" s="260"/>
      <c r="AO1788" s="91"/>
      <c r="AP1788" s="122"/>
      <c r="AQ1788" s="122"/>
      <c r="AR1788" s="267" t="s">
        <v>152</v>
      </c>
      <c r="AS1788" s="268"/>
      <c r="AT1788" s="258">
        <v>1</v>
      </c>
      <c r="AU1788" s="122"/>
      <c r="AV1788" s="308"/>
      <c r="AW1788" s="258">
        <v>1</v>
      </c>
      <c r="AX1788" s="122"/>
      <c r="AY1788" s="122"/>
      <c r="AZ1788" s="258">
        <v>1</v>
      </c>
      <c r="BA1788" s="122"/>
      <c r="BB1788" s="122"/>
      <c r="BC1788" s="258">
        <v>1</v>
      </c>
      <c r="BD1788" s="122"/>
      <c r="BE1788" s="122"/>
      <c r="BF1788" s="258">
        <v>1</v>
      </c>
      <c r="BG1788" s="122"/>
      <c r="BH1788" s="122"/>
      <c r="BI1788" s="258">
        <v>1</v>
      </c>
      <c r="BJ1788" s="122"/>
      <c r="BK1788" s="256"/>
      <c r="BL1788" s="258">
        <v>1</v>
      </c>
      <c r="BM1788" s="122"/>
      <c r="BN1788" s="122"/>
      <c r="BO1788" s="258">
        <v>1</v>
      </c>
      <c r="BP1788" s="122"/>
      <c r="BQ1788" s="122"/>
      <c r="BR1788" s="258">
        <v>1</v>
      </c>
      <c r="BS1788" s="122"/>
      <c r="BT1788" s="122"/>
      <c r="BU1788" s="258">
        <v>1</v>
      </c>
      <c r="BV1788" s="122"/>
      <c r="BW1788" s="122"/>
      <c r="BX1788" s="91"/>
    </row>
    <row r="1789" spans="1:76" s="55" customFormat="1" ht="28.5" x14ac:dyDescent="0.2">
      <c r="A1789" s="195"/>
      <c r="B1789" s="195"/>
      <c r="C1789" s="195"/>
      <c r="D1789" s="263"/>
      <c r="E1789" s="264"/>
      <c r="F1789" s="264"/>
      <c r="G1789" s="264"/>
      <c r="H1789" s="264"/>
      <c r="I1789" s="264"/>
      <c r="J1789" s="265"/>
      <c r="K1789" s="122"/>
      <c r="L1789" s="122"/>
      <c r="M1789" s="122"/>
      <c r="N1789" s="122"/>
      <c r="O1789" s="122"/>
      <c r="P1789" s="122"/>
      <c r="Q1789" s="306" t="s">
        <v>157</v>
      </c>
      <c r="R1789" s="257">
        <f>IF(COUNT(R1765:R1784)&gt;1,_xlfn.STDEV.S(R1765:R1784),0)</f>
        <v>0</v>
      </c>
      <c r="S1789" s="257" t="e">
        <f t="array" ref="S1789">IF(R1793="Y",SQRT(SUM(IFERROR(N1765:N1784*(R1765:R1784-(S1785))^2,0))/((COUNT(S1765:S1784)-1)/COUNT(S1765:S1784)*SUMPRODUCT(N1765:N1784,--ISNUMBER(S1765:S1784)))),_xlfn.STDEV.S(S1765:S1784))</f>
        <v>#DIV/0!</v>
      </c>
      <c r="T1789" s="257" t="e">
        <f t="array" ref="T1789">SQRT(SUM(IFERROR(N1765:N1784*(R1765:R1784-(T1785))^2,0))/((COUNT(T1765:T1784)-1)/COUNT(T1765:T1784)*SUMPRODUCT(N1765:N1784,--ISNUMBER(T1765:T1784))))</f>
        <v>#DIV/0!</v>
      </c>
      <c r="U1789" s="122"/>
      <c r="V1789" s="122"/>
      <c r="W1789" s="122"/>
      <c r="Y1789" s="260"/>
      <c r="AO1789" s="91"/>
      <c r="AP1789" s="122"/>
      <c r="AQ1789" s="122"/>
      <c r="AR1789" s="267"/>
      <c r="AS1789" s="268"/>
      <c r="AT1789" s="258">
        <v>1</v>
      </c>
      <c r="AU1789" s="122"/>
      <c r="AV1789" s="308"/>
      <c r="AW1789" s="258">
        <v>1</v>
      </c>
      <c r="AX1789" s="122"/>
      <c r="AY1789" s="122"/>
      <c r="AZ1789" s="258">
        <v>1</v>
      </c>
      <c r="BA1789" s="122"/>
      <c r="BB1789" s="122"/>
      <c r="BC1789" s="258">
        <v>1</v>
      </c>
      <c r="BD1789" s="122"/>
      <c r="BE1789" s="122"/>
      <c r="BF1789" s="258">
        <v>1</v>
      </c>
      <c r="BG1789" s="122"/>
      <c r="BH1789" s="122"/>
      <c r="BI1789" s="258">
        <v>1</v>
      </c>
      <c r="BJ1789" s="122"/>
      <c r="BK1789" s="256"/>
      <c r="BL1789" s="258">
        <v>1</v>
      </c>
      <c r="BM1789" s="122"/>
      <c r="BN1789" s="122"/>
      <c r="BO1789" s="258">
        <v>1</v>
      </c>
      <c r="BP1789" s="122"/>
      <c r="BQ1789" s="122"/>
      <c r="BR1789" s="258">
        <v>1</v>
      </c>
      <c r="BS1789" s="122"/>
      <c r="BT1789" s="122"/>
      <c r="BU1789" s="258">
        <v>1</v>
      </c>
      <c r="BV1789" s="122"/>
      <c r="BW1789" s="122"/>
      <c r="BX1789" s="91"/>
    </row>
    <row r="1790" spans="1:76" s="55" customFormat="1" ht="15" customHeight="1" x14ac:dyDescent="0.25">
      <c r="A1790" s="122"/>
      <c r="B1790" s="122"/>
      <c r="C1790" s="195"/>
      <c r="D1790" s="263"/>
      <c r="E1790" s="264"/>
      <c r="F1790" s="264"/>
      <c r="G1790" s="264"/>
      <c r="H1790" s="264"/>
      <c r="I1790" s="264"/>
      <c r="J1790" s="265"/>
      <c r="K1790" s="122"/>
      <c r="L1790" s="122"/>
      <c r="M1790" s="122"/>
      <c r="N1790" s="122"/>
      <c r="O1790" s="122"/>
      <c r="P1790" s="122"/>
      <c r="Q1790" s="309" t="s">
        <v>159</v>
      </c>
      <c r="R1790" s="310">
        <f>COUNT(R1765:R1784)</f>
        <v>0</v>
      </c>
      <c r="S1790" s="310">
        <f>COUNT(S1765:S1784)</f>
        <v>0</v>
      </c>
      <c r="T1790" s="118"/>
      <c r="U1790" s="273" t="s">
        <v>155</v>
      </c>
      <c r="V1790" s="122"/>
      <c r="W1790" s="122"/>
      <c r="Y1790" s="91"/>
      <c r="AO1790" s="91"/>
      <c r="AP1790" s="122"/>
      <c r="AQ1790" s="122"/>
      <c r="AR1790" s="122"/>
      <c r="AS1790" s="256" t="s">
        <v>151</v>
      </c>
      <c r="AT1790" s="261" t="e">
        <f>IF((0.67*AT1791)&gt;AT1785,"no","yes")</f>
        <v>#DIV/0!</v>
      </c>
      <c r="AU1790" s="261" t="e">
        <f>IF((0.67*AU1791)&gt;AU1785,"no","yes")</f>
        <v>#DIV/0!</v>
      </c>
      <c r="AV1790" s="256"/>
      <c r="AW1790" s="261" t="e">
        <f>IF((0.67*AW1791)&gt;AW1785,"no","yes")</f>
        <v>#DIV/0!</v>
      </c>
      <c r="AX1790" s="261" t="e">
        <f>IF((0.67*AX1791)&gt;AX1785,"no","yes")</f>
        <v>#DIV/0!</v>
      </c>
      <c r="AY1790" s="122"/>
      <c r="AZ1790" s="261" t="e">
        <f>IF((0.67*AZ1791)&gt;AZ1785,"no","yes")</f>
        <v>#DIV/0!</v>
      </c>
      <c r="BA1790" s="261" t="e">
        <f>IF((0.67*BA1791)&gt;BA1785,"no","yes")</f>
        <v>#DIV/0!</v>
      </c>
      <c r="BB1790" s="122"/>
      <c r="BC1790" s="261" t="e">
        <f>IF((0.67*BC1791)&gt;BC1785,"no","yes")</f>
        <v>#DIV/0!</v>
      </c>
      <c r="BD1790" s="261" t="e">
        <f>IF((0.67*BD1791)&gt;BD1785,"no","yes")</f>
        <v>#DIV/0!</v>
      </c>
      <c r="BE1790" s="122"/>
      <c r="BF1790" s="261" t="e">
        <f>IF((0.67*BF1791)&gt;BF1785,"no","yes")</f>
        <v>#DIV/0!</v>
      </c>
      <c r="BG1790" s="261" t="e">
        <f>IF((0.67*BG1791)&gt;BG1785,"no","yes")</f>
        <v>#DIV/0!</v>
      </c>
      <c r="BH1790" s="122"/>
      <c r="BI1790" s="261" t="e">
        <f>IF((0.67*BI1791)&gt;BI1785,"no","yes")</f>
        <v>#DIV/0!</v>
      </c>
      <c r="BJ1790" s="261" t="e">
        <f>IF((0.67*BJ1791)&gt;BJ1785,"no","yes")</f>
        <v>#DIV/0!</v>
      </c>
      <c r="BK1790" s="133"/>
      <c r="BL1790" s="261" t="e">
        <f>IF((0.67*BL1791)&gt;BL1785,"no","yes")</f>
        <v>#DIV/0!</v>
      </c>
      <c r="BM1790" s="261" t="e">
        <f>IF((0.67*BM1791)&gt;BM1785,"no","yes")</f>
        <v>#DIV/0!</v>
      </c>
      <c r="BN1790" s="122"/>
      <c r="BO1790" s="261" t="e">
        <f>IF((0.67*BO1791)&gt;BO1785,"no","yes")</f>
        <v>#DIV/0!</v>
      </c>
      <c r="BP1790" s="261" t="e">
        <f>IF((0.67*BP1791)&gt;BP1785,"no","yes")</f>
        <v>#DIV/0!</v>
      </c>
      <c r="BQ1790" s="122"/>
      <c r="BR1790" s="261" t="e">
        <f>IF((0.67*BR1791)&gt;BR1785,"no","yes")</f>
        <v>#DIV/0!</v>
      </c>
      <c r="BS1790" s="261" t="e">
        <f>IF((0.67*BS1791)&gt;BS1785,"no","yes")</f>
        <v>#DIV/0!</v>
      </c>
      <c r="BT1790" s="122"/>
      <c r="BU1790" s="261" t="e">
        <f>IF((0.67*BU1791)&gt;BU1785,"no","yes")</f>
        <v>#DIV/0!</v>
      </c>
      <c r="BV1790" s="261" t="e">
        <f>IF((0.67*BV1791)&gt;BV1785,"no","yes")</f>
        <v>#DIV/0!</v>
      </c>
      <c r="BW1790" s="122"/>
      <c r="BX1790" s="91"/>
    </row>
    <row r="1791" spans="1:76" s="55" customFormat="1" ht="14.25" x14ac:dyDescent="0.2">
      <c r="C1791" s="195"/>
      <c r="D1791" s="263"/>
      <c r="E1791" s="264"/>
      <c r="F1791" s="264"/>
      <c r="G1791" s="264"/>
      <c r="H1791" s="264"/>
      <c r="I1791" s="264"/>
      <c r="J1791" s="265"/>
      <c r="K1791" s="122"/>
      <c r="L1791" s="122"/>
      <c r="M1791" s="122"/>
      <c r="N1791" s="122"/>
      <c r="O1791" s="122"/>
      <c r="P1791" s="122"/>
      <c r="Q1791" s="311"/>
      <c r="R1791" s="389"/>
      <c r="S1791" s="118"/>
      <c r="T1791" s="118"/>
      <c r="U1791" s="274"/>
      <c r="V1791" s="275"/>
      <c r="W1791" s="276"/>
      <c r="Y1791" s="91"/>
      <c r="AO1791" s="91"/>
      <c r="AP1791" s="122"/>
      <c r="AQ1791" s="122"/>
      <c r="AR1791" s="122"/>
      <c r="AS1791" s="256" t="s">
        <v>157</v>
      </c>
      <c r="AT1791" s="261">
        <f>IF(AT1792&gt;1,_xlfn.STDEV.S(AT1765:AT1784),0)</f>
        <v>0</v>
      </c>
      <c r="AU1791" s="261">
        <f>IF(AU1792&gt;1,_xlfn.STDEV.S(AU1765:AU1784),0)</f>
        <v>0</v>
      </c>
      <c r="AV1791" s="122"/>
      <c r="AW1791" s="261">
        <f t="shared" ref="AW1791:AX1791" si="1195">IF(AW1792&gt;1,_xlfn.STDEV.S(AW1765:AW1784),0)</f>
        <v>0</v>
      </c>
      <c r="AX1791" s="261">
        <f t="shared" si="1195"/>
        <v>0</v>
      </c>
      <c r="AY1791" s="122"/>
      <c r="AZ1791" s="261">
        <f t="shared" ref="AZ1791:BA1791" si="1196">IF(AZ1792&gt;1,_xlfn.STDEV.S(AZ1765:AZ1784),0)</f>
        <v>0</v>
      </c>
      <c r="BA1791" s="261">
        <f t="shared" si="1196"/>
        <v>0</v>
      </c>
      <c r="BB1791" s="122"/>
      <c r="BC1791" s="261">
        <f t="shared" ref="BC1791:BD1791" si="1197">IF(BC1792&gt;1,_xlfn.STDEV.S(BC1765:BC1784),0)</f>
        <v>0</v>
      </c>
      <c r="BD1791" s="261">
        <f t="shared" si="1197"/>
        <v>0</v>
      </c>
      <c r="BE1791" s="122"/>
      <c r="BF1791" s="261">
        <f t="shared" ref="BF1791:BG1791" si="1198">IF(BF1792&gt;1,_xlfn.STDEV.S(BF1765:BF1784),0)</f>
        <v>0</v>
      </c>
      <c r="BG1791" s="261">
        <f t="shared" si="1198"/>
        <v>0</v>
      </c>
      <c r="BH1791" s="122"/>
      <c r="BI1791" s="261">
        <f t="shared" ref="BI1791:BJ1791" si="1199">IF(BI1792&gt;1,_xlfn.STDEV.S(BI1765:BI1784),0)</f>
        <v>0</v>
      </c>
      <c r="BJ1791" s="261">
        <f t="shared" si="1199"/>
        <v>0</v>
      </c>
      <c r="BK1791" s="122"/>
      <c r="BL1791" s="261">
        <f t="shared" ref="BL1791:BM1791" si="1200">IF(BL1792&gt;1,_xlfn.STDEV.S(BL1765:BL1784),0)</f>
        <v>0</v>
      </c>
      <c r="BM1791" s="261">
        <f t="shared" si="1200"/>
        <v>0</v>
      </c>
      <c r="BN1791" s="122"/>
      <c r="BO1791" s="261">
        <f t="shared" ref="BO1791:BP1791" si="1201">IF(BO1792&gt;1,_xlfn.STDEV.S(BO1765:BO1784),0)</f>
        <v>0</v>
      </c>
      <c r="BP1791" s="261">
        <f t="shared" si="1201"/>
        <v>0</v>
      </c>
      <c r="BQ1791" s="122"/>
      <c r="BR1791" s="261">
        <f t="shared" ref="BR1791:BS1791" si="1202">IF(BR1792&gt;1,_xlfn.STDEV.S(BR1765:BR1784),0)</f>
        <v>0</v>
      </c>
      <c r="BS1791" s="261">
        <f t="shared" si="1202"/>
        <v>0</v>
      </c>
      <c r="BT1791" s="122"/>
      <c r="BU1791" s="261">
        <f t="shared" ref="BU1791:BV1791" si="1203">IF(BU1792&gt;1,_xlfn.STDEV.S(BU1765:BU1784),0)</f>
        <v>0</v>
      </c>
      <c r="BV1791" s="261">
        <f t="shared" si="1203"/>
        <v>0</v>
      </c>
      <c r="BW1791" s="122"/>
      <c r="BX1791" s="91"/>
    </row>
    <row r="1792" spans="1:76" s="55" customFormat="1" x14ac:dyDescent="0.2">
      <c r="A1792" s="270" t="e">
        <f ca="1">HYPERLINK("#"&amp;"'"&amp;A$1&amp;"'!a1","Back to top")</f>
        <v>#VALUE!</v>
      </c>
      <c r="B1792" s="270"/>
      <c r="C1792" s="122"/>
      <c r="D1792" s="277"/>
      <c r="E1792" s="278"/>
      <c r="F1792" s="278"/>
      <c r="G1792" s="278"/>
      <c r="H1792" s="278"/>
      <c r="I1792" s="278"/>
      <c r="J1792" s="279"/>
      <c r="Q1792" s="81"/>
      <c r="R1792" s="362" t="s">
        <v>158</v>
      </c>
      <c r="T1792" s="122"/>
      <c r="U1792" s="281"/>
      <c r="V1792" s="282"/>
      <c r="W1792" s="283"/>
      <c r="Y1792" s="91"/>
      <c r="AO1792" s="91"/>
      <c r="AP1792" s="122"/>
      <c r="AQ1792" s="122"/>
      <c r="AR1792" s="122"/>
      <c r="AS1792" s="133" t="s">
        <v>159</v>
      </c>
      <c r="AT1792" s="284">
        <f>COUNT(AT1765:AT1784)</f>
        <v>0</v>
      </c>
      <c r="AU1792" s="284">
        <f>COUNT(AU1765:AU1784)</f>
        <v>0</v>
      </c>
      <c r="AV1792" s="122"/>
      <c r="AW1792" s="284">
        <f t="shared" ref="AW1792:AX1792" si="1204">COUNT(AW1765:AW1784)</f>
        <v>0</v>
      </c>
      <c r="AX1792" s="284">
        <f t="shared" si="1204"/>
        <v>0</v>
      </c>
      <c r="AY1792" s="122"/>
      <c r="AZ1792" s="284">
        <f t="shared" ref="AZ1792:BA1792" si="1205">COUNT(AZ1765:AZ1784)</f>
        <v>0</v>
      </c>
      <c r="BA1792" s="284">
        <f t="shared" si="1205"/>
        <v>0</v>
      </c>
      <c r="BB1792" s="122"/>
      <c r="BC1792" s="284">
        <f t="shared" ref="BC1792:BD1792" si="1206">COUNT(BC1765:BC1784)</f>
        <v>0</v>
      </c>
      <c r="BD1792" s="284">
        <f t="shared" si="1206"/>
        <v>0</v>
      </c>
      <c r="BE1792" s="122"/>
      <c r="BF1792" s="284">
        <f t="shared" ref="BF1792:BG1792" si="1207">COUNT(BF1765:BF1784)</f>
        <v>0</v>
      </c>
      <c r="BG1792" s="284">
        <f t="shared" si="1207"/>
        <v>0</v>
      </c>
      <c r="BH1792" s="122"/>
      <c r="BI1792" s="284">
        <f t="shared" ref="BI1792:BJ1792" si="1208">COUNT(BI1765:BI1784)</f>
        <v>0</v>
      </c>
      <c r="BJ1792" s="284">
        <f t="shared" si="1208"/>
        <v>0</v>
      </c>
      <c r="BK1792" s="122"/>
      <c r="BL1792" s="284">
        <f t="shared" ref="BL1792:BM1792" si="1209">COUNT(BL1765:BL1784)</f>
        <v>0</v>
      </c>
      <c r="BM1792" s="284">
        <f t="shared" si="1209"/>
        <v>0</v>
      </c>
      <c r="BN1792" s="122"/>
      <c r="BO1792" s="284">
        <f t="shared" ref="BO1792:BP1792" si="1210">COUNT(BO1765:BO1784)</f>
        <v>0</v>
      </c>
      <c r="BP1792" s="284">
        <f t="shared" si="1210"/>
        <v>0</v>
      </c>
      <c r="BQ1792" s="122"/>
      <c r="BR1792" s="284">
        <f t="shared" ref="BR1792:BS1792" si="1211">COUNT(BR1765:BR1784)</f>
        <v>0</v>
      </c>
      <c r="BS1792" s="284">
        <f t="shared" si="1211"/>
        <v>0</v>
      </c>
      <c r="BT1792" s="122"/>
      <c r="BU1792" s="284">
        <f t="shared" ref="BU1792:BV1792" si="1212">COUNT(BU1765:BU1784)</f>
        <v>0</v>
      </c>
      <c r="BV1792" s="284">
        <f t="shared" si="1212"/>
        <v>0</v>
      </c>
      <c r="BW1792" s="122"/>
      <c r="BX1792" s="91"/>
    </row>
    <row r="1793" spans="1:76" s="55" customFormat="1" ht="14.25" x14ac:dyDescent="0.2">
      <c r="Q1793" s="81"/>
      <c r="R1793" s="287" t="s">
        <v>149</v>
      </c>
      <c r="T1793" s="122"/>
      <c r="U1793" s="281"/>
      <c r="V1793" s="282"/>
      <c r="W1793" s="283"/>
      <c r="Y1793" s="91"/>
      <c r="AO1793" s="91"/>
      <c r="BX1793" s="91"/>
    </row>
    <row r="1794" spans="1:76" s="55" customFormat="1" ht="14.25" x14ac:dyDescent="0.2">
      <c r="Q1794" s="81"/>
      <c r="T1794" s="122"/>
      <c r="U1794" s="288"/>
      <c r="V1794" s="289"/>
      <c r="W1794" s="290"/>
      <c r="Y1794" s="91"/>
      <c r="AO1794" s="91"/>
      <c r="BX1794" s="91"/>
    </row>
    <row r="1796" spans="1:76" s="55" customFormat="1" ht="18" x14ac:dyDescent="0.25">
      <c r="Q1796" s="81"/>
      <c r="T1796" s="122"/>
      <c r="U1796" s="122"/>
      <c r="V1796" s="122"/>
      <c r="W1796" s="122"/>
      <c r="Y1796" s="91"/>
      <c r="AO1796" s="296"/>
      <c r="AP1796" s="345"/>
      <c r="AQ1796" s="345"/>
      <c r="AR1796" s="346"/>
      <c r="AS1796" s="346"/>
      <c r="AT1796" s="346"/>
      <c r="AU1796" s="346"/>
      <c r="AV1796" s="346"/>
      <c r="AW1796" s="346"/>
      <c r="AX1796" s="346"/>
      <c r="AY1796" s="346"/>
      <c r="AZ1796" s="346"/>
      <c r="BA1796" s="346"/>
      <c r="BB1796" s="346"/>
      <c r="BC1796" s="346"/>
      <c r="BD1796" s="346"/>
      <c r="BE1796" s="346"/>
      <c r="BF1796" s="346"/>
      <c r="BG1796" s="346"/>
      <c r="BH1796" s="346"/>
      <c r="BI1796" s="346"/>
      <c r="BJ1796" s="346"/>
      <c r="BK1796" s="346"/>
      <c r="BL1796" s="346"/>
      <c r="BM1796" s="346"/>
      <c r="BN1796" s="346"/>
      <c r="BO1796" s="346"/>
      <c r="BP1796" s="346"/>
      <c r="BQ1796" s="346"/>
      <c r="BR1796" s="346"/>
      <c r="BS1796" s="346"/>
      <c r="BT1796" s="346"/>
      <c r="BU1796" s="346"/>
      <c r="BV1796" s="346"/>
      <c r="BW1796" s="346"/>
      <c r="BX1796" s="296"/>
    </row>
    <row r="1797" spans="1:76" s="9" customFormat="1" ht="18" x14ac:dyDescent="0.25">
      <c r="A1797" s="188">
        <f>1+A1762</f>
        <v>32</v>
      </c>
      <c r="B1797" s="189"/>
      <c r="C1797" s="293" t="s">
        <v>775</v>
      </c>
      <c r="D1797" s="191"/>
      <c r="E1797" s="191"/>
      <c r="F1797" s="191"/>
      <c r="G1797" s="191"/>
      <c r="J1797" s="191"/>
      <c r="K1797" s="191"/>
      <c r="L1797" s="192"/>
      <c r="M1797" s="192"/>
      <c r="N1797" s="192"/>
      <c r="Q1797" s="193"/>
      <c r="R1797" s="194" t="s">
        <v>93</v>
      </c>
      <c r="S1797" s="194"/>
      <c r="T1797" s="194"/>
      <c r="U1797" s="194"/>
      <c r="AP1797" s="175">
        <f>A1797</f>
        <v>32</v>
      </c>
      <c r="AQ1797" s="175" t="str">
        <f>C1797</f>
        <v>VARIABLE32</v>
      </c>
    </row>
    <row r="1798" spans="1:76" s="55" customFormat="1" x14ac:dyDescent="0.25">
      <c r="A1798" s="195"/>
      <c r="B1798" s="196"/>
      <c r="C1798" s="195"/>
      <c r="D1798" s="120"/>
      <c r="E1798" s="120"/>
      <c r="F1798" s="120"/>
      <c r="G1798" s="120"/>
      <c r="J1798" s="120"/>
      <c r="K1798" s="120"/>
      <c r="L1798" s="122"/>
      <c r="M1798" s="122"/>
      <c r="N1798" s="122"/>
      <c r="Q1798" s="81"/>
      <c r="Y1798" s="91"/>
      <c r="AO1798" s="91"/>
      <c r="AP1798" s="28"/>
      <c r="AQ1798" s="28"/>
      <c r="AR1798" s="28"/>
      <c r="AS1798" s="28"/>
      <c r="AT1798" s="198" t="s">
        <v>171</v>
      </c>
      <c r="AU1798" s="198"/>
      <c r="AV1798" s="28"/>
      <c r="AW1798" s="198" t="s">
        <v>96</v>
      </c>
      <c r="AX1798" s="198"/>
      <c r="AY1798" s="28"/>
      <c r="AZ1798" s="198" t="s">
        <v>97</v>
      </c>
      <c r="BA1798" s="198"/>
      <c r="BB1798" s="28"/>
      <c r="BC1798" s="198" t="s">
        <v>98</v>
      </c>
      <c r="BD1798" s="198"/>
      <c r="BE1798" s="28"/>
      <c r="BF1798" s="198" t="s">
        <v>99</v>
      </c>
      <c r="BG1798" s="198"/>
      <c r="BH1798" s="28"/>
      <c r="BI1798" s="198" t="s">
        <v>100</v>
      </c>
      <c r="BJ1798" s="198"/>
      <c r="BK1798" s="28"/>
      <c r="BL1798" s="198" t="s">
        <v>101</v>
      </c>
      <c r="BM1798" s="198"/>
      <c r="BN1798" s="28"/>
      <c r="BO1798" s="198" t="s">
        <v>102</v>
      </c>
      <c r="BP1798" s="198"/>
      <c r="BQ1798" s="28"/>
      <c r="BR1798" s="198" t="s">
        <v>103</v>
      </c>
      <c r="BS1798" s="198"/>
      <c r="BT1798" s="28"/>
      <c r="BU1798" s="198" t="s">
        <v>104</v>
      </c>
      <c r="BV1798" s="198"/>
      <c r="BW1798" s="28"/>
      <c r="BX1798" s="91"/>
    </row>
    <row r="1799" spans="1:76" s="55" customFormat="1" ht="30.75" thickBot="1" x14ac:dyDescent="0.3">
      <c r="A1799" s="199" t="s">
        <v>105</v>
      </c>
      <c r="B1799" s="200" t="s">
        <v>106</v>
      </c>
      <c r="C1799" s="201" t="s">
        <v>107</v>
      </c>
      <c r="D1799" s="202" t="s">
        <v>108</v>
      </c>
      <c r="E1799" s="202" t="s">
        <v>109</v>
      </c>
      <c r="F1799" s="201" t="s">
        <v>110</v>
      </c>
      <c r="G1799" s="201" t="s">
        <v>111</v>
      </c>
      <c r="H1799" s="202" t="s">
        <v>112</v>
      </c>
      <c r="I1799" s="203" t="s">
        <v>113</v>
      </c>
      <c r="J1799" s="204" t="s">
        <v>114</v>
      </c>
      <c r="K1799" s="205" t="s">
        <v>115</v>
      </c>
      <c r="L1799" s="206" t="s">
        <v>116</v>
      </c>
      <c r="M1799" s="207" t="s">
        <v>117</v>
      </c>
      <c r="N1799" s="208" t="s">
        <v>118</v>
      </c>
      <c r="O1799" s="207" t="s">
        <v>119</v>
      </c>
      <c r="P1799" s="210"/>
      <c r="Q1799" s="211" t="s">
        <v>120</v>
      </c>
      <c r="R1799" s="212" t="s">
        <v>121</v>
      </c>
      <c r="S1799" s="212" t="s">
        <v>122</v>
      </c>
      <c r="T1799" s="212" t="s">
        <v>123</v>
      </c>
      <c r="U1799" s="213" t="s">
        <v>124</v>
      </c>
      <c r="V1799" s="210"/>
      <c r="W1799" s="210"/>
      <c r="Y1799" s="91"/>
      <c r="AO1799" s="91"/>
      <c r="AP1799" s="210"/>
      <c r="AQ1799" s="210"/>
      <c r="AR1799" s="213" t="s">
        <v>125</v>
      </c>
      <c r="AS1799" s="210"/>
      <c r="AT1799" s="215" t="s">
        <v>121</v>
      </c>
      <c r="AU1799" s="215" t="s">
        <v>122</v>
      </c>
      <c r="AV1799" s="210"/>
      <c r="AW1799" s="215" t="s">
        <v>121</v>
      </c>
      <c r="AX1799" s="215" t="s">
        <v>122</v>
      </c>
      <c r="AY1799" s="210"/>
      <c r="AZ1799" s="215" t="s">
        <v>121</v>
      </c>
      <c r="BA1799" s="215" t="s">
        <v>122</v>
      </c>
      <c r="BB1799" s="210"/>
      <c r="BC1799" s="215" t="s">
        <v>121</v>
      </c>
      <c r="BD1799" s="215" t="s">
        <v>122</v>
      </c>
      <c r="BE1799" s="210"/>
      <c r="BF1799" s="215" t="s">
        <v>121</v>
      </c>
      <c r="BG1799" s="215" t="s">
        <v>122</v>
      </c>
      <c r="BH1799" s="210"/>
      <c r="BI1799" s="215" t="s">
        <v>121</v>
      </c>
      <c r="BJ1799" s="215" t="s">
        <v>122</v>
      </c>
      <c r="BK1799" s="210"/>
      <c r="BL1799" s="215" t="s">
        <v>121</v>
      </c>
      <c r="BM1799" s="215" t="s">
        <v>122</v>
      </c>
      <c r="BN1799" s="210"/>
      <c r="BO1799" s="215" t="s">
        <v>121</v>
      </c>
      <c r="BP1799" s="215" t="s">
        <v>122</v>
      </c>
      <c r="BQ1799" s="210"/>
      <c r="BR1799" s="215" t="s">
        <v>121</v>
      </c>
      <c r="BS1799" s="215" t="s">
        <v>122</v>
      </c>
      <c r="BT1799" s="210"/>
      <c r="BU1799" s="215" t="s">
        <v>121</v>
      </c>
      <c r="BV1799" s="215" t="s">
        <v>122</v>
      </c>
      <c r="BW1799" s="210"/>
      <c r="BX1799" s="91"/>
    </row>
    <row r="1800" spans="1:76" s="55" customFormat="1" x14ac:dyDescent="0.25">
      <c r="A1800" s="195">
        <v>1</v>
      </c>
      <c r="B1800" s="216" t="str">
        <f t="shared" ref="B1800:B1801" si="1213">CONCATENATE(E1800,": ",C1800)</f>
        <v xml:space="preserve">: </v>
      </c>
      <c r="C1800" s="219"/>
      <c r="D1800" s="219"/>
      <c r="E1800" s="219"/>
      <c r="F1800" s="219"/>
      <c r="G1800" s="220"/>
      <c r="H1800" s="221"/>
      <c r="I1800" s="220"/>
      <c r="J1800" s="227"/>
      <c r="K1800" s="226"/>
      <c r="L1800" s="227"/>
      <c r="M1800" s="227"/>
      <c r="N1800" s="227"/>
      <c r="O1800" s="227"/>
      <c r="P1800" s="122"/>
      <c r="Q1800" s="228"/>
      <c r="R1800" s="231" t="str">
        <f>IF(Q1800="Y","",IF(AND(L1800="",J1800=""),"",IF(L1800="",J1800,L1800)))</f>
        <v/>
      </c>
      <c r="S1800" s="230" t="str">
        <f t="shared" ref="S1800:S1819" si="1214">IF(R1800="","",IF($R$1828="Y",T1800,IF(R1800&gt;=$R$1820-$AA$35*$R$1824,IF(R1800&lt;=$R$1820+$AA$35*$R$1824,R1800,""),"")))</f>
        <v/>
      </c>
      <c r="T1800" s="231" t="str">
        <f>IF(OR(Q1800="Y",IFERROR(R1800&gt;R1820+R1824*$AA$35,0),IFERROR(R1800&lt;R1820-R1824*$AA$35,0)),"",IFERROR(R1800*N1800,""))</f>
        <v/>
      </c>
      <c r="U1800" s="232" t="str">
        <f t="shared" ref="U1800:U1819" si="1215">IF(AND(M1800="",K1800=""),"",IF(M1800="",K1800,M1800))</f>
        <v/>
      </c>
      <c r="V1800" s="28"/>
      <c r="W1800" s="28"/>
      <c r="Y1800" s="91"/>
      <c r="AO1800" s="91"/>
      <c r="AP1800" s="28"/>
      <c r="AQ1800" s="28"/>
      <c r="AR1800" s="233" t="str">
        <f>$U1800</f>
        <v/>
      </c>
      <c r="AS1800" s="28"/>
      <c r="AT1800" s="304" t="str">
        <f>IF($E1800=$AT$47,R1800,"")</f>
        <v/>
      </c>
      <c r="AU1800" s="304" t="str">
        <f>IF($E1800=$AT$47,S1800,"")</f>
        <v/>
      </c>
      <c r="AV1800" s="28"/>
      <c r="AW1800" s="304" t="str">
        <f t="shared" ref="AW1800:AX1819" si="1216">IF($E1800=$AW$83,R1800,"")</f>
        <v/>
      </c>
      <c r="AX1800" s="304" t="str">
        <f t="shared" si="1216"/>
        <v/>
      </c>
      <c r="AY1800" s="28"/>
      <c r="AZ1800" s="304" t="str">
        <f t="shared" ref="AZ1800:BA1819" si="1217">IF($E1800=$AZ$83,R1800,"")</f>
        <v/>
      </c>
      <c r="BA1800" s="304" t="str">
        <f t="shared" si="1217"/>
        <v/>
      </c>
      <c r="BB1800" s="28"/>
      <c r="BC1800" s="304" t="str">
        <f t="shared" ref="BC1800:BD1819" si="1218">IF($E1800=$BC$83,R1800,"")</f>
        <v/>
      </c>
      <c r="BD1800" s="304" t="str">
        <f t="shared" si="1218"/>
        <v/>
      </c>
      <c r="BE1800" s="28"/>
      <c r="BF1800" s="304" t="str">
        <f t="shared" ref="BF1800:BG1819" si="1219">IF($E1800=$BF$83,R1800,"")</f>
        <v/>
      </c>
      <c r="BG1800" s="304" t="str">
        <f t="shared" si="1219"/>
        <v/>
      </c>
      <c r="BH1800" s="28"/>
      <c r="BI1800" s="304" t="str">
        <f t="shared" ref="BI1800:BJ1819" si="1220">IF($E1800=$BI$83,R1800,"")</f>
        <v/>
      </c>
      <c r="BJ1800" s="304" t="str">
        <f t="shared" si="1220"/>
        <v/>
      </c>
      <c r="BK1800" s="28"/>
      <c r="BL1800" s="304" t="str">
        <f t="shared" ref="BL1800:BM1819" si="1221">IF($E1800=$BL$83,R1800,"")</f>
        <v/>
      </c>
      <c r="BM1800" s="304" t="str">
        <f t="shared" si="1221"/>
        <v/>
      </c>
      <c r="BN1800" s="28"/>
      <c r="BO1800" s="304" t="str">
        <f t="shared" ref="BO1800:BP1819" si="1222">IF($E1800=$BO$83,R1800,"")</f>
        <v/>
      </c>
      <c r="BP1800" s="304" t="str">
        <f t="shared" si="1222"/>
        <v/>
      </c>
      <c r="BQ1800" s="28"/>
      <c r="BR1800" s="304" t="str">
        <f t="shared" ref="BR1800:BS1819" si="1223">IF($E1800=$BR$83,R1800,"")</f>
        <v/>
      </c>
      <c r="BS1800" s="304" t="str">
        <f t="shared" si="1223"/>
        <v/>
      </c>
      <c r="BT1800" s="28"/>
      <c r="BU1800" s="304" t="str">
        <f t="shared" ref="BU1800:BV1819" si="1224">IF($E1800=$BU$83,R1800,"")</f>
        <v/>
      </c>
      <c r="BV1800" s="304" t="str">
        <f t="shared" si="1224"/>
        <v/>
      </c>
      <c r="BW1800" s="28"/>
      <c r="BX1800" s="91"/>
    </row>
    <row r="1801" spans="1:76" s="55" customFormat="1" x14ac:dyDescent="0.25">
      <c r="A1801" s="195">
        <v>2</v>
      </c>
      <c r="B1801" s="216" t="str">
        <f t="shared" si="1213"/>
        <v xml:space="preserve">: </v>
      </c>
      <c r="C1801" s="219"/>
      <c r="D1801" s="219"/>
      <c r="E1801" s="219"/>
      <c r="F1801" s="219"/>
      <c r="G1801" s="220"/>
      <c r="H1801" s="221"/>
      <c r="I1801" s="220"/>
      <c r="J1801" s="227"/>
      <c r="K1801" s="227"/>
      <c r="L1801" s="227"/>
      <c r="M1801" s="227"/>
      <c r="N1801" s="227"/>
      <c r="O1801" s="227"/>
      <c r="P1801" s="122"/>
      <c r="Q1801" s="228"/>
      <c r="R1801" s="231" t="str">
        <f t="shared" ref="R1801:R1819" si="1225">IF(Q1801="Y","",IF(AND(L1801="",J1801=""),"",IF(L1801="",J1801,L1801)))</f>
        <v/>
      </c>
      <c r="S1801" s="230" t="str">
        <f t="shared" si="1214"/>
        <v/>
      </c>
      <c r="T1801" s="231" t="str">
        <f>IF(OR(Q1801="Y",IFERROR(R1801&gt;R1820+R1824*$AA$35,0),IFERROR(R1801&lt;R1820-R1824*$AA$35,0)),"",IFERROR(R1801*N1801,""))</f>
        <v/>
      </c>
      <c r="U1801" s="232" t="str">
        <f t="shared" si="1215"/>
        <v/>
      </c>
      <c r="V1801" s="28"/>
      <c r="W1801" s="28"/>
      <c r="Y1801" s="91"/>
      <c r="AO1801" s="91"/>
      <c r="AP1801" s="28"/>
      <c r="AQ1801" s="28"/>
      <c r="AR1801" s="237"/>
      <c r="AS1801" s="28"/>
      <c r="AT1801" s="304" t="str">
        <f t="shared" ref="AT1801:AU1819" si="1226">IF($E1801=$AT$47,R1801,"")</f>
        <v/>
      </c>
      <c r="AU1801" s="304" t="str">
        <f t="shared" si="1226"/>
        <v/>
      </c>
      <c r="AV1801" s="28"/>
      <c r="AW1801" s="304" t="str">
        <f t="shared" si="1216"/>
        <v/>
      </c>
      <c r="AX1801" s="304" t="str">
        <f t="shared" si="1216"/>
        <v/>
      </c>
      <c r="AY1801" s="28"/>
      <c r="AZ1801" s="304" t="str">
        <f t="shared" si="1217"/>
        <v/>
      </c>
      <c r="BA1801" s="304" t="str">
        <f t="shared" si="1217"/>
        <v/>
      </c>
      <c r="BB1801" s="28"/>
      <c r="BC1801" s="304" t="str">
        <f t="shared" si="1218"/>
        <v/>
      </c>
      <c r="BD1801" s="304" t="str">
        <f t="shared" si="1218"/>
        <v/>
      </c>
      <c r="BE1801" s="28"/>
      <c r="BF1801" s="304" t="str">
        <f t="shared" si="1219"/>
        <v/>
      </c>
      <c r="BG1801" s="304" t="str">
        <f t="shared" si="1219"/>
        <v/>
      </c>
      <c r="BH1801" s="28"/>
      <c r="BI1801" s="304" t="str">
        <f t="shared" si="1220"/>
        <v/>
      </c>
      <c r="BJ1801" s="304" t="str">
        <f t="shared" si="1220"/>
        <v/>
      </c>
      <c r="BK1801" s="28"/>
      <c r="BL1801" s="304" t="str">
        <f t="shared" si="1221"/>
        <v/>
      </c>
      <c r="BM1801" s="304" t="str">
        <f t="shared" si="1221"/>
        <v/>
      </c>
      <c r="BN1801" s="28"/>
      <c r="BO1801" s="304" t="str">
        <f t="shared" si="1222"/>
        <v/>
      </c>
      <c r="BP1801" s="304" t="str">
        <f t="shared" si="1222"/>
        <v/>
      </c>
      <c r="BQ1801" s="28"/>
      <c r="BR1801" s="304" t="str">
        <f t="shared" si="1223"/>
        <v/>
      </c>
      <c r="BS1801" s="304" t="str">
        <f t="shared" si="1223"/>
        <v/>
      </c>
      <c r="BT1801" s="28"/>
      <c r="BU1801" s="304" t="str">
        <f t="shared" si="1224"/>
        <v/>
      </c>
      <c r="BV1801" s="304" t="str">
        <f t="shared" si="1224"/>
        <v/>
      </c>
      <c r="BW1801" s="28"/>
      <c r="BX1801" s="91"/>
    </row>
    <row r="1802" spans="1:76" s="55" customFormat="1" x14ac:dyDescent="0.25">
      <c r="A1802" s="195">
        <v>3</v>
      </c>
      <c r="B1802" s="216" t="str">
        <f>CONCATENATE(E1802,": ",C1802)</f>
        <v xml:space="preserve">: </v>
      </c>
      <c r="C1802" s="221"/>
      <c r="D1802" s="221"/>
      <c r="E1802" s="221"/>
      <c r="F1802" s="221"/>
      <c r="G1802" s="240"/>
      <c r="H1802" s="221"/>
      <c r="I1802" s="240"/>
      <c r="J1802" s="241"/>
      <c r="K1802" s="241"/>
      <c r="L1802" s="227"/>
      <c r="M1802" s="227"/>
      <c r="N1802" s="227"/>
      <c r="O1802" s="227"/>
      <c r="P1802" s="122"/>
      <c r="Q1802" s="228"/>
      <c r="R1802" s="231" t="str">
        <f t="shared" si="1225"/>
        <v/>
      </c>
      <c r="S1802" s="230" t="str">
        <f t="shared" si="1214"/>
        <v/>
      </c>
      <c r="T1802" s="231" t="str">
        <f>IF(OR(Q1802="Y",IFERROR(R1802&gt;R1820+R1824*$AA$35,0),IFERROR(R1802&lt;R1820-R1824*$AA$35,0)),"",IFERROR(R1802*N1802,""))</f>
        <v/>
      </c>
      <c r="U1802" s="232" t="str">
        <f t="shared" si="1215"/>
        <v/>
      </c>
      <c r="V1802" s="28"/>
      <c r="W1802" s="28"/>
      <c r="Y1802" s="91"/>
      <c r="AO1802" s="91"/>
      <c r="AP1802" s="28"/>
      <c r="AQ1802" s="28"/>
      <c r="AR1802" s="237"/>
      <c r="AS1802" s="28"/>
      <c r="AT1802" s="304" t="str">
        <f t="shared" si="1226"/>
        <v/>
      </c>
      <c r="AU1802" s="304" t="str">
        <f t="shared" si="1226"/>
        <v/>
      </c>
      <c r="AV1802" s="28"/>
      <c r="AW1802" s="304" t="str">
        <f t="shared" si="1216"/>
        <v/>
      </c>
      <c r="AX1802" s="304" t="str">
        <f t="shared" si="1216"/>
        <v/>
      </c>
      <c r="AY1802" s="28"/>
      <c r="AZ1802" s="304" t="str">
        <f t="shared" si="1217"/>
        <v/>
      </c>
      <c r="BA1802" s="304" t="str">
        <f t="shared" si="1217"/>
        <v/>
      </c>
      <c r="BB1802" s="28"/>
      <c r="BC1802" s="304" t="str">
        <f t="shared" si="1218"/>
        <v/>
      </c>
      <c r="BD1802" s="304" t="str">
        <f t="shared" si="1218"/>
        <v/>
      </c>
      <c r="BE1802" s="28"/>
      <c r="BF1802" s="304" t="str">
        <f t="shared" si="1219"/>
        <v/>
      </c>
      <c r="BG1802" s="304" t="str">
        <f t="shared" si="1219"/>
        <v/>
      </c>
      <c r="BH1802" s="28"/>
      <c r="BI1802" s="304" t="str">
        <f t="shared" si="1220"/>
        <v/>
      </c>
      <c r="BJ1802" s="304" t="str">
        <f t="shared" si="1220"/>
        <v/>
      </c>
      <c r="BK1802" s="28"/>
      <c r="BL1802" s="304" t="str">
        <f t="shared" si="1221"/>
        <v/>
      </c>
      <c r="BM1802" s="304" t="str">
        <f t="shared" si="1221"/>
        <v/>
      </c>
      <c r="BN1802" s="28"/>
      <c r="BO1802" s="304" t="str">
        <f t="shared" si="1222"/>
        <v/>
      </c>
      <c r="BP1802" s="304" t="str">
        <f t="shared" si="1222"/>
        <v/>
      </c>
      <c r="BQ1802" s="28"/>
      <c r="BR1802" s="304" t="str">
        <f t="shared" si="1223"/>
        <v/>
      </c>
      <c r="BS1802" s="304" t="str">
        <f t="shared" si="1223"/>
        <v/>
      </c>
      <c r="BT1802" s="28"/>
      <c r="BU1802" s="304" t="str">
        <f t="shared" si="1224"/>
        <v/>
      </c>
      <c r="BV1802" s="304" t="str">
        <f t="shared" si="1224"/>
        <v/>
      </c>
      <c r="BW1802" s="28"/>
      <c r="BX1802" s="91"/>
    </row>
    <row r="1803" spans="1:76" s="55" customFormat="1" x14ac:dyDescent="0.25">
      <c r="A1803" s="195">
        <v>4</v>
      </c>
      <c r="B1803" s="216" t="str">
        <f t="shared" ref="B1803:B1819" si="1227">CONCATENATE(E1803,": ",C1803)</f>
        <v xml:space="preserve">: </v>
      </c>
      <c r="C1803" s="221"/>
      <c r="D1803" s="221"/>
      <c r="E1803" s="221"/>
      <c r="F1803" s="221"/>
      <c r="G1803" s="240"/>
      <c r="H1803" s="221"/>
      <c r="I1803" s="240"/>
      <c r="J1803" s="241"/>
      <c r="K1803" s="241"/>
      <c r="L1803" s="227"/>
      <c r="M1803" s="227"/>
      <c r="N1803" s="227"/>
      <c r="O1803" s="227"/>
      <c r="P1803" s="122"/>
      <c r="Q1803" s="228"/>
      <c r="R1803" s="231" t="str">
        <f t="shared" si="1225"/>
        <v/>
      </c>
      <c r="S1803" s="230" t="str">
        <f t="shared" si="1214"/>
        <v/>
      </c>
      <c r="T1803" s="231" t="str">
        <f>IF(OR(Q1803="Y",IFERROR(R1803&gt;R1820+R1824*$AA$35,0),IFERROR(R1803&lt;R1820-R1824*$AA$35,0)),"",IFERROR(R1803*N1803,""))</f>
        <v/>
      </c>
      <c r="U1803" s="232" t="str">
        <f t="shared" si="1215"/>
        <v/>
      </c>
      <c r="V1803" s="28"/>
      <c r="W1803" s="28"/>
      <c r="Y1803" s="91"/>
      <c r="AO1803" s="91"/>
      <c r="AP1803" s="28"/>
      <c r="AQ1803" s="28"/>
      <c r="AR1803" s="237"/>
      <c r="AS1803" s="28"/>
      <c r="AT1803" s="304" t="str">
        <f t="shared" si="1226"/>
        <v/>
      </c>
      <c r="AU1803" s="304" t="str">
        <f t="shared" si="1226"/>
        <v/>
      </c>
      <c r="AV1803" s="28"/>
      <c r="AW1803" s="304" t="str">
        <f t="shared" si="1216"/>
        <v/>
      </c>
      <c r="AX1803" s="304" t="str">
        <f t="shared" si="1216"/>
        <v/>
      </c>
      <c r="AY1803" s="28"/>
      <c r="AZ1803" s="304" t="str">
        <f t="shared" si="1217"/>
        <v/>
      </c>
      <c r="BA1803" s="304" t="str">
        <f t="shared" si="1217"/>
        <v/>
      </c>
      <c r="BB1803" s="28"/>
      <c r="BC1803" s="304" t="str">
        <f t="shared" si="1218"/>
        <v/>
      </c>
      <c r="BD1803" s="304" t="str">
        <f t="shared" si="1218"/>
        <v/>
      </c>
      <c r="BE1803" s="28"/>
      <c r="BF1803" s="304" t="str">
        <f t="shared" si="1219"/>
        <v/>
      </c>
      <c r="BG1803" s="304" t="str">
        <f t="shared" si="1219"/>
        <v/>
      </c>
      <c r="BH1803" s="28"/>
      <c r="BI1803" s="304" t="str">
        <f t="shared" si="1220"/>
        <v/>
      </c>
      <c r="BJ1803" s="304" t="str">
        <f t="shared" si="1220"/>
        <v/>
      </c>
      <c r="BK1803" s="28"/>
      <c r="BL1803" s="304" t="str">
        <f t="shared" si="1221"/>
        <v/>
      </c>
      <c r="BM1803" s="304" t="str">
        <f t="shared" si="1221"/>
        <v/>
      </c>
      <c r="BN1803" s="28"/>
      <c r="BO1803" s="304" t="str">
        <f t="shared" si="1222"/>
        <v/>
      </c>
      <c r="BP1803" s="304" t="str">
        <f t="shared" si="1222"/>
        <v/>
      </c>
      <c r="BQ1803" s="28"/>
      <c r="BR1803" s="304" t="str">
        <f t="shared" si="1223"/>
        <v/>
      </c>
      <c r="BS1803" s="304" t="str">
        <f t="shared" si="1223"/>
        <v/>
      </c>
      <c r="BT1803" s="28"/>
      <c r="BU1803" s="304" t="str">
        <f t="shared" si="1224"/>
        <v/>
      </c>
      <c r="BV1803" s="304" t="str">
        <f t="shared" si="1224"/>
        <v/>
      </c>
      <c r="BW1803" s="28"/>
      <c r="BX1803" s="91"/>
    </row>
    <row r="1804" spans="1:76" s="55" customFormat="1" x14ac:dyDescent="0.25">
      <c r="A1804" s="195">
        <v>5</v>
      </c>
      <c r="B1804" s="216" t="str">
        <f t="shared" si="1227"/>
        <v xml:space="preserve">: </v>
      </c>
      <c r="C1804" s="221"/>
      <c r="D1804" s="221"/>
      <c r="E1804" s="221"/>
      <c r="F1804" s="221"/>
      <c r="G1804" s="240"/>
      <c r="H1804" s="221"/>
      <c r="I1804" s="240"/>
      <c r="J1804" s="241"/>
      <c r="K1804" s="241"/>
      <c r="L1804" s="227"/>
      <c r="M1804" s="227"/>
      <c r="N1804" s="227"/>
      <c r="O1804" s="227"/>
      <c r="P1804" s="122"/>
      <c r="Q1804" s="228"/>
      <c r="R1804" s="231" t="str">
        <f t="shared" si="1225"/>
        <v/>
      </c>
      <c r="S1804" s="230" t="str">
        <f t="shared" si="1214"/>
        <v/>
      </c>
      <c r="T1804" s="231" t="str">
        <f>IF(OR(Q1804="Y",IFERROR(R1804&gt;R1820+R1824*$AA$35,0),IFERROR(R1804&lt;R1820-R1824*$AA$35,0)),"",IFERROR(R1804*N1804,""))</f>
        <v/>
      </c>
      <c r="U1804" s="232" t="str">
        <f t="shared" si="1215"/>
        <v/>
      </c>
      <c r="V1804" s="28"/>
      <c r="W1804" s="28"/>
      <c r="Y1804" s="91"/>
      <c r="AO1804" s="91"/>
      <c r="AP1804" s="28"/>
      <c r="AQ1804" s="28"/>
      <c r="AR1804" s="237"/>
      <c r="AS1804" s="28"/>
      <c r="AT1804" s="304" t="str">
        <f t="shared" si="1226"/>
        <v/>
      </c>
      <c r="AU1804" s="304" t="str">
        <f t="shared" si="1226"/>
        <v/>
      </c>
      <c r="AV1804" s="28"/>
      <c r="AW1804" s="304" t="str">
        <f t="shared" si="1216"/>
        <v/>
      </c>
      <c r="AX1804" s="304" t="str">
        <f t="shared" si="1216"/>
        <v/>
      </c>
      <c r="AY1804" s="28"/>
      <c r="AZ1804" s="304" t="str">
        <f t="shared" si="1217"/>
        <v/>
      </c>
      <c r="BA1804" s="304" t="str">
        <f t="shared" si="1217"/>
        <v/>
      </c>
      <c r="BB1804" s="28"/>
      <c r="BC1804" s="304" t="str">
        <f t="shared" si="1218"/>
        <v/>
      </c>
      <c r="BD1804" s="304" t="str">
        <f t="shared" si="1218"/>
        <v/>
      </c>
      <c r="BE1804" s="28"/>
      <c r="BF1804" s="304" t="str">
        <f t="shared" si="1219"/>
        <v/>
      </c>
      <c r="BG1804" s="304" t="str">
        <f t="shared" si="1219"/>
        <v/>
      </c>
      <c r="BH1804" s="28"/>
      <c r="BI1804" s="304" t="str">
        <f t="shared" si="1220"/>
        <v/>
      </c>
      <c r="BJ1804" s="304" t="str">
        <f t="shared" si="1220"/>
        <v/>
      </c>
      <c r="BK1804" s="28"/>
      <c r="BL1804" s="304" t="str">
        <f t="shared" si="1221"/>
        <v/>
      </c>
      <c r="BM1804" s="304" t="str">
        <f t="shared" si="1221"/>
        <v/>
      </c>
      <c r="BN1804" s="28"/>
      <c r="BO1804" s="304" t="str">
        <f t="shared" si="1222"/>
        <v/>
      </c>
      <c r="BP1804" s="304" t="str">
        <f t="shared" si="1222"/>
        <v/>
      </c>
      <c r="BQ1804" s="28"/>
      <c r="BR1804" s="304" t="str">
        <f t="shared" si="1223"/>
        <v/>
      </c>
      <c r="BS1804" s="304" t="str">
        <f t="shared" si="1223"/>
        <v/>
      </c>
      <c r="BT1804" s="28"/>
      <c r="BU1804" s="304" t="str">
        <f t="shared" si="1224"/>
        <v/>
      </c>
      <c r="BV1804" s="304" t="str">
        <f t="shared" si="1224"/>
        <v/>
      </c>
      <c r="BW1804" s="28"/>
      <c r="BX1804" s="91"/>
    </row>
    <row r="1805" spans="1:76" s="55" customFormat="1" x14ac:dyDescent="0.25">
      <c r="A1805" s="195">
        <v>6</v>
      </c>
      <c r="B1805" s="216" t="str">
        <f t="shared" si="1227"/>
        <v xml:space="preserve">: </v>
      </c>
      <c r="C1805" s="221"/>
      <c r="D1805" s="221"/>
      <c r="E1805" s="221"/>
      <c r="F1805" s="221"/>
      <c r="G1805" s="240"/>
      <c r="H1805" s="221"/>
      <c r="I1805" s="240"/>
      <c r="J1805" s="241"/>
      <c r="K1805" s="241"/>
      <c r="L1805" s="227"/>
      <c r="M1805" s="227"/>
      <c r="N1805" s="227"/>
      <c r="O1805" s="227"/>
      <c r="P1805" s="122"/>
      <c r="Q1805" s="228"/>
      <c r="R1805" s="231" t="str">
        <f t="shared" si="1225"/>
        <v/>
      </c>
      <c r="S1805" s="230" t="str">
        <f t="shared" si="1214"/>
        <v/>
      </c>
      <c r="T1805" s="231" t="str">
        <f>IF(OR(Q1805="Y",IFERROR(R1805&gt;R1820+R1824*$AA$35,0),IFERROR(R1805&lt;R1820-R1824*$AA$35,0)),"",IFERROR(R1805*N1805,""))</f>
        <v/>
      </c>
      <c r="U1805" s="232" t="str">
        <f t="shared" si="1215"/>
        <v/>
      </c>
      <c r="V1805" s="28"/>
      <c r="W1805" s="28"/>
      <c r="Y1805" s="91"/>
      <c r="AO1805" s="91"/>
      <c r="AP1805" s="28"/>
      <c r="AQ1805" s="28"/>
      <c r="AR1805" s="237"/>
      <c r="AS1805" s="28"/>
      <c r="AT1805" s="304" t="str">
        <f t="shared" si="1226"/>
        <v/>
      </c>
      <c r="AU1805" s="304" t="str">
        <f t="shared" si="1226"/>
        <v/>
      </c>
      <c r="AV1805" s="28"/>
      <c r="AW1805" s="304" t="str">
        <f t="shared" si="1216"/>
        <v/>
      </c>
      <c r="AX1805" s="304" t="str">
        <f t="shared" si="1216"/>
        <v/>
      </c>
      <c r="AY1805" s="28"/>
      <c r="AZ1805" s="304" t="str">
        <f t="shared" si="1217"/>
        <v/>
      </c>
      <c r="BA1805" s="304" t="str">
        <f t="shared" si="1217"/>
        <v/>
      </c>
      <c r="BB1805" s="28"/>
      <c r="BC1805" s="304" t="str">
        <f t="shared" si="1218"/>
        <v/>
      </c>
      <c r="BD1805" s="304" t="str">
        <f t="shared" si="1218"/>
        <v/>
      </c>
      <c r="BE1805" s="28"/>
      <c r="BF1805" s="304" t="str">
        <f t="shared" si="1219"/>
        <v/>
      </c>
      <c r="BG1805" s="304" t="str">
        <f t="shared" si="1219"/>
        <v/>
      </c>
      <c r="BH1805" s="28"/>
      <c r="BI1805" s="304" t="str">
        <f t="shared" si="1220"/>
        <v/>
      </c>
      <c r="BJ1805" s="304" t="str">
        <f t="shared" si="1220"/>
        <v/>
      </c>
      <c r="BK1805" s="28"/>
      <c r="BL1805" s="304" t="str">
        <f t="shared" si="1221"/>
        <v/>
      </c>
      <c r="BM1805" s="304" t="str">
        <f t="shared" si="1221"/>
        <v/>
      </c>
      <c r="BN1805" s="28"/>
      <c r="BO1805" s="304" t="str">
        <f t="shared" si="1222"/>
        <v/>
      </c>
      <c r="BP1805" s="304" t="str">
        <f t="shared" si="1222"/>
        <v/>
      </c>
      <c r="BQ1805" s="28"/>
      <c r="BR1805" s="304" t="str">
        <f t="shared" si="1223"/>
        <v/>
      </c>
      <c r="BS1805" s="304" t="str">
        <f t="shared" si="1223"/>
        <v/>
      </c>
      <c r="BT1805" s="28"/>
      <c r="BU1805" s="304" t="str">
        <f t="shared" si="1224"/>
        <v/>
      </c>
      <c r="BV1805" s="304" t="str">
        <f t="shared" si="1224"/>
        <v/>
      </c>
      <c r="BW1805" s="28"/>
      <c r="BX1805" s="91"/>
    </row>
    <row r="1806" spans="1:76" s="55" customFormat="1" x14ac:dyDescent="0.25">
      <c r="A1806" s="195">
        <v>7</v>
      </c>
      <c r="B1806" s="216" t="str">
        <f t="shared" si="1227"/>
        <v xml:space="preserve">: </v>
      </c>
      <c r="C1806" s="221"/>
      <c r="D1806" s="221"/>
      <c r="E1806" s="221"/>
      <c r="F1806" s="221"/>
      <c r="G1806" s="240"/>
      <c r="H1806" s="221"/>
      <c r="I1806" s="240"/>
      <c r="J1806" s="241"/>
      <c r="K1806" s="241"/>
      <c r="L1806" s="227"/>
      <c r="M1806" s="227"/>
      <c r="N1806" s="227"/>
      <c r="O1806" s="227"/>
      <c r="P1806" s="122"/>
      <c r="Q1806" s="228"/>
      <c r="R1806" s="231" t="str">
        <f t="shared" si="1225"/>
        <v/>
      </c>
      <c r="S1806" s="230" t="str">
        <f t="shared" si="1214"/>
        <v/>
      </c>
      <c r="T1806" s="231" t="str">
        <f>IF(OR(Q1806="Y",IFERROR(R1806&gt;R1820+R1824*$AA$35,0),IFERROR(R1806&lt;R1820-R1824*$AA$35,0)),"",IFERROR(R1806*N1806,""))</f>
        <v/>
      </c>
      <c r="U1806" s="232" t="str">
        <f t="shared" si="1215"/>
        <v/>
      </c>
      <c r="V1806" s="28"/>
      <c r="W1806" s="28"/>
      <c r="Y1806" s="91"/>
      <c r="AO1806" s="91"/>
      <c r="AP1806" s="28"/>
      <c r="AQ1806" s="28"/>
      <c r="AR1806" s="237"/>
      <c r="AS1806" s="28"/>
      <c r="AT1806" s="304" t="str">
        <f t="shared" si="1226"/>
        <v/>
      </c>
      <c r="AU1806" s="304" t="str">
        <f t="shared" si="1226"/>
        <v/>
      </c>
      <c r="AV1806" s="28"/>
      <c r="AW1806" s="304" t="str">
        <f t="shared" si="1216"/>
        <v/>
      </c>
      <c r="AX1806" s="304" t="str">
        <f t="shared" si="1216"/>
        <v/>
      </c>
      <c r="AY1806" s="28"/>
      <c r="AZ1806" s="304" t="str">
        <f t="shared" si="1217"/>
        <v/>
      </c>
      <c r="BA1806" s="304" t="str">
        <f t="shared" si="1217"/>
        <v/>
      </c>
      <c r="BB1806" s="28"/>
      <c r="BC1806" s="304" t="str">
        <f t="shared" si="1218"/>
        <v/>
      </c>
      <c r="BD1806" s="304" t="str">
        <f t="shared" si="1218"/>
        <v/>
      </c>
      <c r="BE1806" s="28"/>
      <c r="BF1806" s="304" t="str">
        <f t="shared" si="1219"/>
        <v/>
      </c>
      <c r="BG1806" s="304" t="str">
        <f t="shared" si="1219"/>
        <v/>
      </c>
      <c r="BH1806" s="28"/>
      <c r="BI1806" s="304" t="str">
        <f t="shared" si="1220"/>
        <v/>
      </c>
      <c r="BJ1806" s="304" t="str">
        <f t="shared" si="1220"/>
        <v/>
      </c>
      <c r="BK1806" s="28"/>
      <c r="BL1806" s="304" t="str">
        <f t="shared" si="1221"/>
        <v/>
      </c>
      <c r="BM1806" s="304" t="str">
        <f t="shared" si="1221"/>
        <v/>
      </c>
      <c r="BN1806" s="28"/>
      <c r="BO1806" s="304" t="str">
        <f t="shared" si="1222"/>
        <v/>
      </c>
      <c r="BP1806" s="304" t="str">
        <f t="shared" si="1222"/>
        <v/>
      </c>
      <c r="BQ1806" s="28"/>
      <c r="BR1806" s="304" t="str">
        <f t="shared" si="1223"/>
        <v/>
      </c>
      <c r="BS1806" s="304" t="str">
        <f t="shared" si="1223"/>
        <v/>
      </c>
      <c r="BT1806" s="28"/>
      <c r="BU1806" s="304" t="str">
        <f t="shared" si="1224"/>
        <v/>
      </c>
      <c r="BV1806" s="304" t="str">
        <f t="shared" si="1224"/>
        <v/>
      </c>
      <c r="BW1806" s="28"/>
      <c r="BX1806" s="91"/>
    </row>
    <row r="1807" spans="1:76" s="55" customFormat="1" x14ac:dyDescent="0.25">
      <c r="A1807" s="195">
        <v>8</v>
      </c>
      <c r="B1807" s="216" t="str">
        <f t="shared" si="1227"/>
        <v xml:space="preserve">: </v>
      </c>
      <c r="C1807" s="221"/>
      <c r="D1807" s="221"/>
      <c r="E1807" s="221"/>
      <c r="F1807" s="221"/>
      <c r="G1807" s="240"/>
      <c r="H1807" s="221"/>
      <c r="I1807" s="240"/>
      <c r="J1807" s="241"/>
      <c r="K1807" s="241"/>
      <c r="L1807" s="227"/>
      <c r="M1807" s="227"/>
      <c r="N1807" s="227"/>
      <c r="O1807" s="227"/>
      <c r="P1807" s="122"/>
      <c r="Q1807" s="228"/>
      <c r="R1807" s="231" t="str">
        <f t="shared" si="1225"/>
        <v/>
      </c>
      <c r="S1807" s="230" t="str">
        <f t="shared" si="1214"/>
        <v/>
      </c>
      <c r="T1807" s="231" t="str">
        <f>IF(OR(Q1807="Y",IFERROR(R1807&gt;R1820+R1824*$AA$35,0),IFERROR(R1807&lt;R1820-R1824*$AA$35,0)),"",IFERROR(R1807*N1807,""))</f>
        <v/>
      </c>
      <c r="U1807" s="232" t="str">
        <f t="shared" si="1215"/>
        <v/>
      </c>
      <c r="V1807" s="28"/>
      <c r="W1807" s="28"/>
      <c r="Y1807" s="91"/>
      <c r="AO1807" s="91"/>
      <c r="AP1807" s="28"/>
      <c r="AQ1807" s="28"/>
      <c r="AR1807" s="237"/>
      <c r="AS1807" s="28"/>
      <c r="AT1807" s="304" t="str">
        <f t="shared" si="1226"/>
        <v/>
      </c>
      <c r="AU1807" s="304" t="str">
        <f t="shared" si="1226"/>
        <v/>
      </c>
      <c r="AV1807" s="28"/>
      <c r="AW1807" s="304" t="str">
        <f t="shared" si="1216"/>
        <v/>
      </c>
      <c r="AX1807" s="304" t="str">
        <f t="shared" si="1216"/>
        <v/>
      </c>
      <c r="AY1807" s="28"/>
      <c r="AZ1807" s="304" t="str">
        <f t="shared" si="1217"/>
        <v/>
      </c>
      <c r="BA1807" s="304" t="str">
        <f t="shared" si="1217"/>
        <v/>
      </c>
      <c r="BB1807" s="28"/>
      <c r="BC1807" s="304" t="str">
        <f t="shared" si="1218"/>
        <v/>
      </c>
      <c r="BD1807" s="304" t="str">
        <f t="shared" si="1218"/>
        <v/>
      </c>
      <c r="BE1807" s="28"/>
      <c r="BF1807" s="304" t="str">
        <f t="shared" si="1219"/>
        <v/>
      </c>
      <c r="BG1807" s="304" t="str">
        <f t="shared" si="1219"/>
        <v/>
      </c>
      <c r="BH1807" s="28"/>
      <c r="BI1807" s="304" t="str">
        <f t="shared" si="1220"/>
        <v/>
      </c>
      <c r="BJ1807" s="304" t="str">
        <f t="shared" si="1220"/>
        <v/>
      </c>
      <c r="BK1807" s="28"/>
      <c r="BL1807" s="304" t="str">
        <f t="shared" si="1221"/>
        <v/>
      </c>
      <c r="BM1807" s="304" t="str">
        <f t="shared" si="1221"/>
        <v/>
      </c>
      <c r="BN1807" s="28"/>
      <c r="BO1807" s="304" t="str">
        <f t="shared" si="1222"/>
        <v/>
      </c>
      <c r="BP1807" s="304" t="str">
        <f t="shared" si="1222"/>
        <v/>
      </c>
      <c r="BQ1807" s="28"/>
      <c r="BR1807" s="304" t="str">
        <f t="shared" si="1223"/>
        <v/>
      </c>
      <c r="BS1807" s="304" t="str">
        <f t="shared" si="1223"/>
        <v/>
      </c>
      <c r="BT1807" s="28"/>
      <c r="BU1807" s="304" t="str">
        <f t="shared" si="1224"/>
        <v/>
      </c>
      <c r="BV1807" s="304" t="str">
        <f t="shared" si="1224"/>
        <v/>
      </c>
      <c r="BW1807" s="28"/>
      <c r="BX1807" s="91"/>
    </row>
    <row r="1808" spans="1:76" s="55" customFormat="1" x14ac:dyDescent="0.25">
      <c r="A1808" s="195">
        <v>9</v>
      </c>
      <c r="B1808" s="216" t="str">
        <f t="shared" si="1227"/>
        <v xml:space="preserve">: </v>
      </c>
      <c r="C1808" s="221"/>
      <c r="D1808" s="221"/>
      <c r="E1808" s="221"/>
      <c r="F1808" s="221"/>
      <c r="G1808" s="240"/>
      <c r="H1808" s="221"/>
      <c r="I1808" s="240"/>
      <c r="J1808" s="241"/>
      <c r="K1808" s="241"/>
      <c r="L1808" s="227"/>
      <c r="M1808" s="227"/>
      <c r="N1808" s="227"/>
      <c r="O1808" s="227"/>
      <c r="P1808" s="122"/>
      <c r="Q1808" s="228"/>
      <c r="R1808" s="231" t="str">
        <f t="shared" si="1225"/>
        <v/>
      </c>
      <c r="S1808" s="230" t="str">
        <f t="shared" si="1214"/>
        <v/>
      </c>
      <c r="T1808" s="231" t="str">
        <f>IF(OR(Q1808="Y",IFERROR(R1808&gt;R1820+R1824*$AA$35,0),IFERROR(R1808&lt;R1820-R1824*$AA$35,0)),"",IFERROR(R1808*N1808,""))</f>
        <v/>
      </c>
      <c r="U1808" s="232" t="str">
        <f t="shared" si="1215"/>
        <v/>
      </c>
      <c r="V1808" s="28"/>
      <c r="W1808" s="28"/>
      <c r="Y1808" s="91"/>
      <c r="AO1808" s="91"/>
      <c r="AP1808" s="28"/>
      <c r="AQ1808" s="28"/>
      <c r="AR1808" s="237"/>
      <c r="AS1808" s="28"/>
      <c r="AT1808" s="304" t="str">
        <f t="shared" si="1226"/>
        <v/>
      </c>
      <c r="AU1808" s="304" t="str">
        <f t="shared" si="1226"/>
        <v/>
      </c>
      <c r="AV1808" s="28"/>
      <c r="AW1808" s="304" t="str">
        <f t="shared" si="1216"/>
        <v/>
      </c>
      <c r="AX1808" s="304" t="str">
        <f t="shared" si="1216"/>
        <v/>
      </c>
      <c r="AY1808" s="28"/>
      <c r="AZ1808" s="304" t="str">
        <f t="shared" si="1217"/>
        <v/>
      </c>
      <c r="BA1808" s="304" t="str">
        <f t="shared" si="1217"/>
        <v/>
      </c>
      <c r="BB1808" s="28"/>
      <c r="BC1808" s="304" t="str">
        <f t="shared" si="1218"/>
        <v/>
      </c>
      <c r="BD1808" s="304" t="str">
        <f t="shared" si="1218"/>
        <v/>
      </c>
      <c r="BE1808" s="28"/>
      <c r="BF1808" s="304" t="str">
        <f t="shared" si="1219"/>
        <v/>
      </c>
      <c r="BG1808" s="304" t="str">
        <f t="shared" si="1219"/>
        <v/>
      </c>
      <c r="BH1808" s="28"/>
      <c r="BI1808" s="304" t="str">
        <f t="shared" si="1220"/>
        <v/>
      </c>
      <c r="BJ1808" s="304" t="str">
        <f t="shared" si="1220"/>
        <v/>
      </c>
      <c r="BK1808" s="28"/>
      <c r="BL1808" s="304" t="str">
        <f t="shared" si="1221"/>
        <v/>
      </c>
      <c r="BM1808" s="304" t="str">
        <f t="shared" si="1221"/>
        <v/>
      </c>
      <c r="BN1808" s="28"/>
      <c r="BO1808" s="304" t="str">
        <f t="shared" si="1222"/>
        <v/>
      </c>
      <c r="BP1808" s="304" t="str">
        <f t="shared" si="1222"/>
        <v/>
      </c>
      <c r="BQ1808" s="28"/>
      <c r="BR1808" s="304" t="str">
        <f t="shared" si="1223"/>
        <v/>
      </c>
      <c r="BS1808" s="304" t="str">
        <f t="shared" si="1223"/>
        <v/>
      </c>
      <c r="BT1808" s="28"/>
      <c r="BU1808" s="304" t="str">
        <f t="shared" si="1224"/>
        <v/>
      </c>
      <c r="BV1808" s="304" t="str">
        <f t="shared" si="1224"/>
        <v/>
      </c>
      <c r="BW1808" s="28"/>
      <c r="BX1808" s="91"/>
    </row>
    <row r="1809" spans="1:76" s="55" customFormat="1" x14ac:dyDescent="0.25">
      <c r="A1809" s="195">
        <v>10</v>
      </c>
      <c r="B1809" s="216" t="str">
        <f t="shared" si="1227"/>
        <v xml:space="preserve">: </v>
      </c>
      <c r="C1809" s="221"/>
      <c r="D1809" s="221"/>
      <c r="E1809" s="221"/>
      <c r="F1809" s="221"/>
      <c r="G1809" s="240"/>
      <c r="H1809" s="221"/>
      <c r="I1809" s="240"/>
      <c r="J1809" s="241"/>
      <c r="K1809" s="241"/>
      <c r="L1809" s="227"/>
      <c r="M1809" s="227"/>
      <c r="N1809" s="227"/>
      <c r="O1809" s="227"/>
      <c r="P1809" s="122"/>
      <c r="Q1809" s="228"/>
      <c r="R1809" s="231" t="str">
        <f t="shared" si="1225"/>
        <v/>
      </c>
      <c r="S1809" s="230" t="str">
        <f t="shared" si="1214"/>
        <v/>
      </c>
      <c r="T1809" s="231" t="str">
        <f>IF(OR(Q1809="Y",IFERROR(R1809&gt;R1820+R1824*$AA$35,0),IFERROR(R1809&lt;R1820-R1824*$AA$35,0)),"",IFERROR(R1809*N1809,""))</f>
        <v/>
      </c>
      <c r="U1809" s="232" t="str">
        <f t="shared" si="1215"/>
        <v/>
      </c>
      <c r="V1809" s="28"/>
      <c r="W1809" s="28"/>
      <c r="Y1809" s="91"/>
      <c r="AO1809" s="91"/>
      <c r="AP1809" s="28"/>
      <c r="AQ1809" s="28"/>
      <c r="AR1809" s="237"/>
      <c r="AS1809" s="28"/>
      <c r="AT1809" s="304" t="str">
        <f t="shared" si="1226"/>
        <v/>
      </c>
      <c r="AU1809" s="304" t="str">
        <f t="shared" si="1226"/>
        <v/>
      </c>
      <c r="AV1809" s="28"/>
      <c r="AW1809" s="304" t="str">
        <f t="shared" si="1216"/>
        <v/>
      </c>
      <c r="AX1809" s="304" t="str">
        <f t="shared" si="1216"/>
        <v/>
      </c>
      <c r="AY1809" s="28"/>
      <c r="AZ1809" s="304" t="str">
        <f t="shared" si="1217"/>
        <v/>
      </c>
      <c r="BA1809" s="304" t="str">
        <f t="shared" si="1217"/>
        <v/>
      </c>
      <c r="BB1809" s="28"/>
      <c r="BC1809" s="304" t="str">
        <f t="shared" si="1218"/>
        <v/>
      </c>
      <c r="BD1809" s="304" t="str">
        <f t="shared" si="1218"/>
        <v/>
      </c>
      <c r="BE1809" s="28"/>
      <c r="BF1809" s="304" t="str">
        <f t="shared" si="1219"/>
        <v/>
      </c>
      <c r="BG1809" s="304" t="str">
        <f t="shared" si="1219"/>
        <v/>
      </c>
      <c r="BH1809" s="28"/>
      <c r="BI1809" s="304" t="str">
        <f t="shared" si="1220"/>
        <v/>
      </c>
      <c r="BJ1809" s="304" t="str">
        <f t="shared" si="1220"/>
        <v/>
      </c>
      <c r="BK1809" s="28"/>
      <c r="BL1809" s="304" t="str">
        <f t="shared" si="1221"/>
        <v/>
      </c>
      <c r="BM1809" s="304" t="str">
        <f t="shared" si="1221"/>
        <v/>
      </c>
      <c r="BN1809" s="28"/>
      <c r="BO1809" s="304" t="str">
        <f t="shared" si="1222"/>
        <v/>
      </c>
      <c r="BP1809" s="304" t="str">
        <f t="shared" si="1222"/>
        <v/>
      </c>
      <c r="BQ1809" s="28"/>
      <c r="BR1809" s="304" t="str">
        <f t="shared" si="1223"/>
        <v/>
      </c>
      <c r="BS1809" s="304" t="str">
        <f t="shared" si="1223"/>
        <v/>
      </c>
      <c r="BT1809" s="28"/>
      <c r="BU1809" s="304" t="str">
        <f t="shared" si="1224"/>
        <v/>
      </c>
      <c r="BV1809" s="304" t="str">
        <f t="shared" si="1224"/>
        <v/>
      </c>
      <c r="BW1809" s="28"/>
      <c r="BX1809" s="91"/>
    </row>
    <row r="1810" spans="1:76" s="55" customFormat="1" x14ac:dyDescent="0.25">
      <c r="A1810" s="195">
        <v>11</v>
      </c>
      <c r="B1810" s="216" t="str">
        <f t="shared" si="1227"/>
        <v xml:space="preserve">: </v>
      </c>
      <c r="C1810" s="221"/>
      <c r="D1810" s="221"/>
      <c r="E1810" s="221"/>
      <c r="F1810" s="221"/>
      <c r="G1810" s="240"/>
      <c r="H1810" s="221"/>
      <c r="I1810" s="240"/>
      <c r="J1810" s="241"/>
      <c r="K1810" s="241"/>
      <c r="L1810" s="227"/>
      <c r="M1810" s="227"/>
      <c r="N1810" s="227"/>
      <c r="O1810" s="227"/>
      <c r="P1810" s="122"/>
      <c r="Q1810" s="228"/>
      <c r="R1810" s="231" t="str">
        <f t="shared" si="1225"/>
        <v/>
      </c>
      <c r="S1810" s="230" t="str">
        <f t="shared" si="1214"/>
        <v/>
      </c>
      <c r="T1810" s="231" t="str">
        <f>IF(OR(Q1810="Y",IFERROR(R1810&gt;R1820+R1824*$AA$35,0),IFERROR(R1810&lt;R1820-R1824*$AA$35,0)),"",IFERROR(R1810*N1810,""))</f>
        <v/>
      </c>
      <c r="U1810" s="232" t="str">
        <f t="shared" si="1215"/>
        <v/>
      </c>
      <c r="V1810" s="28"/>
      <c r="W1810" s="28"/>
      <c r="Y1810" s="91"/>
      <c r="AO1810" s="91"/>
      <c r="AP1810" s="28"/>
      <c r="AQ1810" s="28"/>
      <c r="AR1810" s="237"/>
      <c r="AS1810" s="28"/>
      <c r="AT1810" s="304" t="str">
        <f t="shared" si="1226"/>
        <v/>
      </c>
      <c r="AU1810" s="304" t="str">
        <f t="shared" si="1226"/>
        <v/>
      </c>
      <c r="AV1810" s="28"/>
      <c r="AW1810" s="304" t="str">
        <f t="shared" si="1216"/>
        <v/>
      </c>
      <c r="AX1810" s="304" t="str">
        <f t="shared" si="1216"/>
        <v/>
      </c>
      <c r="AY1810" s="28"/>
      <c r="AZ1810" s="304" t="str">
        <f t="shared" si="1217"/>
        <v/>
      </c>
      <c r="BA1810" s="304" t="str">
        <f t="shared" si="1217"/>
        <v/>
      </c>
      <c r="BB1810" s="28"/>
      <c r="BC1810" s="304" t="str">
        <f t="shared" si="1218"/>
        <v/>
      </c>
      <c r="BD1810" s="304" t="str">
        <f t="shared" si="1218"/>
        <v/>
      </c>
      <c r="BE1810" s="28"/>
      <c r="BF1810" s="304" t="str">
        <f t="shared" si="1219"/>
        <v/>
      </c>
      <c r="BG1810" s="304" t="str">
        <f t="shared" si="1219"/>
        <v/>
      </c>
      <c r="BH1810" s="28"/>
      <c r="BI1810" s="304" t="str">
        <f t="shared" si="1220"/>
        <v/>
      </c>
      <c r="BJ1810" s="304" t="str">
        <f t="shared" si="1220"/>
        <v/>
      </c>
      <c r="BK1810" s="28"/>
      <c r="BL1810" s="304" t="str">
        <f t="shared" si="1221"/>
        <v/>
      </c>
      <c r="BM1810" s="304" t="str">
        <f t="shared" si="1221"/>
        <v/>
      </c>
      <c r="BN1810" s="28"/>
      <c r="BO1810" s="304" t="str">
        <f t="shared" si="1222"/>
        <v/>
      </c>
      <c r="BP1810" s="304" t="str">
        <f t="shared" si="1222"/>
        <v/>
      </c>
      <c r="BQ1810" s="28"/>
      <c r="BR1810" s="304" t="str">
        <f t="shared" si="1223"/>
        <v/>
      </c>
      <c r="BS1810" s="304" t="str">
        <f t="shared" si="1223"/>
        <v/>
      </c>
      <c r="BT1810" s="28"/>
      <c r="BU1810" s="304" t="str">
        <f t="shared" si="1224"/>
        <v/>
      </c>
      <c r="BV1810" s="304" t="str">
        <f t="shared" si="1224"/>
        <v/>
      </c>
      <c r="BW1810" s="28"/>
      <c r="BX1810" s="91"/>
    </row>
    <row r="1811" spans="1:76" s="55" customFormat="1" x14ac:dyDescent="0.25">
      <c r="A1811" s="195">
        <v>12</v>
      </c>
      <c r="B1811" s="216" t="str">
        <f t="shared" si="1227"/>
        <v xml:space="preserve">: </v>
      </c>
      <c r="C1811" s="221"/>
      <c r="D1811" s="221"/>
      <c r="E1811" s="221"/>
      <c r="F1811" s="221"/>
      <c r="G1811" s="240"/>
      <c r="H1811" s="221"/>
      <c r="I1811" s="240"/>
      <c r="J1811" s="241"/>
      <c r="K1811" s="241"/>
      <c r="L1811" s="227"/>
      <c r="M1811" s="227"/>
      <c r="N1811" s="227"/>
      <c r="O1811" s="227"/>
      <c r="P1811" s="122"/>
      <c r="Q1811" s="228"/>
      <c r="R1811" s="231" t="str">
        <f t="shared" si="1225"/>
        <v/>
      </c>
      <c r="S1811" s="230" t="str">
        <f t="shared" si="1214"/>
        <v/>
      </c>
      <c r="T1811" s="231" t="str">
        <f>IF(OR(Q1811="Y",IFERROR(R1811&gt;R1820+R1824*$AA$35,0),IFERROR(R1811&lt;R1820-R1824*$AA$35,0)),"",IFERROR(R1811*N1811,""))</f>
        <v/>
      </c>
      <c r="U1811" s="232" t="str">
        <f t="shared" si="1215"/>
        <v/>
      </c>
      <c r="V1811" s="28"/>
      <c r="W1811" s="28"/>
      <c r="Y1811" s="91"/>
      <c r="AO1811" s="91"/>
      <c r="AP1811" s="28"/>
      <c r="AQ1811" s="28"/>
      <c r="AR1811" s="237"/>
      <c r="AS1811" s="28"/>
      <c r="AT1811" s="304" t="str">
        <f t="shared" si="1226"/>
        <v/>
      </c>
      <c r="AU1811" s="304" t="str">
        <f t="shared" si="1226"/>
        <v/>
      </c>
      <c r="AV1811" s="28"/>
      <c r="AW1811" s="304" t="str">
        <f t="shared" si="1216"/>
        <v/>
      </c>
      <c r="AX1811" s="304" t="str">
        <f t="shared" si="1216"/>
        <v/>
      </c>
      <c r="AY1811" s="28"/>
      <c r="AZ1811" s="304" t="str">
        <f t="shared" si="1217"/>
        <v/>
      </c>
      <c r="BA1811" s="304" t="str">
        <f t="shared" si="1217"/>
        <v/>
      </c>
      <c r="BB1811" s="28"/>
      <c r="BC1811" s="304" t="str">
        <f t="shared" si="1218"/>
        <v/>
      </c>
      <c r="BD1811" s="304" t="str">
        <f t="shared" si="1218"/>
        <v/>
      </c>
      <c r="BE1811" s="28"/>
      <c r="BF1811" s="304" t="str">
        <f t="shared" si="1219"/>
        <v/>
      </c>
      <c r="BG1811" s="304" t="str">
        <f t="shared" si="1219"/>
        <v/>
      </c>
      <c r="BH1811" s="28"/>
      <c r="BI1811" s="304" t="str">
        <f t="shared" si="1220"/>
        <v/>
      </c>
      <c r="BJ1811" s="304" t="str">
        <f t="shared" si="1220"/>
        <v/>
      </c>
      <c r="BK1811" s="28"/>
      <c r="BL1811" s="304" t="str">
        <f t="shared" si="1221"/>
        <v/>
      </c>
      <c r="BM1811" s="304" t="str">
        <f t="shared" si="1221"/>
        <v/>
      </c>
      <c r="BN1811" s="28"/>
      <c r="BO1811" s="304" t="str">
        <f t="shared" si="1222"/>
        <v/>
      </c>
      <c r="BP1811" s="304" t="str">
        <f t="shared" si="1222"/>
        <v/>
      </c>
      <c r="BQ1811" s="28"/>
      <c r="BR1811" s="304" t="str">
        <f t="shared" si="1223"/>
        <v/>
      </c>
      <c r="BS1811" s="304" t="str">
        <f t="shared" si="1223"/>
        <v/>
      </c>
      <c r="BT1811" s="28"/>
      <c r="BU1811" s="304" t="str">
        <f t="shared" si="1224"/>
        <v/>
      </c>
      <c r="BV1811" s="304" t="str">
        <f t="shared" si="1224"/>
        <v/>
      </c>
      <c r="BW1811" s="28"/>
      <c r="BX1811" s="91"/>
    </row>
    <row r="1812" spans="1:76" s="55" customFormat="1" x14ac:dyDescent="0.25">
      <c r="A1812" s="195">
        <v>13</v>
      </c>
      <c r="B1812" s="216" t="str">
        <f t="shared" si="1227"/>
        <v xml:space="preserve">: </v>
      </c>
      <c r="C1812" s="221"/>
      <c r="D1812" s="221"/>
      <c r="E1812" s="221"/>
      <c r="F1812" s="221"/>
      <c r="G1812" s="240"/>
      <c r="H1812" s="221"/>
      <c r="I1812" s="240"/>
      <c r="J1812" s="241"/>
      <c r="K1812" s="241"/>
      <c r="L1812" s="227"/>
      <c r="M1812" s="227"/>
      <c r="N1812" s="227"/>
      <c r="O1812" s="227"/>
      <c r="P1812" s="122"/>
      <c r="Q1812" s="228"/>
      <c r="R1812" s="231" t="str">
        <f t="shared" si="1225"/>
        <v/>
      </c>
      <c r="S1812" s="230" t="str">
        <f t="shared" si="1214"/>
        <v/>
      </c>
      <c r="T1812" s="231" t="str">
        <f>IF(OR(Q1812="Y",IFERROR(R1812&gt;R1820+R1824*$AA$35,0),IFERROR(R1812&lt;R1820-R1824*$AA$35,0)),"",IFERROR(R1812*N1812,""))</f>
        <v/>
      </c>
      <c r="U1812" s="232" t="str">
        <f t="shared" si="1215"/>
        <v/>
      </c>
      <c r="V1812" s="28"/>
      <c r="W1812" s="28"/>
      <c r="Y1812" s="91"/>
      <c r="AO1812" s="91"/>
      <c r="AP1812" s="28"/>
      <c r="AQ1812" s="28"/>
      <c r="AR1812" s="237"/>
      <c r="AS1812" s="28"/>
      <c r="AT1812" s="304" t="str">
        <f t="shared" si="1226"/>
        <v/>
      </c>
      <c r="AU1812" s="304" t="str">
        <f t="shared" si="1226"/>
        <v/>
      </c>
      <c r="AV1812" s="28"/>
      <c r="AW1812" s="304" t="str">
        <f t="shared" si="1216"/>
        <v/>
      </c>
      <c r="AX1812" s="304" t="str">
        <f t="shared" si="1216"/>
        <v/>
      </c>
      <c r="AY1812" s="28"/>
      <c r="AZ1812" s="304" t="str">
        <f t="shared" si="1217"/>
        <v/>
      </c>
      <c r="BA1812" s="304" t="str">
        <f t="shared" si="1217"/>
        <v/>
      </c>
      <c r="BB1812" s="28"/>
      <c r="BC1812" s="304" t="str">
        <f t="shared" si="1218"/>
        <v/>
      </c>
      <c r="BD1812" s="304" t="str">
        <f t="shared" si="1218"/>
        <v/>
      </c>
      <c r="BE1812" s="28"/>
      <c r="BF1812" s="304" t="str">
        <f t="shared" si="1219"/>
        <v/>
      </c>
      <c r="BG1812" s="304" t="str">
        <f t="shared" si="1219"/>
        <v/>
      </c>
      <c r="BH1812" s="28"/>
      <c r="BI1812" s="304" t="str">
        <f t="shared" si="1220"/>
        <v/>
      </c>
      <c r="BJ1812" s="304" t="str">
        <f t="shared" si="1220"/>
        <v/>
      </c>
      <c r="BK1812" s="28"/>
      <c r="BL1812" s="304" t="str">
        <f t="shared" si="1221"/>
        <v/>
      </c>
      <c r="BM1812" s="304" t="str">
        <f t="shared" si="1221"/>
        <v/>
      </c>
      <c r="BN1812" s="28"/>
      <c r="BO1812" s="304" t="str">
        <f t="shared" si="1222"/>
        <v/>
      </c>
      <c r="BP1812" s="304" t="str">
        <f t="shared" si="1222"/>
        <v/>
      </c>
      <c r="BQ1812" s="28"/>
      <c r="BR1812" s="304" t="str">
        <f t="shared" si="1223"/>
        <v/>
      </c>
      <c r="BS1812" s="304" t="str">
        <f t="shared" si="1223"/>
        <v/>
      </c>
      <c r="BT1812" s="28"/>
      <c r="BU1812" s="304" t="str">
        <f t="shared" si="1224"/>
        <v/>
      </c>
      <c r="BV1812" s="304" t="str">
        <f t="shared" si="1224"/>
        <v/>
      </c>
      <c r="BW1812" s="28"/>
      <c r="BX1812" s="91"/>
    </row>
    <row r="1813" spans="1:76" s="55" customFormat="1" x14ac:dyDescent="0.25">
      <c r="A1813" s="195">
        <v>14</v>
      </c>
      <c r="B1813" s="216" t="str">
        <f t="shared" si="1227"/>
        <v xml:space="preserve">: </v>
      </c>
      <c r="C1813" s="221"/>
      <c r="D1813" s="221"/>
      <c r="E1813" s="221"/>
      <c r="F1813" s="221"/>
      <c r="G1813" s="240"/>
      <c r="H1813" s="221"/>
      <c r="I1813" s="240"/>
      <c r="J1813" s="241"/>
      <c r="K1813" s="241"/>
      <c r="L1813" s="227"/>
      <c r="M1813" s="227"/>
      <c r="N1813" s="227"/>
      <c r="O1813" s="227"/>
      <c r="P1813" s="122"/>
      <c r="Q1813" s="228"/>
      <c r="R1813" s="231" t="str">
        <f t="shared" si="1225"/>
        <v/>
      </c>
      <c r="S1813" s="230" t="str">
        <f t="shared" si="1214"/>
        <v/>
      </c>
      <c r="T1813" s="231" t="str">
        <f>IF(OR(Q1813="Y",IFERROR(R1813&gt;R1820+R1824*$AA$35,0),IFERROR(R1813&lt;R1820-R1824*$AA$35,0)),"",IFERROR(R1813*N1813,""))</f>
        <v/>
      </c>
      <c r="U1813" s="232" t="str">
        <f t="shared" si="1215"/>
        <v/>
      </c>
      <c r="V1813" s="28"/>
      <c r="W1813" s="28"/>
      <c r="Y1813" s="91"/>
      <c r="AO1813" s="91"/>
      <c r="AP1813" s="28"/>
      <c r="AQ1813" s="28"/>
      <c r="AR1813" s="237"/>
      <c r="AS1813" s="28"/>
      <c r="AT1813" s="304" t="str">
        <f t="shared" si="1226"/>
        <v/>
      </c>
      <c r="AU1813" s="304" t="str">
        <f t="shared" si="1226"/>
        <v/>
      </c>
      <c r="AV1813" s="28"/>
      <c r="AW1813" s="304" t="str">
        <f t="shared" si="1216"/>
        <v/>
      </c>
      <c r="AX1813" s="304" t="str">
        <f t="shared" si="1216"/>
        <v/>
      </c>
      <c r="AY1813" s="28"/>
      <c r="AZ1813" s="304" t="str">
        <f t="shared" si="1217"/>
        <v/>
      </c>
      <c r="BA1813" s="304" t="str">
        <f t="shared" si="1217"/>
        <v/>
      </c>
      <c r="BB1813" s="28"/>
      <c r="BC1813" s="304" t="str">
        <f t="shared" si="1218"/>
        <v/>
      </c>
      <c r="BD1813" s="304" t="str">
        <f t="shared" si="1218"/>
        <v/>
      </c>
      <c r="BE1813" s="28"/>
      <c r="BF1813" s="304" t="str">
        <f t="shared" si="1219"/>
        <v/>
      </c>
      <c r="BG1813" s="304" t="str">
        <f t="shared" si="1219"/>
        <v/>
      </c>
      <c r="BH1813" s="28"/>
      <c r="BI1813" s="304" t="str">
        <f t="shared" si="1220"/>
        <v/>
      </c>
      <c r="BJ1813" s="304" t="str">
        <f t="shared" si="1220"/>
        <v/>
      </c>
      <c r="BK1813" s="28"/>
      <c r="BL1813" s="304" t="str">
        <f t="shared" si="1221"/>
        <v/>
      </c>
      <c r="BM1813" s="304" t="str">
        <f t="shared" si="1221"/>
        <v/>
      </c>
      <c r="BN1813" s="28"/>
      <c r="BO1813" s="304" t="str">
        <f t="shared" si="1222"/>
        <v/>
      </c>
      <c r="BP1813" s="304" t="str">
        <f t="shared" si="1222"/>
        <v/>
      </c>
      <c r="BQ1813" s="28"/>
      <c r="BR1813" s="304" t="str">
        <f t="shared" si="1223"/>
        <v/>
      </c>
      <c r="BS1813" s="304" t="str">
        <f t="shared" si="1223"/>
        <v/>
      </c>
      <c r="BT1813" s="28"/>
      <c r="BU1813" s="304" t="str">
        <f t="shared" si="1224"/>
        <v/>
      </c>
      <c r="BV1813" s="304" t="str">
        <f t="shared" si="1224"/>
        <v/>
      </c>
      <c r="BW1813" s="28"/>
      <c r="BX1813" s="91"/>
    </row>
    <row r="1814" spans="1:76" s="55" customFormat="1" x14ac:dyDescent="0.25">
      <c r="A1814" s="195">
        <v>15</v>
      </c>
      <c r="B1814" s="216" t="str">
        <f t="shared" si="1227"/>
        <v xml:space="preserve">: </v>
      </c>
      <c r="C1814" s="221"/>
      <c r="D1814" s="221"/>
      <c r="E1814" s="221"/>
      <c r="F1814" s="221"/>
      <c r="G1814" s="240"/>
      <c r="H1814" s="221"/>
      <c r="I1814" s="240"/>
      <c r="J1814" s="241"/>
      <c r="K1814" s="241"/>
      <c r="L1814" s="227"/>
      <c r="M1814" s="227"/>
      <c r="N1814" s="227"/>
      <c r="O1814" s="227"/>
      <c r="P1814" s="122"/>
      <c r="Q1814" s="228"/>
      <c r="R1814" s="231" t="str">
        <f t="shared" si="1225"/>
        <v/>
      </c>
      <c r="S1814" s="230" t="str">
        <f t="shared" si="1214"/>
        <v/>
      </c>
      <c r="T1814" s="231" t="str">
        <f>IF(OR(Q1814="Y",IFERROR(R1814&gt;R1820+R1824*$AA$35,0),IFERROR(R1814&lt;R1820-R1824*$AA$35,0)),"",IFERROR(R1814*N1814,""))</f>
        <v/>
      </c>
      <c r="U1814" s="232" t="str">
        <f t="shared" si="1215"/>
        <v/>
      </c>
      <c r="V1814" s="28"/>
      <c r="W1814" s="28"/>
      <c r="Y1814" s="91"/>
      <c r="AO1814" s="91"/>
      <c r="AP1814" s="28"/>
      <c r="AQ1814" s="28"/>
      <c r="AR1814" s="237"/>
      <c r="AS1814" s="28"/>
      <c r="AT1814" s="304" t="str">
        <f t="shared" si="1226"/>
        <v/>
      </c>
      <c r="AU1814" s="304" t="str">
        <f t="shared" si="1226"/>
        <v/>
      </c>
      <c r="AV1814" s="28"/>
      <c r="AW1814" s="304" t="str">
        <f t="shared" si="1216"/>
        <v/>
      </c>
      <c r="AX1814" s="304" t="str">
        <f t="shared" si="1216"/>
        <v/>
      </c>
      <c r="AY1814" s="28"/>
      <c r="AZ1814" s="304" t="str">
        <f t="shared" si="1217"/>
        <v/>
      </c>
      <c r="BA1814" s="304" t="str">
        <f t="shared" si="1217"/>
        <v/>
      </c>
      <c r="BB1814" s="28"/>
      <c r="BC1814" s="304" t="str">
        <f t="shared" si="1218"/>
        <v/>
      </c>
      <c r="BD1814" s="304" t="str">
        <f t="shared" si="1218"/>
        <v/>
      </c>
      <c r="BE1814" s="28"/>
      <c r="BF1814" s="304" t="str">
        <f t="shared" si="1219"/>
        <v/>
      </c>
      <c r="BG1814" s="304" t="str">
        <f t="shared" si="1219"/>
        <v/>
      </c>
      <c r="BH1814" s="28"/>
      <c r="BI1814" s="304" t="str">
        <f t="shared" si="1220"/>
        <v/>
      </c>
      <c r="BJ1814" s="304" t="str">
        <f t="shared" si="1220"/>
        <v/>
      </c>
      <c r="BK1814" s="28"/>
      <c r="BL1814" s="304" t="str">
        <f t="shared" si="1221"/>
        <v/>
      </c>
      <c r="BM1814" s="304" t="str">
        <f t="shared" si="1221"/>
        <v/>
      </c>
      <c r="BN1814" s="28"/>
      <c r="BO1814" s="304" t="str">
        <f t="shared" si="1222"/>
        <v/>
      </c>
      <c r="BP1814" s="304" t="str">
        <f t="shared" si="1222"/>
        <v/>
      </c>
      <c r="BQ1814" s="28"/>
      <c r="BR1814" s="304" t="str">
        <f t="shared" si="1223"/>
        <v/>
      </c>
      <c r="BS1814" s="304" t="str">
        <f t="shared" si="1223"/>
        <v/>
      </c>
      <c r="BT1814" s="28"/>
      <c r="BU1814" s="304" t="str">
        <f t="shared" si="1224"/>
        <v/>
      </c>
      <c r="BV1814" s="304" t="str">
        <f t="shared" si="1224"/>
        <v/>
      </c>
      <c r="BW1814" s="28"/>
      <c r="BX1814" s="91"/>
    </row>
    <row r="1815" spans="1:76" s="55" customFormat="1" x14ac:dyDescent="0.25">
      <c r="A1815" s="195">
        <v>16</v>
      </c>
      <c r="B1815" s="216" t="str">
        <f t="shared" si="1227"/>
        <v xml:space="preserve">: </v>
      </c>
      <c r="C1815" s="221"/>
      <c r="D1815" s="221"/>
      <c r="E1815" s="221"/>
      <c r="F1815" s="221"/>
      <c r="G1815" s="240"/>
      <c r="H1815" s="221"/>
      <c r="I1815" s="240"/>
      <c r="J1815" s="241"/>
      <c r="K1815" s="241"/>
      <c r="L1815" s="227"/>
      <c r="M1815" s="227"/>
      <c r="N1815" s="227"/>
      <c r="O1815" s="227"/>
      <c r="P1815" s="122"/>
      <c r="Q1815" s="228"/>
      <c r="R1815" s="231" t="str">
        <f t="shared" si="1225"/>
        <v/>
      </c>
      <c r="S1815" s="230" t="str">
        <f t="shared" si="1214"/>
        <v/>
      </c>
      <c r="T1815" s="231" t="str">
        <f>IF(OR(Q1815="Y",IFERROR(R1815&gt;R1820+R1824*$AA$35,0),IFERROR(R1815&lt;R1820-R1824*$AA$35,0)),"",IFERROR(R1815*N1815,""))</f>
        <v/>
      </c>
      <c r="U1815" s="232" t="str">
        <f t="shared" si="1215"/>
        <v/>
      </c>
      <c r="V1815" s="28"/>
      <c r="W1815" s="28"/>
      <c r="Y1815" s="91"/>
      <c r="AO1815" s="91"/>
      <c r="AP1815" s="28"/>
      <c r="AQ1815" s="28"/>
      <c r="AR1815" s="237"/>
      <c r="AS1815" s="28"/>
      <c r="AT1815" s="304" t="str">
        <f t="shared" si="1226"/>
        <v/>
      </c>
      <c r="AU1815" s="304" t="str">
        <f t="shared" si="1226"/>
        <v/>
      </c>
      <c r="AV1815" s="28"/>
      <c r="AW1815" s="304" t="str">
        <f t="shared" si="1216"/>
        <v/>
      </c>
      <c r="AX1815" s="304" t="str">
        <f t="shared" si="1216"/>
        <v/>
      </c>
      <c r="AY1815" s="28"/>
      <c r="AZ1815" s="304" t="str">
        <f t="shared" si="1217"/>
        <v/>
      </c>
      <c r="BA1815" s="304" t="str">
        <f t="shared" si="1217"/>
        <v/>
      </c>
      <c r="BB1815" s="28"/>
      <c r="BC1815" s="304" t="str">
        <f t="shared" si="1218"/>
        <v/>
      </c>
      <c r="BD1815" s="304" t="str">
        <f t="shared" si="1218"/>
        <v/>
      </c>
      <c r="BE1815" s="28"/>
      <c r="BF1815" s="304" t="str">
        <f t="shared" si="1219"/>
        <v/>
      </c>
      <c r="BG1815" s="304" t="str">
        <f t="shared" si="1219"/>
        <v/>
      </c>
      <c r="BH1815" s="28"/>
      <c r="BI1815" s="304" t="str">
        <f t="shared" si="1220"/>
        <v/>
      </c>
      <c r="BJ1815" s="304" t="str">
        <f t="shared" si="1220"/>
        <v/>
      </c>
      <c r="BK1815" s="28"/>
      <c r="BL1815" s="304" t="str">
        <f t="shared" si="1221"/>
        <v/>
      </c>
      <c r="BM1815" s="304" t="str">
        <f t="shared" si="1221"/>
        <v/>
      </c>
      <c r="BN1815" s="28"/>
      <c r="BO1815" s="304" t="str">
        <f t="shared" si="1222"/>
        <v/>
      </c>
      <c r="BP1815" s="304" t="str">
        <f t="shared" si="1222"/>
        <v/>
      </c>
      <c r="BQ1815" s="28"/>
      <c r="BR1815" s="304" t="str">
        <f t="shared" si="1223"/>
        <v/>
      </c>
      <c r="BS1815" s="304" t="str">
        <f t="shared" si="1223"/>
        <v/>
      </c>
      <c r="BT1815" s="28"/>
      <c r="BU1815" s="304" t="str">
        <f t="shared" si="1224"/>
        <v/>
      </c>
      <c r="BV1815" s="304" t="str">
        <f t="shared" si="1224"/>
        <v/>
      </c>
      <c r="BW1815" s="28"/>
      <c r="BX1815" s="91"/>
    </row>
    <row r="1816" spans="1:76" s="55" customFormat="1" x14ac:dyDescent="0.25">
      <c r="A1816" s="195">
        <v>17</v>
      </c>
      <c r="B1816" s="216" t="str">
        <f t="shared" si="1227"/>
        <v xml:space="preserve">: </v>
      </c>
      <c r="C1816" s="221"/>
      <c r="D1816" s="221"/>
      <c r="E1816" s="221"/>
      <c r="F1816" s="221"/>
      <c r="G1816" s="240"/>
      <c r="H1816" s="221"/>
      <c r="I1816" s="240"/>
      <c r="J1816" s="241"/>
      <c r="K1816" s="241"/>
      <c r="L1816" s="227"/>
      <c r="M1816" s="227"/>
      <c r="N1816" s="227"/>
      <c r="O1816" s="227"/>
      <c r="P1816" s="122"/>
      <c r="Q1816" s="228"/>
      <c r="R1816" s="231" t="str">
        <f t="shared" si="1225"/>
        <v/>
      </c>
      <c r="S1816" s="230" t="str">
        <f t="shared" si="1214"/>
        <v/>
      </c>
      <c r="T1816" s="231" t="str">
        <f>IF(OR(Q1816="Y",IFERROR(R1816&gt;R1820+R1824*$AA$35,0),IFERROR(R1816&lt;R1820-R1824*$AA$35,0)),"",IFERROR(R1816*N1816,""))</f>
        <v/>
      </c>
      <c r="U1816" s="232" t="str">
        <f t="shared" si="1215"/>
        <v/>
      </c>
      <c r="V1816" s="28"/>
      <c r="W1816" s="28"/>
      <c r="Y1816" s="91"/>
      <c r="AO1816" s="91"/>
      <c r="AP1816" s="28"/>
      <c r="AQ1816" s="28"/>
      <c r="AR1816" s="237"/>
      <c r="AS1816" s="28"/>
      <c r="AT1816" s="304" t="str">
        <f t="shared" si="1226"/>
        <v/>
      </c>
      <c r="AU1816" s="304" t="str">
        <f t="shared" si="1226"/>
        <v/>
      </c>
      <c r="AV1816" s="28"/>
      <c r="AW1816" s="304" t="str">
        <f t="shared" si="1216"/>
        <v/>
      </c>
      <c r="AX1816" s="304" t="str">
        <f t="shared" si="1216"/>
        <v/>
      </c>
      <c r="AY1816" s="28"/>
      <c r="AZ1816" s="304" t="str">
        <f t="shared" si="1217"/>
        <v/>
      </c>
      <c r="BA1816" s="304" t="str">
        <f t="shared" si="1217"/>
        <v/>
      </c>
      <c r="BB1816" s="28"/>
      <c r="BC1816" s="304" t="str">
        <f t="shared" si="1218"/>
        <v/>
      </c>
      <c r="BD1816" s="304" t="str">
        <f t="shared" si="1218"/>
        <v/>
      </c>
      <c r="BE1816" s="28"/>
      <c r="BF1816" s="304" t="str">
        <f t="shared" si="1219"/>
        <v/>
      </c>
      <c r="BG1816" s="304" t="str">
        <f t="shared" si="1219"/>
        <v/>
      </c>
      <c r="BH1816" s="28"/>
      <c r="BI1816" s="304" t="str">
        <f t="shared" si="1220"/>
        <v/>
      </c>
      <c r="BJ1816" s="304" t="str">
        <f t="shared" si="1220"/>
        <v/>
      </c>
      <c r="BK1816" s="28"/>
      <c r="BL1816" s="304" t="str">
        <f t="shared" si="1221"/>
        <v/>
      </c>
      <c r="BM1816" s="304" t="str">
        <f t="shared" si="1221"/>
        <v/>
      </c>
      <c r="BN1816" s="28"/>
      <c r="BO1816" s="304" t="str">
        <f t="shared" si="1222"/>
        <v/>
      </c>
      <c r="BP1816" s="304" t="str">
        <f t="shared" si="1222"/>
        <v/>
      </c>
      <c r="BQ1816" s="28"/>
      <c r="BR1816" s="304" t="str">
        <f t="shared" si="1223"/>
        <v/>
      </c>
      <c r="BS1816" s="304" t="str">
        <f t="shared" si="1223"/>
        <v/>
      </c>
      <c r="BT1816" s="28"/>
      <c r="BU1816" s="304" t="str">
        <f t="shared" si="1224"/>
        <v/>
      </c>
      <c r="BV1816" s="304" t="str">
        <f t="shared" si="1224"/>
        <v/>
      </c>
      <c r="BW1816" s="28"/>
      <c r="BX1816" s="91"/>
    </row>
    <row r="1817" spans="1:76" s="55" customFormat="1" x14ac:dyDescent="0.25">
      <c r="A1817" s="195">
        <v>18</v>
      </c>
      <c r="B1817" s="216" t="str">
        <f t="shared" si="1227"/>
        <v xml:space="preserve">: </v>
      </c>
      <c r="C1817" s="221"/>
      <c r="D1817" s="221"/>
      <c r="E1817" s="221"/>
      <c r="F1817" s="221"/>
      <c r="G1817" s="240"/>
      <c r="H1817" s="221"/>
      <c r="I1817" s="240"/>
      <c r="J1817" s="241"/>
      <c r="K1817" s="241"/>
      <c r="L1817" s="227"/>
      <c r="M1817" s="227"/>
      <c r="N1817" s="227"/>
      <c r="O1817" s="227"/>
      <c r="P1817" s="122"/>
      <c r="Q1817" s="228"/>
      <c r="R1817" s="231" t="str">
        <f t="shared" si="1225"/>
        <v/>
      </c>
      <c r="S1817" s="230" t="str">
        <f t="shared" si="1214"/>
        <v/>
      </c>
      <c r="T1817" s="231" t="str">
        <f>IF(OR(Q1817="Y",IFERROR(R1817&gt;R1820+R1824*$AA$35,0),IFERROR(R1817&lt;R1820-R1824*$AA$35,0)),"",IFERROR(R1817*N1817,""))</f>
        <v/>
      </c>
      <c r="U1817" s="232" t="str">
        <f t="shared" si="1215"/>
        <v/>
      </c>
      <c r="V1817" s="28"/>
      <c r="W1817" s="28"/>
      <c r="Y1817" s="91"/>
      <c r="AO1817" s="91"/>
      <c r="AP1817" s="28"/>
      <c r="AQ1817" s="28"/>
      <c r="AR1817" s="237"/>
      <c r="AS1817" s="28"/>
      <c r="AT1817" s="304" t="str">
        <f t="shared" si="1226"/>
        <v/>
      </c>
      <c r="AU1817" s="304" t="str">
        <f t="shared" si="1226"/>
        <v/>
      </c>
      <c r="AV1817" s="28"/>
      <c r="AW1817" s="304" t="str">
        <f t="shared" si="1216"/>
        <v/>
      </c>
      <c r="AX1817" s="304" t="str">
        <f t="shared" si="1216"/>
        <v/>
      </c>
      <c r="AY1817" s="28"/>
      <c r="AZ1817" s="304" t="str">
        <f t="shared" si="1217"/>
        <v/>
      </c>
      <c r="BA1817" s="304" t="str">
        <f t="shared" si="1217"/>
        <v/>
      </c>
      <c r="BB1817" s="28"/>
      <c r="BC1817" s="304" t="str">
        <f t="shared" si="1218"/>
        <v/>
      </c>
      <c r="BD1817" s="304" t="str">
        <f t="shared" si="1218"/>
        <v/>
      </c>
      <c r="BE1817" s="28"/>
      <c r="BF1817" s="304" t="str">
        <f t="shared" si="1219"/>
        <v/>
      </c>
      <c r="BG1817" s="304" t="str">
        <f t="shared" si="1219"/>
        <v/>
      </c>
      <c r="BH1817" s="28"/>
      <c r="BI1817" s="304" t="str">
        <f t="shared" si="1220"/>
        <v/>
      </c>
      <c r="BJ1817" s="304" t="str">
        <f t="shared" si="1220"/>
        <v/>
      </c>
      <c r="BK1817" s="28"/>
      <c r="BL1817" s="304" t="str">
        <f t="shared" si="1221"/>
        <v/>
      </c>
      <c r="BM1817" s="304" t="str">
        <f t="shared" si="1221"/>
        <v/>
      </c>
      <c r="BN1817" s="28"/>
      <c r="BO1817" s="304" t="str">
        <f t="shared" si="1222"/>
        <v/>
      </c>
      <c r="BP1817" s="304" t="str">
        <f t="shared" si="1222"/>
        <v/>
      </c>
      <c r="BQ1817" s="28"/>
      <c r="BR1817" s="304" t="str">
        <f t="shared" si="1223"/>
        <v/>
      </c>
      <c r="BS1817" s="304" t="str">
        <f t="shared" si="1223"/>
        <v/>
      </c>
      <c r="BT1817" s="28"/>
      <c r="BU1817" s="304" t="str">
        <f t="shared" si="1224"/>
        <v/>
      </c>
      <c r="BV1817" s="304" t="str">
        <f t="shared" si="1224"/>
        <v/>
      </c>
      <c r="BW1817" s="28"/>
      <c r="BX1817" s="91"/>
    </row>
    <row r="1818" spans="1:76" s="55" customFormat="1" x14ac:dyDescent="0.25">
      <c r="A1818" s="195">
        <v>19</v>
      </c>
      <c r="B1818" s="216" t="str">
        <f t="shared" si="1227"/>
        <v xml:space="preserve">: </v>
      </c>
      <c r="C1818" s="221"/>
      <c r="D1818" s="221"/>
      <c r="E1818" s="221"/>
      <c r="F1818" s="221"/>
      <c r="G1818" s="240"/>
      <c r="H1818" s="221"/>
      <c r="I1818" s="240"/>
      <c r="J1818" s="241"/>
      <c r="K1818" s="241"/>
      <c r="L1818" s="227"/>
      <c r="M1818" s="227"/>
      <c r="N1818" s="227"/>
      <c r="O1818" s="227"/>
      <c r="P1818" s="122"/>
      <c r="Q1818" s="228"/>
      <c r="R1818" s="231" t="str">
        <f t="shared" si="1225"/>
        <v/>
      </c>
      <c r="S1818" s="230" t="str">
        <f t="shared" si="1214"/>
        <v/>
      </c>
      <c r="T1818" s="231" t="str">
        <f>IF(OR(Q1818="Y",IFERROR(R1818&gt;R1820+R1824*$AA$35,0),IFERROR(R1818&lt;R1820-R1824*$AA$35,0)),"",IFERROR(R1818*N1818,""))</f>
        <v/>
      </c>
      <c r="U1818" s="232" t="str">
        <f t="shared" si="1215"/>
        <v/>
      </c>
      <c r="V1818" s="28"/>
      <c r="W1818" s="28"/>
      <c r="Y1818" s="91"/>
      <c r="AO1818" s="91"/>
      <c r="AP1818" s="28"/>
      <c r="AQ1818" s="28"/>
      <c r="AR1818" s="237"/>
      <c r="AS1818" s="28"/>
      <c r="AT1818" s="304" t="str">
        <f t="shared" si="1226"/>
        <v/>
      </c>
      <c r="AU1818" s="304" t="str">
        <f t="shared" si="1226"/>
        <v/>
      </c>
      <c r="AV1818" s="28"/>
      <c r="AW1818" s="304" t="str">
        <f t="shared" si="1216"/>
        <v/>
      </c>
      <c r="AX1818" s="304" t="str">
        <f t="shared" si="1216"/>
        <v/>
      </c>
      <c r="AY1818" s="28"/>
      <c r="AZ1818" s="304" t="str">
        <f t="shared" si="1217"/>
        <v/>
      </c>
      <c r="BA1818" s="304" t="str">
        <f t="shared" si="1217"/>
        <v/>
      </c>
      <c r="BB1818" s="28"/>
      <c r="BC1818" s="304" t="str">
        <f t="shared" si="1218"/>
        <v/>
      </c>
      <c r="BD1818" s="304" t="str">
        <f t="shared" si="1218"/>
        <v/>
      </c>
      <c r="BE1818" s="28"/>
      <c r="BF1818" s="304" t="str">
        <f t="shared" si="1219"/>
        <v/>
      </c>
      <c r="BG1818" s="304" t="str">
        <f t="shared" si="1219"/>
        <v/>
      </c>
      <c r="BH1818" s="28"/>
      <c r="BI1818" s="304" t="str">
        <f t="shared" si="1220"/>
        <v/>
      </c>
      <c r="BJ1818" s="304" t="str">
        <f t="shared" si="1220"/>
        <v/>
      </c>
      <c r="BK1818" s="28"/>
      <c r="BL1818" s="304" t="str">
        <f t="shared" si="1221"/>
        <v/>
      </c>
      <c r="BM1818" s="304" t="str">
        <f t="shared" si="1221"/>
        <v/>
      </c>
      <c r="BN1818" s="28"/>
      <c r="BO1818" s="304" t="str">
        <f t="shared" si="1222"/>
        <v/>
      </c>
      <c r="BP1818" s="304" t="str">
        <f t="shared" si="1222"/>
        <v/>
      </c>
      <c r="BQ1818" s="28"/>
      <c r="BR1818" s="304" t="str">
        <f t="shared" si="1223"/>
        <v/>
      </c>
      <c r="BS1818" s="304" t="str">
        <f t="shared" si="1223"/>
        <v/>
      </c>
      <c r="BT1818" s="28"/>
      <c r="BU1818" s="304" t="str">
        <f t="shared" si="1224"/>
        <v/>
      </c>
      <c r="BV1818" s="304" t="str">
        <f t="shared" si="1224"/>
        <v/>
      </c>
      <c r="BW1818" s="28"/>
      <c r="BX1818" s="91"/>
    </row>
    <row r="1819" spans="1:76" s="55" customFormat="1" x14ac:dyDescent="0.25">
      <c r="A1819" s="195">
        <v>20</v>
      </c>
      <c r="B1819" s="216" t="str">
        <f t="shared" si="1227"/>
        <v xml:space="preserve">: </v>
      </c>
      <c r="C1819" s="221"/>
      <c r="D1819" s="221"/>
      <c r="E1819" s="221"/>
      <c r="F1819" s="221"/>
      <c r="G1819" s="240"/>
      <c r="H1819" s="221"/>
      <c r="I1819" s="240"/>
      <c r="J1819" s="241"/>
      <c r="K1819" s="241"/>
      <c r="L1819" s="227"/>
      <c r="M1819" s="227"/>
      <c r="N1819" s="227"/>
      <c r="O1819" s="227"/>
      <c r="P1819" s="122"/>
      <c r="Q1819" s="228"/>
      <c r="R1819" s="231" t="str">
        <f t="shared" si="1225"/>
        <v/>
      </c>
      <c r="S1819" s="230" t="str">
        <f t="shared" si="1214"/>
        <v/>
      </c>
      <c r="T1819" s="231" t="str">
        <f>IF(OR(Q1819="Y",IFERROR(R1819&gt;R1820+R1824*$AA$35,0),IFERROR(R1819&lt;R1820-R1824*$AA$35,0)),"",IFERROR(R1819*N1819,""))</f>
        <v/>
      </c>
      <c r="U1819" s="232" t="str">
        <f t="shared" si="1215"/>
        <v/>
      </c>
      <c r="V1819" s="28"/>
      <c r="W1819" s="28"/>
      <c r="Y1819" s="91"/>
      <c r="AO1819" s="91"/>
      <c r="AP1819" s="28"/>
      <c r="AQ1819" s="28"/>
      <c r="AR1819" s="237"/>
      <c r="AS1819" s="28"/>
      <c r="AT1819" s="304" t="str">
        <f t="shared" si="1226"/>
        <v/>
      </c>
      <c r="AU1819" s="304" t="str">
        <f t="shared" si="1226"/>
        <v/>
      </c>
      <c r="AV1819" s="28"/>
      <c r="AW1819" s="304" t="str">
        <f t="shared" si="1216"/>
        <v/>
      </c>
      <c r="AX1819" s="304" t="str">
        <f t="shared" si="1216"/>
        <v/>
      </c>
      <c r="AY1819" s="28"/>
      <c r="AZ1819" s="304" t="str">
        <f t="shared" si="1217"/>
        <v/>
      </c>
      <c r="BA1819" s="304" t="str">
        <f t="shared" si="1217"/>
        <v/>
      </c>
      <c r="BB1819" s="28"/>
      <c r="BC1819" s="304" t="str">
        <f t="shared" si="1218"/>
        <v/>
      </c>
      <c r="BD1819" s="304" t="str">
        <f t="shared" si="1218"/>
        <v/>
      </c>
      <c r="BE1819" s="28"/>
      <c r="BF1819" s="304" t="str">
        <f t="shared" si="1219"/>
        <v/>
      </c>
      <c r="BG1819" s="304" t="str">
        <f t="shared" si="1219"/>
        <v/>
      </c>
      <c r="BH1819" s="28"/>
      <c r="BI1819" s="304" t="str">
        <f t="shared" si="1220"/>
        <v/>
      </c>
      <c r="BJ1819" s="304" t="str">
        <f t="shared" si="1220"/>
        <v/>
      </c>
      <c r="BK1819" s="28"/>
      <c r="BL1819" s="304" t="str">
        <f t="shared" si="1221"/>
        <v/>
      </c>
      <c r="BM1819" s="304" t="str">
        <f t="shared" si="1221"/>
        <v/>
      </c>
      <c r="BN1819" s="28"/>
      <c r="BO1819" s="304" t="str">
        <f t="shared" si="1222"/>
        <v/>
      </c>
      <c r="BP1819" s="304" t="str">
        <f t="shared" si="1222"/>
        <v/>
      </c>
      <c r="BQ1819" s="28"/>
      <c r="BR1819" s="304" t="str">
        <f t="shared" si="1223"/>
        <v/>
      </c>
      <c r="BS1819" s="304" t="str">
        <f t="shared" si="1223"/>
        <v/>
      </c>
      <c r="BT1819" s="28"/>
      <c r="BU1819" s="304" t="str">
        <f t="shared" si="1224"/>
        <v/>
      </c>
      <c r="BV1819" s="304" t="str">
        <f t="shared" si="1224"/>
        <v/>
      </c>
      <c r="BW1819" s="28"/>
      <c r="BX1819" s="91"/>
    </row>
    <row r="1820" spans="1:76" s="55" customFormat="1" x14ac:dyDescent="0.25">
      <c r="A1820" s="195"/>
      <c r="B1820" s="244" t="s">
        <v>163</v>
      </c>
      <c r="C1820" s="199"/>
      <c r="D1820" s="199"/>
      <c r="E1820" s="199"/>
      <c r="F1820" s="199"/>
      <c r="H1820" s="28"/>
      <c r="I1820" s="245"/>
      <c r="J1820" s="122"/>
      <c r="K1820" s="122"/>
      <c r="L1820" s="122" t="s">
        <v>134</v>
      </c>
      <c r="M1820" s="122"/>
      <c r="N1820" s="122"/>
      <c r="O1820" s="122"/>
      <c r="P1820" s="122"/>
      <c r="Q1820" s="305" t="s">
        <v>136</v>
      </c>
      <c r="R1820" s="246" t="e">
        <f>AVERAGE(R1800:R1819)</f>
        <v>#DIV/0!</v>
      </c>
      <c r="S1820" s="247" t="e">
        <f>IF(R1828="Y",SUM(S1800:S1819)/SUMPRODUCT(N1800:N1819,--ISNUMBER(S1800:S1819)),AVERAGE(S1800:S1819))</f>
        <v>#DIV/0!</v>
      </c>
      <c r="T1820" s="248" t="e">
        <f>SUM(T1800:T1819)/SUMPRODUCT(N1800:N1819,--ISNUMBER(T1800:T1819))</f>
        <v>#DIV/0!</v>
      </c>
      <c r="U1820" s="28"/>
      <c r="V1820" s="28"/>
      <c r="W1820" s="28"/>
      <c r="Y1820" s="249"/>
      <c r="AO1820" s="91"/>
      <c r="AP1820" s="28"/>
      <c r="AQ1820" s="28"/>
      <c r="AR1820" s="28"/>
      <c r="AS1820" s="245" t="s">
        <v>136</v>
      </c>
      <c r="AT1820" s="307" t="e">
        <f>AVERAGE(AT1800:AT1819)</f>
        <v>#DIV/0!</v>
      </c>
      <c r="AU1820" s="307" t="e">
        <f>SUM(AU1800:AU1819)/COUNTIF(AU1800:AU1819,"&gt;0")</f>
        <v>#DIV/0!</v>
      </c>
      <c r="AV1820" s="245"/>
      <c r="AW1820" s="307" t="e">
        <f>AVERAGE(AW1800:AW1819)</f>
        <v>#DIV/0!</v>
      </c>
      <c r="AX1820" s="307" t="e">
        <f>SUM(AX1800:AX1819)/COUNTIF(AX1800:AX1819,"&gt;0")</f>
        <v>#DIV/0!</v>
      </c>
      <c r="AY1820" s="28"/>
      <c r="AZ1820" s="307" t="e">
        <f>AVERAGE(AZ1800:AZ1819)</f>
        <v>#DIV/0!</v>
      </c>
      <c r="BA1820" s="307" t="e">
        <f>SUM(BA1800:BA1819)/COUNTIF(BA1800:BA1819,"&gt;0")</f>
        <v>#DIV/0!</v>
      </c>
      <c r="BB1820" s="28"/>
      <c r="BC1820" s="307" t="e">
        <f>AVERAGE(BC1800:BC1819)</f>
        <v>#DIV/0!</v>
      </c>
      <c r="BD1820" s="307" t="e">
        <f>SUM(BD1800:BD1819)/COUNTIF(BD1800:BD1819,"&gt;0")</f>
        <v>#DIV/0!</v>
      </c>
      <c r="BE1820" s="28"/>
      <c r="BF1820" s="307" t="e">
        <f>AVERAGE(BF1800:BF1819)</f>
        <v>#DIV/0!</v>
      </c>
      <c r="BG1820" s="307" t="e">
        <f>SUM(BG1800:BG1819)/COUNTIF(BG1800:BG1819,"&gt;0")</f>
        <v>#DIV/0!</v>
      </c>
      <c r="BH1820" s="28"/>
      <c r="BI1820" s="307" t="e">
        <f>AVERAGE(BI1800:BI1819)</f>
        <v>#DIV/0!</v>
      </c>
      <c r="BJ1820" s="307" t="e">
        <f>SUM(BJ1800:BJ1819)/COUNTIF(BJ1800:BJ1819,"&gt;0")</f>
        <v>#DIV/0!</v>
      </c>
      <c r="BK1820" s="245"/>
      <c r="BL1820" s="307" t="e">
        <f>AVERAGE(BL1800:BL1819)</f>
        <v>#DIV/0!</v>
      </c>
      <c r="BM1820" s="307" t="e">
        <f>SUM(BM1800:BM1819)/COUNTIF(BM1800:BM1819,"&gt;0")</f>
        <v>#DIV/0!</v>
      </c>
      <c r="BN1820" s="28"/>
      <c r="BO1820" s="307" t="e">
        <f>AVERAGE(BO1800:BO1819)</f>
        <v>#DIV/0!</v>
      </c>
      <c r="BP1820" s="307" t="e">
        <f>SUM(BP1800:BP1819)/COUNTIF(BP1800:BP1819,"&gt;0")</f>
        <v>#DIV/0!</v>
      </c>
      <c r="BQ1820" s="28"/>
      <c r="BR1820" s="307" t="e">
        <f>AVERAGE(BR1800:BR1819)</f>
        <v>#DIV/0!</v>
      </c>
      <c r="BS1820" s="307" t="e">
        <f>SUM(BS1800:BS1819)/COUNTIF(BS1800:BS1819,"&gt;0")</f>
        <v>#DIV/0!</v>
      </c>
      <c r="BT1820" s="28"/>
      <c r="BU1820" s="307" t="e">
        <f>AVERAGE(BU1800:BU1819)</f>
        <v>#DIV/0!</v>
      </c>
      <c r="BV1820" s="307" t="e">
        <f>SUM(BV1800:BV1819)/COUNTIF(BV1800:BV1819,"&gt;0")</f>
        <v>#DIV/0!</v>
      </c>
      <c r="BW1820" s="28"/>
      <c r="BX1820" s="91"/>
    </row>
    <row r="1821" spans="1:76" s="55" customFormat="1" x14ac:dyDescent="0.25">
      <c r="A1821" s="195"/>
      <c r="B1821" s="244" t="s">
        <v>164</v>
      </c>
      <c r="C1821" s="199" t="s">
        <v>139</v>
      </c>
      <c r="D1821" s="252"/>
      <c r="E1821" s="253"/>
      <c r="F1821" s="253"/>
      <c r="G1821" s="253"/>
      <c r="H1821" s="253"/>
      <c r="I1821" s="253"/>
      <c r="J1821" s="254"/>
      <c r="K1821" s="122"/>
      <c r="L1821" s="122"/>
      <c r="M1821" s="122"/>
      <c r="N1821" s="122"/>
      <c r="O1821" s="122"/>
      <c r="P1821" s="122"/>
      <c r="Q1821" s="306" t="s">
        <v>144</v>
      </c>
      <c r="R1821" s="257" t="e">
        <f>R1820+U1821*R1824</f>
        <v>#DIV/0!</v>
      </c>
      <c r="S1821" s="257" t="e">
        <f>S1820+U1821*S1824</f>
        <v>#DIV/0!</v>
      </c>
      <c r="T1821" s="257" t="e">
        <f>T1820+U1821*T1824</f>
        <v>#DIV/0!</v>
      </c>
      <c r="U1821" s="258">
        <v>1</v>
      </c>
      <c r="V1821" s="122" t="s">
        <v>142</v>
      </c>
      <c r="W1821" s="28"/>
      <c r="X1821" s="259" t="s">
        <v>143</v>
      </c>
      <c r="Y1821" s="260"/>
      <c r="AO1821" s="91"/>
      <c r="AP1821" s="28"/>
      <c r="AQ1821" s="28"/>
      <c r="AR1821" s="28"/>
      <c r="AS1821" s="256" t="s">
        <v>144</v>
      </c>
      <c r="AT1821" s="261" t="e">
        <f>AT1820+(AT1826*AT1823)</f>
        <v>#DIV/0!</v>
      </c>
      <c r="AU1821" s="261" t="e">
        <f>AU1820+(AU1826*AT1823)</f>
        <v>#DIV/0!</v>
      </c>
      <c r="AV1821" s="256"/>
      <c r="AW1821" s="261" t="e">
        <f>AW1820+(AW1826*AW1823)</f>
        <v>#DIV/0!</v>
      </c>
      <c r="AX1821" s="261" t="e">
        <f>AX1820+(AX1826*AW1823)</f>
        <v>#DIV/0!</v>
      </c>
      <c r="AY1821" s="28"/>
      <c r="AZ1821" s="261" t="e">
        <f>AZ1820+(AZ1826*AZ1823)</f>
        <v>#DIV/0!</v>
      </c>
      <c r="BA1821" s="261" t="e">
        <f>BA1820+(BA1826*AZ1823)</f>
        <v>#DIV/0!</v>
      </c>
      <c r="BB1821" s="28"/>
      <c r="BC1821" s="261" t="e">
        <f>BC1820+(BC1826*BC1823)</f>
        <v>#DIV/0!</v>
      </c>
      <c r="BD1821" s="261" t="e">
        <f>BD1820+(BD1826*BC1823)</f>
        <v>#DIV/0!</v>
      </c>
      <c r="BE1821" s="28"/>
      <c r="BF1821" s="261" t="e">
        <f>BF1820+(BF1826*BF1823)</f>
        <v>#DIV/0!</v>
      </c>
      <c r="BG1821" s="261" t="e">
        <f>BG1820+(BG1826*BF1823)</f>
        <v>#DIV/0!</v>
      </c>
      <c r="BH1821" s="28"/>
      <c r="BI1821" s="261" t="e">
        <f>BI1820+(BI1826*BI1823)</f>
        <v>#DIV/0!</v>
      </c>
      <c r="BJ1821" s="261" t="e">
        <f>BJ1820+(BJ1826*BI1823)</f>
        <v>#DIV/0!</v>
      </c>
      <c r="BK1821" s="256"/>
      <c r="BL1821" s="261" t="e">
        <f>BL1820+(BL1826*BL1823)</f>
        <v>#DIV/0!</v>
      </c>
      <c r="BM1821" s="261" t="e">
        <f>BM1820+(BM1826*BL1823)</f>
        <v>#DIV/0!</v>
      </c>
      <c r="BN1821" s="28"/>
      <c r="BO1821" s="261" t="e">
        <f>BO1820+(BO1826*BO1823)</f>
        <v>#DIV/0!</v>
      </c>
      <c r="BP1821" s="261" t="e">
        <f>BP1820+(BP1826*BO1823)</f>
        <v>#DIV/0!</v>
      </c>
      <c r="BQ1821" s="28"/>
      <c r="BR1821" s="261" t="e">
        <f>BR1820+(BR1826*BR1823)</f>
        <v>#DIV/0!</v>
      </c>
      <c r="BS1821" s="261" t="e">
        <f>BS1820+(BS1826*BR1823)</f>
        <v>#DIV/0!</v>
      </c>
      <c r="BT1821" s="28"/>
      <c r="BU1821" s="261" t="e">
        <f>BU1820+(BU1826*BU1823)</f>
        <v>#DIV/0!</v>
      </c>
      <c r="BV1821" s="261" t="e">
        <f>BV1820+(BV1826*BU1823)</f>
        <v>#DIV/0!</v>
      </c>
      <c r="BW1821" s="28"/>
      <c r="BX1821" s="91"/>
    </row>
    <row r="1822" spans="1:76" s="55" customFormat="1" x14ac:dyDescent="0.25">
      <c r="A1822" s="195"/>
      <c r="B1822" s="244" t="s">
        <v>165</v>
      </c>
      <c r="C1822" s="195"/>
      <c r="D1822" s="263"/>
      <c r="E1822" s="264"/>
      <c r="F1822" s="264"/>
      <c r="G1822" s="264"/>
      <c r="H1822" s="264"/>
      <c r="I1822" s="264"/>
      <c r="J1822" s="265"/>
      <c r="K1822" s="28"/>
      <c r="L1822" s="28"/>
      <c r="M1822" s="122"/>
      <c r="N1822" s="122"/>
      <c r="O1822" s="122"/>
      <c r="P1822" s="122"/>
      <c r="Q1822" s="306" t="s">
        <v>150</v>
      </c>
      <c r="R1822" s="257" t="e">
        <f>IF($X1822="Y",MIN(R1800:R1819),R1820-$U1822*R1824)</f>
        <v>#DIV/0!</v>
      </c>
      <c r="S1822" s="257" t="e">
        <f>IF($X1822="Y",MIN(S1800:S1819),S1820-$U1822*S1824)</f>
        <v>#DIV/0!</v>
      </c>
      <c r="T1822" s="257" t="e">
        <f>IF($X1822="Y",MIN(T1800:T1819),T1820-$U1822*T1824)</f>
        <v>#DIV/0!</v>
      </c>
      <c r="U1822" s="258">
        <v>1</v>
      </c>
      <c r="V1822" s="122" t="s">
        <v>148</v>
      </c>
      <c r="W1822" s="28"/>
      <c r="X1822" s="266" t="s">
        <v>149</v>
      </c>
      <c r="Y1822" s="260"/>
      <c r="AO1822" s="91"/>
      <c r="AP1822" s="28"/>
      <c r="AQ1822" s="28"/>
      <c r="AR1822" s="28"/>
      <c r="AS1822" s="256" t="s">
        <v>150</v>
      </c>
      <c r="AT1822" s="261" t="e">
        <f>AT1820-(AT1826*AT1824)</f>
        <v>#DIV/0!</v>
      </c>
      <c r="AU1822" s="261" t="e">
        <f>AU1820-(AU1826*AT1824)</f>
        <v>#DIV/0!</v>
      </c>
      <c r="AV1822" s="256"/>
      <c r="AW1822" s="261" t="e">
        <f>AW1820-(AW1826*AW1824)</f>
        <v>#DIV/0!</v>
      </c>
      <c r="AX1822" s="261" t="e">
        <f>AX1820-(AX1826*AW1824)</f>
        <v>#DIV/0!</v>
      </c>
      <c r="AY1822" s="28"/>
      <c r="AZ1822" s="261" t="e">
        <f>AZ1820-(AZ1826*AZ1824)</f>
        <v>#DIV/0!</v>
      </c>
      <c r="BA1822" s="261" t="e">
        <f>BA1820-(BA1826*AZ1824)</f>
        <v>#DIV/0!</v>
      </c>
      <c r="BB1822" s="28"/>
      <c r="BC1822" s="261" t="e">
        <f>BC1820-(BC1826*BC1824)</f>
        <v>#DIV/0!</v>
      </c>
      <c r="BD1822" s="261" t="e">
        <f>BD1820-(BD1826*BC1824)</f>
        <v>#DIV/0!</v>
      </c>
      <c r="BE1822" s="28"/>
      <c r="BF1822" s="261" t="e">
        <f>BF1820-(BF1826*BF1824)</f>
        <v>#DIV/0!</v>
      </c>
      <c r="BG1822" s="261" t="e">
        <f>BG1820-(BG1826*BF1824)</f>
        <v>#DIV/0!</v>
      </c>
      <c r="BH1822" s="28"/>
      <c r="BI1822" s="261" t="e">
        <f>BI1820-(BI1826*BI1824)</f>
        <v>#DIV/0!</v>
      </c>
      <c r="BJ1822" s="261" t="e">
        <f>BJ1820-(BJ1826*BI1824)</f>
        <v>#DIV/0!</v>
      </c>
      <c r="BK1822" s="256"/>
      <c r="BL1822" s="261" t="e">
        <f>BL1820-(BL1826*BL1824)</f>
        <v>#DIV/0!</v>
      </c>
      <c r="BM1822" s="261" t="e">
        <f>BM1820-(BM1826*BL1824)</f>
        <v>#DIV/0!</v>
      </c>
      <c r="BN1822" s="28"/>
      <c r="BO1822" s="261" t="e">
        <f>BO1820-(BO1826*BO1824)</f>
        <v>#DIV/0!</v>
      </c>
      <c r="BP1822" s="261" t="e">
        <f>BP1820-(BP1826*BO1824)</f>
        <v>#DIV/0!</v>
      </c>
      <c r="BQ1822" s="28"/>
      <c r="BR1822" s="261" t="e">
        <f>BR1820-(BR1826*BR1824)</f>
        <v>#DIV/0!</v>
      </c>
      <c r="BS1822" s="261" t="e">
        <f>BS1820-(BS1826*BR1824)</f>
        <v>#DIV/0!</v>
      </c>
      <c r="BT1822" s="28"/>
      <c r="BU1822" s="261" t="e">
        <f>BU1820-(BU1826*BU1824)</f>
        <v>#DIV/0!</v>
      </c>
      <c r="BV1822" s="261" t="e">
        <f>BV1820-(BV1826*BU1824)</f>
        <v>#DIV/0!</v>
      </c>
      <c r="BW1822" s="28"/>
      <c r="BX1822" s="91"/>
    </row>
    <row r="1823" spans="1:76" s="55" customFormat="1" ht="14.25" x14ac:dyDescent="0.2">
      <c r="A1823" s="195"/>
      <c r="B1823" s="196"/>
      <c r="C1823" s="195"/>
      <c r="D1823" s="263"/>
      <c r="E1823" s="264"/>
      <c r="F1823" s="264"/>
      <c r="G1823" s="264"/>
      <c r="H1823" s="264"/>
      <c r="I1823" s="264"/>
      <c r="J1823" s="265"/>
      <c r="K1823" s="122"/>
      <c r="L1823" s="122"/>
      <c r="M1823" s="122"/>
      <c r="N1823" s="122"/>
      <c r="O1823" s="122"/>
      <c r="P1823" s="122"/>
      <c r="Q1823" s="306" t="s">
        <v>151</v>
      </c>
      <c r="R1823" s="257" t="e">
        <f>IF((0.67*R1824)&gt;R1820,"no","yes")</f>
        <v>#DIV/0!</v>
      </c>
      <c r="S1823" s="257" t="e">
        <f>IF((0.67*S1824)&gt;S1820,"no","yes")</f>
        <v>#DIV/0!</v>
      </c>
      <c r="T1823" s="257" t="e">
        <f>IF((0.67*T1824)&gt;T1820,"no","yes")</f>
        <v>#DIV/0!</v>
      </c>
      <c r="U1823" s="122"/>
      <c r="V1823" s="122"/>
      <c r="W1823" s="122"/>
      <c r="Y1823" s="260"/>
      <c r="AO1823" s="91"/>
      <c r="AP1823" s="122"/>
      <c r="AQ1823" s="122"/>
      <c r="AR1823" s="267" t="s">
        <v>152</v>
      </c>
      <c r="AS1823" s="268"/>
      <c r="AT1823" s="258">
        <v>1</v>
      </c>
      <c r="AU1823" s="122"/>
      <c r="AV1823" s="308"/>
      <c r="AW1823" s="258">
        <v>1</v>
      </c>
      <c r="AX1823" s="122"/>
      <c r="AY1823" s="122"/>
      <c r="AZ1823" s="258">
        <v>1</v>
      </c>
      <c r="BA1823" s="122"/>
      <c r="BB1823" s="122"/>
      <c r="BC1823" s="258">
        <v>1</v>
      </c>
      <c r="BD1823" s="122"/>
      <c r="BE1823" s="122"/>
      <c r="BF1823" s="258">
        <v>1</v>
      </c>
      <c r="BG1823" s="122"/>
      <c r="BH1823" s="122"/>
      <c r="BI1823" s="258">
        <v>1</v>
      </c>
      <c r="BJ1823" s="122"/>
      <c r="BK1823" s="256"/>
      <c r="BL1823" s="258">
        <v>1</v>
      </c>
      <c r="BM1823" s="122"/>
      <c r="BN1823" s="122"/>
      <c r="BO1823" s="258">
        <v>1</v>
      </c>
      <c r="BP1823" s="122"/>
      <c r="BQ1823" s="122"/>
      <c r="BR1823" s="258">
        <v>1</v>
      </c>
      <c r="BS1823" s="122"/>
      <c r="BT1823" s="122"/>
      <c r="BU1823" s="258">
        <v>1</v>
      </c>
      <c r="BV1823" s="122"/>
      <c r="BW1823" s="122"/>
      <c r="BX1823" s="91"/>
    </row>
    <row r="1824" spans="1:76" s="55" customFormat="1" ht="28.5" x14ac:dyDescent="0.2">
      <c r="A1824" s="195"/>
      <c r="B1824" s="196"/>
      <c r="C1824" s="195"/>
      <c r="D1824" s="263"/>
      <c r="E1824" s="264"/>
      <c r="F1824" s="264"/>
      <c r="G1824" s="264"/>
      <c r="H1824" s="264"/>
      <c r="I1824" s="264"/>
      <c r="J1824" s="265"/>
      <c r="K1824" s="122"/>
      <c r="L1824" s="122"/>
      <c r="M1824" s="122"/>
      <c r="N1824" s="122"/>
      <c r="O1824" s="122"/>
      <c r="P1824" s="122"/>
      <c r="Q1824" s="306" t="s">
        <v>157</v>
      </c>
      <c r="R1824" s="257">
        <f>IF(COUNT(R1800:R1819)&gt;1,_xlfn.STDEV.S(R1800:R1819),0)</f>
        <v>0</v>
      </c>
      <c r="S1824" s="257" t="e">
        <f t="array" ref="S1824">IF(R1828="Y",SQRT(SUM(IFERROR(N1800:N1819*(R1800:R1819-(S1820))^2,0))/((COUNT(S1800:S1819)-1)/COUNT(S1800:S1819)*SUMPRODUCT(N1800:N1819,--ISNUMBER(S1800:S1819)))),_xlfn.STDEV.S(S1800:S1819))</f>
        <v>#DIV/0!</v>
      </c>
      <c r="T1824" s="257" t="e">
        <f t="array" ref="T1824">SQRT(SUM(IFERROR(N1800:N1819*(R1800:R1819-(T1820))^2,0))/((COUNT(T1800:T1819)-1)/COUNT(T1800:T1819)*SUMPRODUCT(N1800:N1819,--ISNUMBER(T1800:T1819))))</f>
        <v>#DIV/0!</v>
      </c>
      <c r="U1824" s="122"/>
      <c r="V1824" s="122"/>
      <c r="W1824" s="122"/>
      <c r="Y1824" s="260"/>
      <c r="AO1824" s="91"/>
      <c r="AP1824" s="122"/>
      <c r="AQ1824" s="122"/>
      <c r="AR1824" s="267"/>
      <c r="AS1824" s="268"/>
      <c r="AT1824" s="258">
        <v>1</v>
      </c>
      <c r="AU1824" s="122"/>
      <c r="AV1824" s="308"/>
      <c r="AW1824" s="258">
        <v>1</v>
      </c>
      <c r="AX1824" s="122"/>
      <c r="AY1824" s="122"/>
      <c r="AZ1824" s="258">
        <v>1</v>
      </c>
      <c r="BA1824" s="122"/>
      <c r="BB1824" s="122"/>
      <c r="BC1824" s="258">
        <v>1</v>
      </c>
      <c r="BD1824" s="122"/>
      <c r="BE1824" s="122"/>
      <c r="BF1824" s="258">
        <v>1</v>
      </c>
      <c r="BG1824" s="122"/>
      <c r="BH1824" s="122"/>
      <c r="BI1824" s="258">
        <v>1</v>
      </c>
      <c r="BJ1824" s="122"/>
      <c r="BK1824" s="256"/>
      <c r="BL1824" s="258">
        <v>1</v>
      </c>
      <c r="BM1824" s="122"/>
      <c r="BN1824" s="122"/>
      <c r="BO1824" s="258">
        <v>1</v>
      </c>
      <c r="BP1824" s="122"/>
      <c r="BQ1824" s="122"/>
      <c r="BR1824" s="258">
        <v>1</v>
      </c>
      <c r="BS1824" s="122"/>
      <c r="BT1824" s="122"/>
      <c r="BU1824" s="258">
        <v>1</v>
      </c>
      <c r="BV1824" s="122"/>
      <c r="BW1824" s="122"/>
      <c r="BX1824" s="91"/>
    </row>
    <row r="1825" spans="1:76" s="55" customFormat="1" ht="15" customHeight="1" x14ac:dyDescent="0.25">
      <c r="A1825" s="122"/>
      <c r="B1825" s="118"/>
      <c r="C1825" s="195"/>
      <c r="D1825" s="263"/>
      <c r="E1825" s="264"/>
      <c r="F1825" s="264"/>
      <c r="G1825" s="264"/>
      <c r="H1825" s="264"/>
      <c r="I1825" s="264"/>
      <c r="J1825" s="265"/>
      <c r="K1825" s="122"/>
      <c r="L1825" s="122"/>
      <c r="M1825" s="122"/>
      <c r="N1825" s="122"/>
      <c r="O1825" s="122"/>
      <c r="P1825" s="122"/>
      <c r="Q1825" s="309" t="s">
        <v>159</v>
      </c>
      <c r="R1825" s="310">
        <f>COUNT(R1800:R1819)</f>
        <v>0</v>
      </c>
      <c r="S1825" s="310">
        <f>COUNT(S1800:S1819)</f>
        <v>0</v>
      </c>
      <c r="T1825" s="118"/>
      <c r="U1825" s="273" t="s">
        <v>155</v>
      </c>
      <c r="V1825" s="122"/>
      <c r="W1825" s="122"/>
      <c r="Y1825" s="91"/>
      <c r="AO1825" s="91"/>
      <c r="AP1825" s="122"/>
      <c r="AQ1825" s="122"/>
      <c r="AR1825" s="122"/>
      <c r="AS1825" s="256" t="s">
        <v>151</v>
      </c>
      <c r="AT1825" s="261" t="e">
        <f>IF((0.67*AT1826)&gt;AT1820,"no","yes")</f>
        <v>#DIV/0!</v>
      </c>
      <c r="AU1825" s="261" t="e">
        <f>IF((0.67*AU1826)&gt;AU1820,"no","yes")</f>
        <v>#DIV/0!</v>
      </c>
      <c r="AV1825" s="256"/>
      <c r="AW1825" s="261" t="e">
        <f>IF((0.67*AW1826)&gt;AW1820,"no","yes")</f>
        <v>#DIV/0!</v>
      </c>
      <c r="AX1825" s="261" t="e">
        <f>IF((0.67*AX1826)&gt;AX1820,"no","yes")</f>
        <v>#DIV/0!</v>
      </c>
      <c r="AY1825" s="122"/>
      <c r="AZ1825" s="261" t="e">
        <f>IF((0.67*AZ1826)&gt;AZ1820,"no","yes")</f>
        <v>#DIV/0!</v>
      </c>
      <c r="BA1825" s="261" t="e">
        <f>IF((0.67*BA1826)&gt;BA1820,"no","yes")</f>
        <v>#DIV/0!</v>
      </c>
      <c r="BB1825" s="122"/>
      <c r="BC1825" s="261" t="e">
        <f>IF((0.67*BC1826)&gt;BC1820,"no","yes")</f>
        <v>#DIV/0!</v>
      </c>
      <c r="BD1825" s="261" t="e">
        <f>IF((0.67*BD1826)&gt;BD1820,"no","yes")</f>
        <v>#DIV/0!</v>
      </c>
      <c r="BE1825" s="122"/>
      <c r="BF1825" s="261" t="e">
        <f>IF((0.67*BF1826)&gt;BF1820,"no","yes")</f>
        <v>#DIV/0!</v>
      </c>
      <c r="BG1825" s="261" t="e">
        <f>IF((0.67*BG1826)&gt;BG1820,"no","yes")</f>
        <v>#DIV/0!</v>
      </c>
      <c r="BH1825" s="122"/>
      <c r="BI1825" s="261" t="e">
        <f>IF((0.67*BI1826)&gt;BI1820,"no","yes")</f>
        <v>#DIV/0!</v>
      </c>
      <c r="BJ1825" s="261" t="e">
        <f>IF((0.67*BJ1826)&gt;BJ1820,"no","yes")</f>
        <v>#DIV/0!</v>
      </c>
      <c r="BK1825" s="133"/>
      <c r="BL1825" s="261" t="e">
        <f>IF((0.67*BL1826)&gt;BL1820,"no","yes")</f>
        <v>#DIV/0!</v>
      </c>
      <c r="BM1825" s="261" t="e">
        <f>IF((0.67*BM1826)&gt;BM1820,"no","yes")</f>
        <v>#DIV/0!</v>
      </c>
      <c r="BN1825" s="122"/>
      <c r="BO1825" s="261" t="e">
        <f>IF((0.67*BO1826)&gt;BO1820,"no","yes")</f>
        <v>#DIV/0!</v>
      </c>
      <c r="BP1825" s="261" t="e">
        <f>IF((0.67*BP1826)&gt;BP1820,"no","yes")</f>
        <v>#DIV/0!</v>
      </c>
      <c r="BQ1825" s="122"/>
      <c r="BR1825" s="261" t="e">
        <f>IF((0.67*BR1826)&gt;BR1820,"no","yes")</f>
        <v>#DIV/0!</v>
      </c>
      <c r="BS1825" s="261" t="e">
        <f>IF((0.67*BS1826)&gt;BS1820,"no","yes")</f>
        <v>#DIV/0!</v>
      </c>
      <c r="BT1825" s="122"/>
      <c r="BU1825" s="261" t="e">
        <f>IF((0.67*BU1826)&gt;BU1820,"no","yes")</f>
        <v>#DIV/0!</v>
      </c>
      <c r="BV1825" s="261" t="e">
        <f>IF((0.67*BV1826)&gt;BV1820,"no","yes")</f>
        <v>#DIV/0!</v>
      </c>
      <c r="BW1825" s="122"/>
      <c r="BX1825" s="91"/>
    </row>
    <row r="1826" spans="1:76" s="55" customFormat="1" ht="14.25" x14ac:dyDescent="0.2">
      <c r="B1826" s="23"/>
      <c r="C1826" s="195"/>
      <c r="D1826" s="263"/>
      <c r="E1826" s="264"/>
      <c r="F1826" s="264"/>
      <c r="G1826" s="264"/>
      <c r="H1826" s="264"/>
      <c r="I1826" s="264"/>
      <c r="J1826" s="265"/>
      <c r="K1826" s="122"/>
      <c r="L1826" s="122"/>
      <c r="M1826" s="122"/>
      <c r="N1826" s="122"/>
      <c r="O1826" s="122"/>
      <c r="P1826" s="122"/>
      <c r="Q1826" s="311"/>
      <c r="R1826" s="389"/>
      <c r="S1826" s="118"/>
      <c r="T1826" s="118"/>
      <c r="U1826" s="274"/>
      <c r="V1826" s="275"/>
      <c r="W1826" s="276"/>
      <c r="Y1826" s="91"/>
      <c r="AO1826" s="91"/>
      <c r="AP1826" s="122"/>
      <c r="AQ1826" s="122"/>
      <c r="AR1826" s="122"/>
      <c r="AS1826" s="256" t="s">
        <v>157</v>
      </c>
      <c r="AT1826" s="261">
        <f>IF(AT1827&gt;1,_xlfn.STDEV.S(AT1800:AT1819),0)</f>
        <v>0</v>
      </c>
      <c r="AU1826" s="261">
        <f>IF(AU1827&gt;1,_xlfn.STDEV.S(AU1800:AU1819),0)</f>
        <v>0</v>
      </c>
      <c r="AV1826" s="122"/>
      <c r="AW1826" s="261">
        <f t="shared" ref="AW1826:AX1826" si="1228">IF(AW1827&gt;1,_xlfn.STDEV.S(AW1800:AW1819),0)</f>
        <v>0</v>
      </c>
      <c r="AX1826" s="261">
        <f t="shared" si="1228"/>
        <v>0</v>
      </c>
      <c r="AY1826" s="122"/>
      <c r="AZ1826" s="261">
        <f t="shared" ref="AZ1826:BA1826" si="1229">IF(AZ1827&gt;1,_xlfn.STDEV.S(AZ1800:AZ1819),0)</f>
        <v>0</v>
      </c>
      <c r="BA1826" s="261">
        <f t="shared" si="1229"/>
        <v>0</v>
      </c>
      <c r="BB1826" s="122"/>
      <c r="BC1826" s="261">
        <f t="shared" ref="BC1826:BD1826" si="1230">IF(BC1827&gt;1,_xlfn.STDEV.S(BC1800:BC1819),0)</f>
        <v>0</v>
      </c>
      <c r="BD1826" s="261">
        <f t="shared" si="1230"/>
        <v>0</v>
      </c>
      <c r="BE1826" s="122"/>
      <c r="BF1826" s="261">
        <f t="shared" ref="BF1826:BG1826" si="1231">IF(BF1827&gt;1,_xlfn.STDEV.S(BF1800:BF1819),0)</f>
        <v>0</v>
      </c>
      <c r="BG1826" s="261">
        <f t="shared" si="1231"/>
        <v>0</v>
      </c>
      <c r="BH1826" s="122"/>
      <c r="BI1826" s="261">
        <f t="shared" ref="BI1826:BJ1826" si="1232">IF(BI1827&gt;1,_xlfn.STDEV.S(BI1800:BI1819),0)</f>
        <v>0</v>
      </c>
      <c r="BJ1826" s="261">
        <f t="shared" si="1232"/>
        <v>0</v>
      </c>
      <c r="BK1826" s="122"/>
      <c r="BL1826" s="261">
        <f t="shared" ref="BL1826:BM1826" si="1233">IF(BL1827&gt;1,_xlfn.STDEV.S(BL1800:BL1819),0)</f>
        <v>0</v>
      </c>
      <c r="BM1826" s="261">
        <f t="shared" si="1233"/>
        <v>0</v>
      </c>
      <c r="BN1826" s="122"/>
      <c r="BO1826" s="261">
        <f t="shared" ref="BO1826:BP1826" si="1234">IF(BO1827&gt;1,_xlfn.STDEV.S(BO1800:BO1819),0)</f>
        <v>0</v>
      </c>
      <c r="BP1826" s="261">
        <f t="shared" si="1234"/>
        <v>0</v>
      </c>
      <c r="BQ1826" s="122"/>
      <c r="BR1826" s="261">
        <f t="shared" ref="BR1826:BS1826" si="1235">IF(BR1827&gt;1,_xlfn.STDEV.S(BR1800:BR1819),0)</f>
        <v>0</v>
      </c>
      <c r="BS1826" s="261">
        <f t="shared" si="1235"/>
        <v>0</v>
      </c>
      <c r="BT1826" s="122"/>
      <c r="BU1826" s="261">
        <f t="shared" ref="BU1826:BV1826" si="1236">IF(BU1827&gt;1,_xlfn.STDEV.S(BU1800:BU1819),0)</f>
        <v>0</v>
      </c>
      <c r="BV1826" s="261">
        <f t="shared" si="1236"/>
        <v>0</v>
      </c>
      <c r="BW1826" s="122"/>
      <c r="BX1826" s="91"/>
    </row>
    <row r="1827" spans="1:76" s="55" customFormat="1" x14ac:dyDescent="0.2">
      <c r="B1827" s="23"/>
      <c r="C1827" s="195"/>
      <c r="D1827" s="277"/>
      <c r="E1827" s="278"/>
      <c r="F1827" s="278"/>
      <c r="G1827" s="278"/>
      <c r="H1827" s="278"/>
      <c r="I1827" s="278"/>
      <c r="J1827" s="279"/>
      <c r="K1827" s="122"/>
      <c r="L1827" s="122"/>
      <c r="M1827" s="122"/>
      <c r="N1827" s="122"/>
      <c r="O1827" s="122"/>
      <c r="P1827" s="122"/>
      <c r="Q1827" s="311"/>
      <c r="R1827" s="362" t="s">
        <v>158</v>
      </c>
      <c r="S1827" s="122"/>
      <c r="T1827" s="122"/>
      <c r="U1827" s="281"/>
      <c r="V1827" s="282"/>
      <c r="W1827" s="283"/>
      <c r="Y1827" s="91"/>
      <c r="AO1827" s="91"/>
      <c r="AP1827" s="122"/>
      <c r="AQ1827" s="122"/>
      <c r="AR1827" s="122"/>
      <c r="AS1827" s="133" t="s">
        <v>159</v>
      </c>
      <c r="AT1827" s="284">
        <f>COUNT(AT1800:AT1819)</f>
        <v>0</v>
      </c>
      <c r="AU1827" s="284">
        <f>COUNT(AU1800:AU1819)</f>
        <v>0</v>
      </c>
      <c r="AV1827" s="122"/>
      <c r="AW1827" s="284">
        <f t="shared" ref="AW1827:AX1827" si="1237">COUNT(AW1800:AW1819)</f>
        <v>0</v>
      </c>
      <c r="AX1827" s="284">
        <f t="shared" si="1237"/>
        <v>0</v>
      </c>
      <c r="AY1827" s="122"/>
      <c r="AZ1827" s="284">
        <f t="shared" ref="AZ1827:BA1827" si="1238">COUNT(AZ1800:AZ1819)</f>
        <v>0</v>
      </c>
      <c r="BA1827" s="284">
        <f t="shared" si="1238"/>
        <v>0</v>
      </c>
      <c r="BB1827" s="122"/>
      <c r="BC1827" s="284">
        <f t="shared" ref="BC1827:BD1827" si="1239">COUNT(BC1800:BC1819)</f>
        <v>0</v>
      </c>
      <c r="BD1827" s="284">
        <f t="shared" si="1239"/>
        <v>0</v>
      </c>
      <c r="BE1827" s="122"/>
      <c r="BF1827" s="284">
        <f t="shared" ref="BF1827:BG1827" si="1240">COUNT(BF1800:BF1819)</f>
        <v>0</v>
      </c>
      <c r="BG1827" s="284">
        <f t="shared" si="1240"/>
        <v>0</v>
      </c>
      <c r="BH1827" s="122"/>
      <c r="BI1827" s="284">
        <f t="shared" ref="BI1827:BJ1827" si="1241">COUNT(BI1800:BI1819)</f>
        <v>0</v>
      </c>
      <c r="BJ1827" s="284">
        <f t="shared" si="1241"/>
        <v>0</v>
      </c>
      <c r="BK1827" s="122"/>
      <c r="BL1827" s="284">
        <f t="shared" ref="BL1827:BM1827" si="1242">COUNT(BL1800:BL1819)</f>
        <v>0</v>
      </c>
      <c r="BM1827" s="284">
        <f t="shared" si="1242"/>
        <v>0</v>
      </c>
      <c r="BN1827" s="122"/>
      <c r="BO1827" s="284">
        <f t="shared" ref="BO1827:BP1827" si="1243">COUNT(BO1800:BO1819)</f>
        <v>0</v>
      </c>
      <c r="BP1827" s="284">
        <f t="shared" si="1243"/>
        <v>0</v>
      </c>
      <c r="BQ1827" s="122"/>
      <c r="BR1827" s="284">
        <f t="shared" ref="BR1827:BS1827" si="1244">COUNT(BR1800:BR1819)</f>
        <v>0</v>
      </c>
      <c r="BS1827" s="284">
        <f t="shared" si="1244"/>
        <v>0</v>
      </c>
      <c r="BT1827" s="122"/>
      <c r="BU1827" s="284">
        <f t="shared" ref="BU1827:BV1827" si="1245">COUNT(BU1800:BU1819)</f>
        <v>0</v>
      </c>
      <c r="BV1827" s="284">
        <f t="shared" si="1245"/>
        <v>0</v>
      </c>
      <c r="BW1827" s="122"/>
      <c r="BX1827" s="91"/>
    </row>
    <row r="1828" spans="1:76" s="55" customFormat="1" ht="14.25" x14ac:dyDescent="0.2">
      <c r="B1828" s="23"/>
      <c r="C1828" s="195"/>
      <c r="D1828" s="122"/>
      <c r="E1828" s="122"/>
      <c r="F1828" s="122"/>
      <c r="G1828" s="122"/>
      <c r="H1828" s="122"/>
      <c r="I1828" s="122"/>
      <c r="J1828" s="122"/>
      <c r="K1828" s="122"/>
      <c r="L1828" s="122"/>
      <c r="M1828" s="122"/>
      <c r="N1828" s="122"/>
      <c r="O1828" s="122"/>
      <c r="P1828" s="122"/>
      <c r="Q1828" s="311"/>
      <c r="R1828" s="287" t="s">
        <v>149</v>
      </c>
      <c r="S1828" s="122"/>
      <c r="T1828" s="122"/>
      <c r="U1828" s="281"/>
      <c r="V1828" s="282"/>
      <c r="W1828" s="283"/>
      <c r="Y1828" s="91"/>
      <c r="AO1828" s="91"/>
      <c r="BX1828" s="91"/>
    </row>
    <row r="1829" spans="1:76" s="55" customFormat="1" ht="14.25" x14ac:dyDescent="0.2">
      <c r="B1829" s="23"/>
      <c r="C1829" s="195"/>
      <c r="D1829" s="122"/>
      <c r="E1829" s="122"/>
      <c r="F1829" s="122"/>
      <c r="G1829" s="122"/>
      <c r="H1829" s="122"/>
      <c r="I1829" s="122"/>
      <c r="J1829" s="122"/>
      <c r="K1829" s="122"/>
      <c r="L1829" s="122"/>
      <c r="M1829" s="122"/>
      <c r="N1829" s="122"/>
      <c r="O1829" s="122"/>
      <c r="P1829" s="122"/>
      <c r="Q1829" s="311"/>
      <c r="R1829" s="122"/>
      <c r="S1829" s="122"/>
      <c r="T1829" s="122"/>
      <c r="U1829" s="288"/>
      <c r="V1829" s="289"/>
      <c r="W1829" s="290"/>
      <c r="Y1829" s="91"/>
      <c r="AO1829" s="91"/>
      <c r="BX1829" s="91"/>
    </row>
    <row r="1830" spans="1:76" s="55" customFormat="1" ht="26.25" customHeight="1" x14ac:dyDescent="0.25">
      <c r="A1830" s="270" t="e">
        <f ca="1">HYPERLINK("#"&amp;"'"&amp;A$1&amp;"'!a1","Back to top")</f>
        <v>#VALUE!</v>
      </c>
      <c r="B1830" s="271"/>
      <c r="C1830" s="122"/>
      <c r="Q1830" s="81"/>
      <c r="T1830" s="122"/>
      <c r="U1830" s="122"/>
      <c r="V1830" s="122"/>
      <c r="W1830" s="122"/>
      <c r="Y1830" s="91"/>
      <c r="AO1830" s="296"/>
      <c r="AP1830" s="345"/>
      <c r="AQ1830" s="345"/>
      <c r="AR1830" s="346"/>
      <c r="AS1830" s="346"/>
      <c r="AT1830" s="346"/>
      <c r="AU1830" s="346"/>
      <c r="AV1830" s="346"/>
      <c r="AW1830" s="346"/>
      <c r="AX1830" s="346"/>
      <c r="AY1830" s="346"/>
      <c r="AZ1830" s="346"/>
      <c r="BA1830" s="346"/>
      <c r="BB1830" s="346"/>
      <c r="BC1830" s="346"/>
      <c r="BD1830" s="346"/>
      <c r="BE1830" s="346"/>
      <c r="BF1830" s="346"/>
      <c r="BG1830" s="346"/>
      <c r="BH1830" s="346"/>
      <c r="BI1830" s="346"/>
      <c r="BJ1830" s="346"/>
      <c r="BK1830" s="346"/>
      <c r="BL1830" s="346"/>
      <c r="BM1830" s="346"/>
      <c r="BN1830" s="346"/>
      <c r="BO1830" s="346"/>
      <c r="BP1830" s="346"/>
      <c r="BQ1830" s="346"/>
      <c r="BR1830" s="346"/>
      <c r="BS1830" s="346"/>
      <c r="BT1830" s="346"/>
      <c r="BU1830" s="346"/>
      <c r="BV1830" s="346"/>
      <c r="BW1830" s="346"/>
      <c r="BX1830" s="296"/>
    </row>
    <row r="1831" spans="1:76" s="55" customFormat="1" ht="14.25" x14ac:dyDescent="0.2">
      <c r="B1831" s="23"/>
      <c r="Q1831" s="81"/>
      <c r="Y1831" s="91"/>
      <c r="AO1831" s="91"/>
      <c r="BX1831" s="91"/>
    </row>
    <row r="1832" spans="1:76" s="55" customFormat="1" ht="14.25" x14ac:dyDescent="0.2">
      <c r="B1832" s="23"/>
      <c r="Q1832" s="81"/>
      <c r="Y1832" s="91"/>
      <c r="AO1832" s="91"/>
      <c r="BX1832" s="91"/>
    </row>
    <row r="1833" spans="1:76" s="9" customFormat="1" ht="18" x14ac:dyDescent="0.25">
      <c r="A1833" s="188">
        <f>A1797+1</f>
        <v>33</v>
      </c>
      <c r="B1833" s="189"/>
      <c r="C1833" s="293" t="s">
        <v>776</v>
      </c>
      <c r="D1833" s="191"/>
      <c r="E1833" s="191"/>
      <c r="F1833" s="191"/>
      <c r="G1833" s="191"/>
      <c r="J1833" s="191"/>
      <c r="K1833" s="191"/>
      <c r="L1833" s="192"/>
      <c r="M1833" s="192"/>
      <c r="N1833" s="192"/>
      <c r="Q1833" s="193"/>
      <c r="R1833" s="194" t="s">
        <v>93</v>
      </c>
      <c r="S1833" s="194"/>
      <c r="T1833" s="194"/>
      <c r="U1833" s="194"/>
      <c r="AP1833" s="175">
        <f>A1833</f>
        <v>33</v>
      </c>
      <c r="AQ1833" s="175" t="str">
        <f>C1833</f>
        <v>VARIABLE33</v>
      </c>
    </row>
    <row r="1834" spans="1:76" s="55" customFormat="1" x14ac:dyDescent="0.25">
      <c r="A1834" s="195"/>
      <c r="B1834" s="196"/>
      <c r="C1834" s="195"/>
      <c r="D1834" s="120"/>
      <c r="E1834" s="120"/>
      <c r="F1834" s="120"/>
      <c r="G1834" s="120"/>
      <c r="J1834" s="120"/>
      <c r="K1834" s="120"/>
      <c r="L1834" s="122"/>
      <c r="M1834" s="122"/>
      <c r="N1834" s="122"/>
      <c r="Q1834" s="81"/>
      <c r="Y1834" s="91"/>
      <c r="AO1834" s="91"/>
      <c r="AP1834" s="28"/>
      <c r="AQ1834" s="28"/>
      <c r="AR1834" s="28"/>
      <c r="AS1834" s="28"/>
      <c r="AT1834" s="198" t="s">
        <v>171</v>
      </c>
      <c r="AU1834" s="198"/>
      <c r="AV1834" s="28"/>
      <c r="AW1834" s="198" t="s">
        <v>96</v>
      </c>
      <c r="AX1834" s="198"/>
      <c r="AY1834" s="28"/>
      <c r="AZ1834" s="198" t="s">
        <v>97</v>
      </c>
      <c r="BA1834" s="198"/>
      <c r="BB1834" s="28"/>
      <c r="BC1834" s="198" t="s">
        <v>98</v>
      </c>
      <c r="BD1834" s="198"/>
      <c r="BE1834" s="28"/>
      <c r="BF1834" s="198" t="s">
        <v>99</v>
      </c>
      <c r="BG1834" s="198"/>
      <c r="BH1834" s="28"/>
      <c r="BI1834" s="198" t="s">
        <v>100</v>
      </c>
      <c r="BJ1834" s="198"/>
      <c r="BK1834" s="28"/>
      <c r="BL1834" s="198" t="s">
        <v>101</v>
      </c>
      <c r="BM1834" s="198"/>
      <c r="BN1834" s="28"/>
      <c r="BO1834" s="198" t="s">
        <v>102</v>
      </c>
      <c r="BP1834" s="198"/>
      <c r="BQ1834" s="28"/>
      <c r="BR1834" s="198" t="s">
        <v>103</v>
      </c>
      <c r="BS1834" s="198"/>
      <c r="BT1834" s="28"/>
      <c r="BU1834" s="198" t="s">
        <v>104</v>
      </c>
      <c r="BV1834" s="198"/>
      <c r="BW1834" s="28"/>
      <c r="BX1834" s="91"/>
    </row>
    <row r="1835" spans="1:76" s="55" customFormat="1" ht="30.75" thickBot="1" x14ac:dyDescent="0.3">
      <c r="A1835" s="199" t="s">
        <v>105</v>
      </c>
      <c r="B1835" s="200" t="s">
        <v>106</v>
      </c>
      <c r="C1835" s="201" t="s">
        <v>107</v>
      </c>
      <c r="D1835" s="202" t="s">
        <v>108</v>
      </c>
      <c r="E1835" s="202" t="s">
        <v>109</v>
      </c>
      <c r="F1835" s="201" t="s">
        <v>110</v>
      </c>
      <c r="G1835" s="201" t="s">
        <v>111</v>
      </c>
      <c r="H1835" s="202" t="s">
        <v>112</v>
      </c>
      <c r="I1835" s="203" t="s">
        <v>113</v>
      </c>
      <c r="J1835" s="204" t="s">
        <v>114</v>
      </c>
      <c r="K1835" s="205" t="s">
        <v>115</v>
      </c>
      <c r="L1835" s="206" t="s">
        <v>116</v>
      </c>
      <c r="M1835" s="207" t="s">
        <v>117</v>
      </c>
      <c r="N1835" s="208" t="s">
        <v>118</v>
      </c>
      <c r="O1835" s="207" t="s">
        <v>119</v>
      </c>
      <c r="P1835" s="210"/>
      <c r="Q1835" s="211" t="s">
        <v>120</v>
      </c>
      <c r="R1835" s="212" t="s">
        <v>121</v>
      </c>
      <c r="S1835" s="212" t="s">
        <v>122</v>
      </c>
      <c r="T1835" s="212" t="s">
        <v>123</v>
      </c>
      <c r="U1835" s="213" t="s">
        <v>124</v>
      </c>
      <c r="V1835" s="210"/>
      <c r="W1835" s="210"/>
      <c r="Y1835" s="91"/>
      <c r="AO1835" s="91"/>
      <c r="AP1835" s="210"/>
      <c r="AQ1835" s="210"/>
      <c r="AR1835" s="213" t="s">
        <v>125</v>
      </c>
      <c r="AS1835" s="210"/>
      <c r="AT1835" s="215" t="s">
        <v>121</v>
      </c>
      <c r="AU1835" s="215" t="s">
        <v>122</v>
      </c>
      <c r="AV1835" s="210"/>
      <c r="AW1835" s="215" t="s">
        <v>121</v>
      </c>
      <c r="AX1835" s="215" t="s">
        <v>122</v>
      </c>
      <c r="AY1835" s="210"/>
      <c r="AZ1835" s="215" t="s">
        <v>121</v>
      </c>
      <c r="BA1835" s="215" t="s">
        <v>122</v>
      </c>
      <c r="BB1835" s="210"/>
      <c r="BC1835" s="215" t="s">
        <v>121</v>
      </c>
      <c r="BD1835" s="215" t="s">
        <v>122</v>
      </c>
      <c r="BE1835" s="210"/>
      <c r="BF1835" s="215" t="s">
        <v>121</v>
      </c>
      <c r="BG1835" s="215" t="s">
        <v>122</v>
      </c>
      <c r="BH1835" s="210"/>
      <c r="BI1835" s="215" t="s">
        <v>121</v>
      </c>
      <c r="BJ1835" s="215" t="s">
        <v>122</v>
      </c>
      <c r="BK1835" s="210"/>
      <c r="BL1835" s="215" t="s">
        <v>121</v>
      </c>
      <c r="BM1835" s="215" t="s">
        <v>122</v>
      </c>
      <c r="BN1835" s="210"/>
      <c r="BO1835" s="215" t="s">
        <v>121</v>
      </c>
      <c r="BP1835" s="215" t="s">
        <v>122</v>
      </c>
      <c r="BQ1835" s="210"/>
      <c r="BR1835" s="215" t="s">
        <v>121</v>
      </c>
      <c r="BS1835" s="215" t="s">
        <v>122</v>
      </c>
      <c r="BT1835" s="210"/>
      <c r="BU1835" s="215" t="s">
        <v>121</v>
      </c>
      <c r="BV1835" s="215" t="s">
        <v>122</v>
      </c>
      <c r="BW1835" s="210"/>
      <c r="BX1835" s="91"/>
    </row>
    <row r="1836" spans="1:76" s="55" customFormat="1" x14ac:dyDescent="0.25">
      <c r="A1836" s="195">
        <v>1</v>
      </c>
      <c r="B1836" s="216" t="str">
        <f t="shared" ref="B1836:B1837" si="1246">CONCATENATE(E1836,": ",C1836)</f>
        <v xml:space="preserve">: </v>
      </c>
      <c r="C1836" s="219"/>
      <c r="D1836" s="219"/>
      <c r="E1836" s="219"/>
      <c r="F1836" s="219"/>
      <c r="G1836" s="220"/>
      <c r="H1836" s="221"/>
      <c r="I1836" s="220"/>
      <c r="J1836" s="365"/>
      <c r="K1836" s="226"/>
      <c r="L1836" s="227"/>
      <c r="M1836" s="227"/>
      <c r="N1836" s="227"/>
      <c r="O1836" s="227"/>
      <c r="P1836" s="122"/>
      <c r="Q1836" s="228"/>
      <c r="R1836" s="231" t="str">
        <f>IF(Q1836="Y","",IF(AND(L1836="",J1836=""),"",IF(L1836="",J1836,L1836)))</f>
        <v/>
      </c>
      <c r="S1836" s="230" t="str">
        <f t="shared" ref="S1836:S1855" si="1247">IF(R1836="","",IF($R$1864="Y",T1836,IF(R1836&gt;=$R$1856-$AA$35*$R$1860,IF(R1836&lt;=$R$1856+$AA$35*$R$1860,R1836,""),"")))</f>
        <v/>
      </c>
      <c r="T1836" s="231" t="str">
        <f>IF(OR(Q1836="Y",IFERROR(R1836&gt;R1856+R1860*$AA$35,0),IFERROR(R1836&lt;R1856-R1860*$AA$35,0)),"",IFERROR(R1836*N1836,""))</f>
        <v/>
      </c>
      <c r="U1836" s="232" t="str">
        <f t="shared" ref="U1836:U1855" si="1248">IF(AND(M1836="",K1836=""),"",IF(M1836="",K1836,M1836))</f>
        <v/>
      </c>
      <c r="V1836" s="28"/>
      <c r="W1836" s="28"/>
      <c r="Y1836" s="91"/>
      <c r="AO1836" s="91"/>
      <c r="AP1836" s="28"/>
      <c r="AQ1836" s="28"/>
      <c r="AR1836" s="233" t="str">
        <f>$U1836</f>
        <v/>
      </c>
      <c r="AS1836" s="28"/>
      <c r="AT1836" s="304" t="str">
        <f>IF($E1836=$AT$47,R1836,"")</f>
        <v/>
      </c>
      <c r="AU1836" s="304" t="str">
        <f>IF($E1836=$AT$47,S1836,"")</f>
        <v/>
      </c>
      <c r="AV1836" s="28"/>
      <c r="AW1836" s="304" t="str">
        <f t="shared" ref="AW1836:AX1855" si="1249">IF($E1836=$AW$83,R1836,"")</f>
        <v/>
      </c>
      <c r="AX1836" s="304" t="str">
        <f t="shared" si="1249"/>
        <v/>
      </c>
      <c r="AY1836" s="28"/>
      <c r="AZ1836" s="304" t="str">
        <f t="shared" ref="AZ1836:BA1855" si="1250">IF($E1836=$AZ$83,R1836,"")</f>
        <v/>
      </c>
      <c r="BA1836" s="304" t="str">
        <f t="shared" si="1250"/>
        <v/>
      </c>
      <c r="BB1836" s="28"/>
      <c r="BC1836" s="304" t="str">
        <f t="shared" ref="BC1836:BD1855" si="1251">IF($E1836=$BC$83,R1836,"")</f>
        <v/>
      </c>
      <c r="BD1836" s="304" t="str">
        <f t="shared" si="1251"/>
        <v/>
      </c>
      <c r="BE1836" s="28"/>
      <c r="BF1836" s="304" t="str">
        <f t="shared" ref="BF1836:BG1855" si="1252">IF($E1836=$BF$83,R1836,"")</f>
        <v/>
      </c>
      <c r="BG1836" s="304" t="str">
        <f t="shared" si="1252"/>
        <v/>
      </c>
      <c r="BH1836" s="28"/>
      <c r="BI1836" s="304" t="str">
        <f t="shared" ref="BI1836:BJ1855" si="1253">IF($E1836=$BI$83,R1836,"")</f>
        <v/>
      </c>
      <c r="BJ1836" s="304" t="str">
        <f t="shared" si="1253"/>
        <v/>
      </c>
      <c r="BK1836" s="28"/>
      <c r="BL1836" s="304" t="str">
        <f t="shared" ref="BL1836:BM1855" si="1254">IF($E1836=$BL$83,R1836,"")</f>
        <v/>
      </c>
      <c r="BM1836" s="304" t="str">
        <f t="shared" si="1254"/>
        <v/>
      </c>
      <c r="BN1836" s="28"/>
      <c r="BO1836" s="304" t="str">
        <f t="shared" ref="BO1836:BP1855" si="1255">IF($E1836=$BO$83,R1836,"")</f>
        <v/>
      </c>
      <c r="BP1836" s="304" t="str">
        <f t="shared" si="1255"/>
        <v/>
      </c>
      <c r="BQ1836" s="28"/>
      <c r="BR1836" s="304" t="str">
        <f t="shared" ref="BR1836:BS1855" si="1256">IF($E1836=$BR$83,R1836,"")</f>
        <v/>
      </c>
      <c r="BS1836" s="304" t="str">
        <f t="shared" si="1256"/>
        <v/>
      </c>
      <c r="BT1836" s="28"/>
      <c r="BU1836" s="304" t="str">
        <f t="shared" ref="BU1836:BV1855" si="1257">IF($E1836=$BU$83,R1836,"")</f>
        <v/>
      </c>
      <c r="BV1836" s="304" t="str">
        <f t="shared" si="1257"/>
        <v/>
      </c>
      <c r="BW1836" s="28"/>
      <c r="BX1836" s="91"/>
    </row>
    <row r="1837" spans="1:76" s="55" customFormat="1" x14ac:dyDescent="0.25">
      <c r="A1837" s="195">
        <v>2</v>
      </c>
      <c r="B1837" s="216" t="str">
        <f t="shared" si="1246"/>
        <v xml:space="preserve">: </v>
      </c>
      <c r="C1837" s="219"/>
      <c r="D1837" s="219"/>
      <c r="E1837" s="219"/>
      <c r="F1837" s="219"/>
      <c r="G1837" s="220"/>
      <c r="H1837" s="221"/>
      <c r="I1837" s="220"/>
      <c r="J1837" s="365"/>
      <c r="K1837" s="227"/>
      <c r="L1837" s="227"/>
      <c r="M1837" s="227"/>
      <c r="N1837" s="227"/>
      <c r="O1837" s="227"/>
      <c r="P1837" s="122"/>
      <c r="Q1837" s="228"/>
      <c r="R1837" s="231" t="str">
        <f t="shared" ref="R1837:R1855" si="1258">IF(Q1837="Y","",IF(AND(L1837="",J1837=""),"",IF(L1837="",J1837,L1837)))</f>
        <v/>
      </c>
      <c r="S1837" s="230" t="str">
        <f t="shared" si="1247"/>
        <v/>
      </c>
      <c r="T1837" s="231" t="str">
        <f>IF(OR(Q1837="Y",IFERROR(R1837&gt;R1856+R1860*$AA$35,0),IFERROR(R1837&lt;R1856-R1860*$AA$35,0)),"",IFERROR(R1837*N1837,""))</f>
        <v/>
      </c>
      <c r="U1837" s="232" t="str">
        <f t="shared" si="1248"/>
        <v/>
      </c>
      <c r="V1837" s="28"/>
      <c r="W1837" s="28"/>
      <c r="Y1837" s="91"/>
      <c r="AO1837" s="91"/>
      <c r="AP1837" s="28"/>
      <c r="AQ1837" s="28"/>
      <c r="AR1837" s="237"/>
      <c r="AS1837" s="28"/>
      <c r="AT1837" s="304" t="str">
        <f t="shared" ref="AT1837:AU1855" si="1259">IF($E1837=$AT$47,R1837,"")</f>
        <v/>
      </c>
      <c r="AU1837" s="304" t="str">
        <f t="shared" si="1259"/>
        <v/>
      </c>
      <c r="AV1837" s="28"/>
      <c r="AW1837" s="304" t="str">
        <f t="shared" si="1249"/>
        <v/>
      </c>
      <c r="AX1837" s="304" t="str">
        <f t="shared" si="1249"/>
        <v/>
      </c>
      <c r="AY1837" s="28"/>
      <c r="AZ1837" s="304" t="str">
        <f t="shared" si="1250"/>
        <v/>
      </c>
      <c r="BA1837" s="304" t="str">
        <f t="shared" si="1250"/>
        <v/>
      </c>
      <c r="BB1837" s="28"/>
      <c r="BC1837" s="304" t="str">
        <f t="shared" si="1251"/>
        <v/>
      </c>
      <c r="BD1837" s="304" t="str">
        <f t="shared" si="1251"/>
        <v/>
      </c>
      <c r="BE1837" s="28"/>
      <c r="BF1837" s="304" t="str">
        <f t="shared" si="1252"/>
        <v/>
      </c>
      <c r="BG1837" s="304" t="str">
        <f t="shared" si="1252"/>
        <v/>
      </c>
      <c r="BH1837" s="28"/>
      <c r="BI1837" s="304" t="str">
        <f t="shared" si="1253"/>
        <v/>
      </c>
      <c r="BJ1837" s="304" t="str">
        <f t="shared" si="1253"/>
        <v/>
      </c>
      <c r="BK1837" s="28"/>
      <c r="BL1837" s="304" t="str">
        <f t="shared" si="1254"/>
        <v/>
      </c>
      <c r="BM1837" s="304" t="str">
        <f t="shared" si="1254"/>
        <v/>
      </c>
      <c r="BN1837" s="28"/>
      <c r="BO1837" s="304" t="str">
        <f t="shared" si="1255"/>
        <v/>
      </c>
      <c r="BP1837" s="304" t="str">
        <f t="shared" si="1255"/>
        <v/>
      </c>
      <c r="BQ1837" s="28"/>
      <c r="BR1837" s="304" t="str">
        <f t="shared" si="1256"/>
        <v/>
      </c>
      <c r="BS1837" s="304" t="str">
        <f t="shared" si="1256"/>
        <v/>
      </c>
      <c r="BT1837" s="28"/>
      <c r="BU1837" s="304" t="str">
        <f t="shared" si="1257"/>
        <v/>
      </c>
      <c r="BV1837" s="304" t="str">
        <f t="shared" si="1257"/>
        <v/>
      </c>
      <c r="BW1837" s="28"/>
      <c r="BX1837" s="91"/>
    </row>
    <row r="1838" spans="1:76" s="55" customFormat="1" x14ac:dyDescent="0.25">
      <c r="A1838" s="195">
        <v>3</v>
      </c>
      <c r="B1838" s="216" t="str">
        <f>CONCATENATE(E1838,": ",C1838)</f>
        <v xml:space="preserve">: </v>
      </c>
      <c r="C1838" s="221"/>
      <c r="D1838" s="221"/>
      <c r="E1838" s="221"/>
      <c r="F1838" s="221"/>
      <c r="G1838" s="240"/>
      <c r="H1838" s="221"/>
      <c r="I1838" s="240"/>
      <c r="J1838" s="400"/>
      <c r="K1838" s="241"/>
      <c r="L1838" s="227"/>
      <c r="M1838" s="227"/>
      <c r="N1838" s="227"/>
      <c r="O1838" s="227"/>
      <c r="P1838" s="122"/>
      <c r="Q1838" s="228"/>
      <c r="R1838" s="231" t="str">
        <f t="shared" si="1258"/>
        <v/>
      </c>
      <c r="S1838" s="230" t="str">
        <f t="shared" si="1247"/>
        <v/>
      </c>
      <c r="T1838" s="231" t="str">
        <f>IF(OR(Q1838="Y",IFERROR(R1838&gt;R1856+R1860*$AA$35,0),IFERROR(R1838&lt;R1856-R1860*$AA$35,0)),"",IFERROR(R1838*N1838,""))</f>
        <v/>
      </c>
      <c r="U1838" s="232" t="str">
        <f t="shared" si="1248"/>
        <v/>
      </c>
      <c r="V1838" s="28"/>
      <c r="W1838" s="28"/>
      <c r="Y1838" s="91"/>
      <c r="AO1838" s="91"/>
      <c r="AP1838" s="28"/>
      <c r="AQ1838" s="28"/>
      <c r="AR1838" s="237"/>
      <c r="AS1838" s="28"/>
      <c r="AT1838" s="304" t="str">
        <f t="shared" si="1259"/>
        <v/>
      </c>
      <c r="AU1838" s="304" t="str">
        <f t="shared" si="1259"/>
        <v/>
      </c>
      <c r="AV1838" s="28"/>
      <c r="AW1838" s="304" t="str">
        <f t="shared" si="1249"/>
        <v/>
      </c>
      <c r="AX1838" s="304" t="str">
        <f t="shared" si="1249"/>
        <v/>
      </c>
      <c r="AY1838" s="28"/>
      <c r="AZ1838" s="304" t="str">
        <f t="shared" si="1250"/>
        <v/>
      </c>
      <c r="BA1838" s="304" t="str">
        <f t="shared" si="1250"/>
        <v/>
      </c>
      <c r="BB1838" s="28"/>
      <c r="BC1838" s="304" t="str">
        <f t="shared" si="1251"/>
        <v/>
      </c>
      <c r="BD1838" s="304" t="str">
        <f t="shared" si="1251"/>
        <v/>
      </c>
      <c r="BE1838" s="28"/>
      <c r="BF1838" s="304" t="str">
        <f t="shared" si="1252"/>
        <v/>
      </c>
      <c r="BG1838" s="304" t="str">
        <f t="shared" si="1252"/>
        <v/>
      </c>
      <c r="BH1838" s="28"/>
      <c r="BI1838" s="304" t="str">
        <f t="shared" si="1253"/>
        <v/>
      </c>
      <c r="BJ1838" s="304" t="str">
        <f t="shared" si="1253"/>
        <v/>
      </c>
      <c r="BK1838" s="28"/>
      <c r="BL1838" s="304" t="str">
        <f t="shared" si="1254"/>
        <v/>
      </c>
      <c r="BM1838" s="304" t="str">
        <f t="shared" si="1254"/>
        <v/>
      </c>
      <c r="BN1838" s="28"/>
      <c r="BO1838" s="304" t="str">
        <f t="shared" si="1255"/>
        <v/>
      </c>
      <c r="BP1838" s="304" t="str">
        <f t="shared" si="1255"/>
        <v/>
      </c>
      <c r="BQ1838" s="28"/>
      <c r="BR1838" s="304" t="str">
        <f t="shared" si="1256"/>
        <v/>
      </c>
      <c r="BS1838" s="304" t="str">
        <f t="shared" si="1256"/>
        <v/>
      </c>
      <c r="BT1838" s="28"/>
      <c r="BU1838" s="304" t="str">
        <f t="shared" si="1257"/>
        <v/>
      </c>
      <c r="BV1838" s="304" t="str">
        <f t="shared" si="1257"/>
        <v/>
      </c>
      <c r="BW1838" s="28"/>
      <c r="BX1838" s="91"/>
    </row>
    <row r="1839" spans="1:76" s="55" customFormat="1" x14ac:dyDescent="0.25">
      <c r="A1839" s="195">
        <v>4</v>
      </c>
      <c r="B1839" s="216" t="str">
        <f t="shared" ref="B1839:B1855" si="1260">CONCATENATE(E1839,": ",C1839)</f>
        <v xml:space="preserve">: </v>
      </c>
      <c r="C1839" s="221"/>
      <c r="D1839" s="221"/>
      <c r="E1839" s="221"/>
      <c r="F1839" s="221"/>
      <c r="G1839" s="240"/>
      <c r="H1839" s="221"/>
      <c r="I1839" s="240"/>
      <c r="J1839" s="400"/>
      <c r="K1839" s="241"/>
      <c r="L1839" s="227"/>
      <c r="M1839" s="227"/>
      <c r="N1839" s="227"/>
      <c r="O1839" s="227"/>
      <c r="P1839" s="122"/>
      <c r="Q1839" s="228"/>
      <c r="R1839" s="231" t="str">
        <f t="shared" si="1258"/>
        <v/>
      </c>
      <c r="S1839" s="230" t="str">
        <f t="shared" si="1247"/>
        <v/>
      </c>
      <c r="T1839" s="231" t="str">
        <f>IF(OR(Q1839="Y",IFERROR(R1839&gt;R1856+R1860*$AA$35,0),IFERROR(R1839&lt;R1856-R1860*$AA$35,0)),"",IFERROR(R1839*N1839,""))</f>
        <v/>
      </c>
      <c r="U1839" s="232" t="str">
        <f t="shared" si="1248"/>
        <v/>
      </c>
      <c r="V1839" s="28"/>
      <c r="W1839" s="28"/>
      <c r="Y1839" s="91"/>
      <c r="AO1839" s="91"/>
      <c r="AP1839" s="28"/>
      <c r="AQ1839" s="28"/>
      <c r="AR1839" s="237"/>
      <c r="AS1839" s="28"/>
      <c r="AT1839" s="304" t="str">
        <f t="shared" si="1259"/>
        <v/>
      </c>
      <c r="AU1839" s="304" t="str">
        <f t="shared" si="1259"/>
        <v/>
      </c>
      <c r="AV1839" s="28"/>
      <c r="AW1839" s="304" t="str">
        <f t="shared" si="1249"/>
        <v/>
      </c>
      <c r="AX1839" s="304" t="str">
        <f t="shared" si="1249"/>
        <v/>
      </c>
      <c r="AY1839" s="28"/>
      <c r="AZ1839" s="304" t="str">
        <f t="shared" si="1250"/>
        <v/>
      </c>
      <c r="BA1839" s="304" t="str">
        <f t="shared" si="1250"/>
        <v/>
      </c>
      <c r="BB1839" s="28"/>
      <c r="BC1839" s="304" t="str">
        <f t="shared" si="1251"/>
        <v/>
      </c>
      <c r="BD1839" s="304" t="str">
        <f t="shared" si="1251"/>
        <v/>
      </c>
      <c r="BE1839" s="28"/>
      <c r="BF1839" s="304" t="str">
        <f t="shared" si="1252"/>
        <v/>
      </c>
      <c r="BG1839" s="304" t="str">
        <f t="shared" si="1252"/>
        <v/>
      </c>
      <c r="BH1839" s="28"/>
      <c r="BI1839" s="304" t="str">
        <f t="shared" si="1253"/>
        <v/>
      </c>
      <c r="BJ1839" s="304" t="str">
        <f t="shared" si="1253"/>
        <v/>
      </c>
      <c r="BK1839" s="28"/>
      <c r="BL1839" s="304" t="str">
        <f t="shared" si="1254"/>
        <v/>
      </c>
      <c r="BM1839" s="304" t="str">
        <f t="shared" si="1254"/>
        <v/>
      </c>
      <c r="BN1839" s="28"/>
      <c r="BO1839" s="304" t="str">
        <f t="shared" si="1255"/>
        <v/>
      </c>
      <c r="BP1839" s="304" t="str">
        <f t="shared" si="1255"/>
        <v/>
      </c>
      <c r="BQ1839" s="28"/>
      <c r="BR1839" s="304" t="str">
        <f t="shared" si="1256"/>
        <v/>
      </c>
      <c r="BS1839" s="304" t="str">
        <f t="shared" si="1256"/>
        <v/>
      </c>
      <c r="BT1839" s="28"/>
      <c r="BU1839" s="304" t="str">
        <f t="shared" si="1257"/>
        <v/>
      </c>
      <c r="BV1839" s="304" t="str">
        <f t="shared" si="1257"/>
        <v/>
      </c>
      <c r="BW1839" s="28"/>
      <c r="BX1839" s="91"/>
    </row>
    <row r="1840" spans="1:76" s="55" customFormat="1" x14ac:dyDescent="0.25">
      <c r="A1840" s="195">
        <v>5</v>
      </c>
      <c r="B1840" s="216" t="str">
        <f t="shared" si="1260"/>
        <v xml:space="preserve">: </v>
      </c>
      <c r="C1840" s="221"/>
      <c r="D1840" s="221"/>
      <c r="E1840" s="221"/>
      <c r="F1840" s="221"/>
      <c r="G1840" s="240"/>
      <c r="H1840" s="221"/>
      <c r="I1840" s="240"/>
      <c r="J1840" s="400"/>
      <c r="K1840" s="241"/>
      <c r="L1840" s="227"/>
      <c r="M1840" s="227"/>
      <c r="N1840" s="227"/>
      <c r="O1840" s="227"/>
      <c r="P1840" s="122"/>
      <c r="Q1840" s="228"/>
      <c r="R1840" s="231" t="str">
        <f t="shared" si="1258"/>
        <v/>
      </c>
      <c r="S1840" s="230" t="str">
        <f t="shared" si="1247"/>
        <v/>
      </c>
      <c r="T1840" s="231" t="str">
        <f>IF(OR(Q1840="Y",IFERROR(R1840&gt;R1856+R1860*$AA$35,0),IFERROR(R1840&lt;R1856-R1860*$AA$35,0)),"",IFERROR(R1840*N1840,""))</f>
        <v/>
      </c>
      <c r="U1840" s="232" t="str">
        <f t="shared" si="1248"/>
        <v/>
      </c>
      <c r="V1840" s="28"/>
      <c r="W1840" s="28"/>
      <c r="Y1840" s="91"/>
      <c r="AO1840" s="91"/>
      <c r="AP1840" s="28"/>
      <c r="AQ1840" s="28"/>
      <c r="AR1840" s="237"/>
      <c r="AS1840" s="28"/>
      <c r="AT1840" s="304" t="str">
        <f t="shared" si="1259"/>
        <v/>
      </c>
      <c r="AU1840" s="304" t="str">
        <f t="shared" si="1259"/>
        <v/>
      </c>
      <c r="AV1840" s="28"/>
      <c r="AW1840" s="304" t="str">
        <f t="shared" si="1249"/>
        <v/>
      </c>
      <c r="AX1840" s="304" t="str">
        <f t="shared" si="1249"/>
        <v/>
      </c>
      <c r="AY1840" s="28"/>
      <c r="AZ1840" s="304" t="str">
        <f t="shared" si="1250"/>
        <v/>
      </c>
      <c r="BA1840" s="304" t="str">
        <f t="shared" si="1250"/>
        <v/>
      </c>
      <c r="BB1840" s="28"/>
      <c r="BC1840" s="304" t="str">
        <f t="shared" si="1251"/>
        <v/>
      </c>
      <c r="BD1840" s="304" t="str">
        <f t="shared" si="1251"/>
        <v/>
      </c>
      <c r="BE1840" s="28"/>
      <c r="BF1840" s="304" t="str">
        <f t="shared" si="1252"/>
        <v/>
      </c>
      <c r="BG1840" s="304" t="str">
        <f t="shared" si="1252"/>
        <v/>
      </c>
      <c r="BH1840" s="28"/>
      <c r="BI1840" s="304" t="str">
        <f t="shared" si="1253"/>
        <v/>
      </c>
      <c r="BJ1840" s="304" t="str">
        <f t="shared" si="1253"/>
        <v/>
      </c>
      <c r="BK1840" s="28"/>
      <c r="BL1840" s="304" t="str">
        <f t="shared" si="1254"/>
        <v/>
      </c>
      <c r="BM1840" s="304" t="str">
        <f t="shared" si="1254"/>
        <v/>
      </c>
      <c r="BN1840" s="28"/>
      <c r="BO1840" s="304" t="str">
        <f t="shared" si="1255"/>
        <v/>
      </c>
      <c r="BP1840" s="304" t="str">
        <f t="shared" si="1255"/>
        <v/>
      </c>
      <c r="BQ1840" s="28"/>
      <c r="BR1840" s="304" t="str">
        <f t="shared" si="1256"/>
        <v/>
      </c>
      <c r="BS1840" s="304" t="str">
        <f t="shared" si="1256"/>
        <v/>
      </c>
      <c r="BT1840" s="28"/>
      <c r="BU1840" s="304" t="str">
        <f t="shared" si="1257"/>
        <v/>
      </c>
      <c r="BV1840" s="304" t="str">
        <f t="shared" si="1257"/>
        <v/>
      </c>
      <c r="BW1840" s="28"/>
      <c r="BX1840" s="91"/>
    </row>
    <row r="1841" spans="1:76" s="55" customFormat="1" x14ac:dyDescent="0.25">
      <c r="A1841" s="195">
        <v>6</v>
      </c>
      <c r="B1841" s="216" t="str">
        <f t="shared" si="1260"/>
        <v xml:space="preserve">: </v>
      </c>
      <c r="C1841" s="221"/>
      <c r="D1841" s="221"/>
      <c r="E1841" s="221"/>
      <c r="F1841" s="221"/>
      <c r="G1841" s="240"/>
      <c r="H1841" s="221"/>
      <c r="I1841" s="240"/>
      <c r="J1841" s="400"/>
      <c r="K1841" s="241"/>
      <c r="L1841" s="227"/>
      <c r="M1841" s="227"/>
      <c r="N1841" s="227"/>
      <c r="O1841" s="227"/>
      <c r="P1841" s="122"/>
      <c r="Q1841" s="228"/>
      <c r="R1841" s="231" t="str">
        <f t="shared" si="1258"/>
        <v/>
      </c>
      <c r="S1841" s="230" t="str">
        <f t="shared" si="1247"/>
        <v/>
      </c>
      <c r="T1841" s="231" t="str">
        <f>IF(OR(Q1841="Y",IFERROR(R1841&gt;R1856+R1860*$AA$35,0),IFERROR(R1841&lt;R1856-R1860*$AA$35,0)),"",IFERROR(R1841*N1841,""))</f>
        <v/>
      </c>
      <c r="U1841" s="232" t="str">
        <f t="shared" si="1248"/>
        <v/>
      </c>
      <c r="V1841" s="28"/>
      <c r="W1841" s="28"/>
      <c r="Y1841" s="91"/>
      <c r="AO1841" s="91"/>
      <c r="AP1841" s="28"/>
      <c r="AQ1841" s="28"/>
      <c r="AR1841" s="237"/>
      <c r="AS1841" s="28"/>
      <c r="AT1841" s="304" t="str">
        <f t="shared" si="1259"/>
        <v/>
      </c>
      <c r="AU1841" s="304" t="str">
        <f t="shared" si="1259"/>
        <v/>
      </c>
      <c r="AV1841" s="28"/>
      <c r="AW1841" s="304" t="str">
        <f t="shared" si="1249"/>
        <v/>
      </c>
      <c r="AX1841" s="304" t="str">
        <f t="shared" si="1249"/>
        <v/>
      </c>
      <c r="AY1841" s="28"/>
      <c r="AZ1841" s="304" t="str">
        <f t="shared" si="1250"/>
        <v/>
      </c>
      <c r="BA1841" s="304" t="str">
        <f t="shared" si="1250"/>
        <v/>
      </c>
      <c r="BB1841" s="28"/>
      <c r="BC1841" s="304" t="str">
        <f t="shared" si="1251"/>
        <v/>
      </c>
      <c r="BD1841" s="304" t="str">
        <f t="shared" si="1251"/>
        <v/>
      </c>
      <c r="BE1841" s="28"/>
      <c r="BF1841" s="304" t="str">
        <f t="shared" si="1252"/>
        <v/>
      </c>
      <c r="BG1841" s="304" t="str">
        <f t="shared" si="1252"/>
        <v/>
      </c>
      <c r="BH1841" s="28"/>
      <c r="BI1841" s="304" t="str">
        <f t="shared" si="1253"/>
        <v/>
      </c>
      <c r="BJ1841" s="304" t="str">
        <f t="shared" si="1253"/>
        <v/>
      </c>
      <c r="BK1841" s="28"/>
      <c r="BL1841" s="304" t="str">
        <f t="shared" si="1254"/>
        <v/>
      </c>
      <c r="BM1841" s="304" t="str">
        <f t="shared" si="1254"/>
        <v/>
      </c>
      <c r="BN1841" s="28"/>
      <c r="BO1841" s="304" t="str">
        <f t="shared" si="1255"/>
        <v/>
      </c>
      <c r="BP1841" s="304" t="str">
        <f t="shared" si="1255"/>
        <v/>
      </c>
      <c r="BQ1841" s="28"/>
      <c r="BR1841" s="304" t="str">
        <f t="shared" si="1256"/>
        <v/>
      </c>
      <c r="BS1841" s="304" t="str">
        <f t="shared" si="1256"/>
        <v/>
      </c>
      <c r="BT1841" s="28"/>
      <c r="BU1841" s="304" t="str">
        <f t="shared" si="1257"/>
        <v/>
      </c>
      <c r="BV1841" s="304" t="str">
        <f t="shared" si="1257"/>
        <v/>
      </c>
      <c r="BW1841" s="28"/>
      <c r="BX1841" s="91"/>
    </row>
    <row r="1842" spans="1:76" s="55" customFormat="1" x14ac:dyDescent="0.25">
      <c r="A1842" s="195">
        <v>7</v>
      </c>
      <c r="B1842" s="216" t="str">
        <f t="shared" si="1260"/>
        <v xml:space="preserve">: </v>
      </c>
      <c r="C1842" s="221"/>
      <c r="D1842" s="221"/>
      <c r="E1842" s="221"/>
      <c r="F1842" s="221"/>
      <c r="G1842" s="240"/>
      <c r="H1842" s="221"/>
      <c r="I1842" s="240"/>
      <c r="J1842" s="241"/>
      <c r="K1842" s="241"/>
      <c r="L1842" s="227"/>
      <c r="M1842" s="227"/>
      <c r="N1842" s="227"/>
      <c r="O1842" s="227"/>
      <c r="P1842" s="122"/>
      <c r="Q1842" s="228"/>
      <c r="R1842" s="231" t="str">
        <f t="shared" si="1258"/>
        <v/>
      </c>
      <c r="S1842" s="230" t="str">
        <f t="shared" si="1247"/>
        <v/>
      </c>
      <c r="T1842" s="231" t="str">
        <f>IF(OR(Q1842="Y",IFERROR(R1842&gt;R1856+R1860*$AA$35,0),IFERROR(R1842&lt;R1856-R1860*$AA$35,0)),"",IFERROR(R1842*N1842,""))</f>
        <v/>
      </c>
      <c r="U1842" s="232" t="str">
        <f t="shared" si="1248"/>
        <v/>
      </c>
      <c r="V1842" s="28"/>
      <c r="W1842" s="28"/>
      <c r="Y1842" s="91"/>
      <c r="AO1842" s="91"/>
      <c r="AP1842" s="28"/>
      <c r="AQ1842" s="28"/>
      <c r="AR1842" s="237"/>
      <c r="AS1842" s="28"/>
      <c r="AT1842" s="304" t="str">
        <f t="shared" si="1259"/>
        <v/>
      </c>
      <c r="AU1842" s="304" t="str">
        <f t="shared" si="1259"/>
        <v/>
      </c>
      <c r="AV1842" s="28"/>
      <c r="AW1842" s="304" t="str">
        <f t="shared" si="1249"/>
        <v/>
      </c>
      <c r="AX1842" s="304" t="str">
        <f t="shared" si="1249"/>
        <v/>
      </c>
      <c r="AY1842" s="28"/>
      <c r="AZ1842" s="304" t="str">
        <f t="shared" si="1250"/>
        <v/>
      </c>
      <c r="BA1842" s="304" t="str">
        <f t="shared" si="1250"/>
        <v/>
      </c>
      <c r="BB1842" s="28"/>
      <c r="BC1842" s="304" t="str">
        <f t="shared" si="1251"/>
        <v/>
      </c>
      <c r="BD1842" s="304" t="str">
        <f t="shared" si="1251"/>
        <v/>
      </c>
      <c r="BE1842" s="28"/>
      <c r="BF1842" s="304" t="str">
        <f t="shared" si="1252"/>
        <v/>
      </c>
      <c r="BG1842" s="304" t="str">
        <f t="shared" si="1252"/>
        <v/>
      </c>
      <c r="BH1842" s="28"/>
      <c r="BI1842" s="304" t="str">
        <f t="shared" si="1253"/>
        <v/>
      </c>
      <c r="BJ1842" s="304" t="str">
        <f t="shared" si="1253"/>
        <v/>
      </c>
      <c r="BK1842" s="28"/>
      <c r="BL1842" s="304" t="str">
        <f t="shared" si="1254"/>
        <v/>
      </c>
      <c r="BM1842" s="304" t="str">
        <f t="shared" si="1254"/>
        <v/>
      </c>
      <c r="BN1842" s="28"/>
      <c r="BO1842" s="304" t="str">
        <f t="shared" si="1255"/>
        <v/>
      </c>
      <c r="BP1842" s="304" t="str">
        <f t="shared" si="1255"/>
        <v/>
      </c>
      <c r="BQ1842" s="28"/>
      <c r="BR1842" s="304" t="str">
        <f t="shared" si="1256"/>
        <v/>
      </c>
      <c r="BS1842" s="304" t="str">
        <f t="shared" si="1256"/>
        <v/>
      </c>
      <c r="BT1842" s="28"/>
      <c r="BU1842" s="304" t="str">
        <f t="shared" si="1257"/>
        <v/>
      </c>
      <c r="BV1842" s="304" t="str">
        <f t="shared" si="1257"/>
        <v/>
      </c>
      <c r="BW1842" s="28"/>
      <c r="BX1842" s="91"/>
    </row>
    <row r="1843" spans="1:76" s="55" customFormat="1" x14ac:dyDescent="0.25">
      <c r="A1843" s="195">
        <v>8</v>
      </c>
      <c r="B1843" s="216" t="str">
        <f t="shared" si="1260"/>
        <v xml:space="preserve">: </v>
      </c>
      <c r="C1843" s="221"/>
      <c r="D1843" s="221"/>
      <c r="E1843" s="221"/>
      <c r="F1843" s="221"/>
      <c r="G1843" s="240"/>
      <c r="H1843" s="221"/>
      <c r="I1843" s="240"/>
      <c r="J1843" s="241"/>
      <c r="K1843" s="241"/>
      <c r="L1843" s="227"/>
      <c r="M1843" s="227"/>
      <c r="N1843" s="227"/>
      <c r="O1843" s="227"/>
      <c r="P1843" s="122"/>
      <c r="Q1843" s="228"/>
      <c r="R1843" s="231" t="str">
        <f t="shared" si="1258"/>
        <v/>
      </c>
      <c r="S1843" s="230" t="str">
        <f t="shared" si="1247"/>
        <v/>
      </c>
      <c r="T1843" s="231" t="str">
        <f>IF(OR(Q1843="Y",IFERROR(R1843&gt;R1856+R1860*$AA$35,0),IFERROR(R1843&lt;R1856-R1860*$AA$35,0)),"",IFERROR(R1843*N1843,""))</f>
        <v/>
      </c>
      <c r="U1843" s="232" t="str">
        <f t="shared" si="1248"/>
        <v/>
      </c>
      <c r="V1843" s="28"/>
      <c r="W1843" s="28"/>
      <c r="Y1843" s="91"/>
      <c r="AO1843" s="91"/>
      <c r="AP1843" s="28"/>
      <c r="AQ1843" s="28"/>
      <c r="AR1843" s="237"/>
      <c r="AS1843" s="28"/>
      <c r="AT1843" s="304" t="str">
        <f t="shared" si="1259"/>
        <v/>
      </c>
      <c r="AU1843" s="304" t="str">
        <f t="shared" si="1259"/>
        <v/>
      </c>
      <c r="AV1843" s="28"/>
      <c r="AW1843" s="304" t="str">
        <f t="shared" si="1249"/>
        <v/>
      </c>
      <c r="AX1843" s="304" t="str">
        <f t="shared" si="1249"/>
        <v/>
      </c>
      <c r="AY1843" s="28"/>
      <c r="AZ1843" s="304" t="str">
        <f t="shared" si="1250"/>
        <v/>
      </c>
      <c r="BA1843" s="304" t="str">
        <f t="shared" si="1250"/>
        <v/>
      </c>
      <c r="BB1843" s="28"/>
      <c r="BC1843" s="304" t="str">
        <f t="shared" si="1251"/>
        <v/>
      </c>
      <c r="BD1843" s="304" t="str">
        <f t="shared" si="1251"/>
        <v/>
      </c>
      <c r="BE1843" s="28"/>
      <c r="BF1843" s="304" t="str">
        <f t="shared" si="1252"/>
        <v/>
      </c>
      <c r="BG1843" s="304" t="str">
        <f t="shared" si="1252"/>
        <v/>
      </c>
      <c r="BH1843" s="28"/>
      <c r="BI1843" s="304" t="str">
        <f t="shared" si="1253"/>
        <v/>
      </c>
      <c r="BJ1843" s="304" t="str">
        <f t="shared" si="1253"/>
        <v/>
      </c>
      <c r="BK1843" s="28"/>
      <c r="BL1843" s="304" t="str">
        <f t="shared" si="1254"/>
        <v/>
      </c>
      <c r="BM1843" s="304" t="str">
        <f t="shared" si="1254"/>
        <v/>
      </c>
      <c r="BN1843" s="28"/>
      <c r="BO1843" s="304" t="str">
        <f t="shared" si="1255"/>
        <v/>
      </c>
      <c r="BP1843" s="304" t="str">
        <f t="shared" si="1255"/>
        <v/>
      </c>
      <c r="BQ1843" s="28"/>
      <c r="BR1843" s="304" t="str">
        <f t="shared" si="1256"/>
        <v/>
      </c>
      <c r="BS1843" s="304" t="str">
        <f t="shared" si="1256"/>
        <v/>
      </c>
      <c r="BT1843" s="28"/>
      <c r="BU1843" s="304" t="str">
        <f t="shared" si="1257"/>
        <v/>
      </c>
      <c r="BV1843" s="304" t="str">
        <f t="shared" si="1257"/>
        <v/>
      </c>
      <c r="BW1843" s="28"/>
      <c r="BX1843" s="91"/>
    </row>
    <row r="1844" spans="1:76" s="55" customFormat="1" x14ac:dyDescent="0.25">
      <c r="A1844" s="195">
        <v>9</v>
      </c>
      <c r="B1844" s="216" t="str">
        <f t="shared" si="1260"/>
        <v xml:space="preserve">: </v>
      </c>
      <c r="C1844" s="221"/>
      <c r="D1844" s="221"/>
      <c r="E1844" s="221"/>
      <c r="F1844" s="221"/>
      <c r="G1844" s="240"/>
      <c r="H1844" s="221"/>
      <c r="I1844" s="240"/>
      <c r="J1844" s="241"/>
      <c r="K1844" s="241"/>
      <c r="L1844" s="227"/>
      <c r="M1844" s="227"/>
      <c r="N1844" s="227"/>
      <c r="O1844" s="227"/>
      <c r="P1844" s="122"/>
      <c r="Q1844" s="228"/>
      <c r="R1844" s="231" t="str">
        <f t="shared" si="1258"/>
        <v/>
      </c>
      <c r="S1844" s="230" t="str">
        <f t="shared" si="1247"/>
        <v/>
      </c>
      <c r="T1844" s="231" t="str">
        <f>IF(OR(Q1844="Y",IFERROR(R1844&gt;R1856+R1860*$AA$35,0),IFERROR(R1844&lt;R1856-R1860*$AA$35,0)),"",IFERROR(R1844*N1844,""))</f>
        <v/>
      </c>
      <c r="U1844" s="232" t="str">
        <f t="shared" si="1248"/>
        <v/>
      </c>
      <c r="V1844" s="28"/>
      <c r="W1844" s="28"/>
      <c r="Y1844" s="91"/>
      <c r="AO1844" s="91"/>
      <c r="AP1844" s="28"/>
      <c r="AQ1844" s="28"/>
      <c r="AR1844" s="237"/>
      <c r="AS1844" s="28"/>
      <c r="AT1844" s="304" t="str">
        <f t="shared" si="1259"/>
        <v/>
      </c>
      <c r="AU1844" s="304" t="str">
        <f t="shared" si="1259"/>
        <v/>
      </c>
      <c r="AV1844" s="28"/>
      <c r="AW1844" s="304" t="str">
        <f t="shared" si="1249"/>
        <v/>
      </c>
      <c r="AX1844" s="304" t="str">
        <f t="shared" si="1249"/>
        <v/>
      </c>
      <c r="AY1844" s="28"/>
      <c r="AZ1844" s="304" t="str">
        <f t="shared" si="1250"/>
        <v/>
      </c>
      <c r="BA1844" s="304" t="str">
        <f t="shared" si="1250"/>
        <v/>
      </c>
      <c r="BB1844" s="28"/>
      <c r="BC1844" s="304" t="str">
        <f t="shared" si="1251"/>
        <v/>
      </c>
      <c r="BD1844" s="304" t="str">
        <f t="shared" si="1251"/>
        <v/>
      </c>
      <c r="BE1844" s="28"/>
      <c r="BF1844" s="304" t="str">
        <f t="shared" si="1252"/>
        <v/>
      </c>
      <c r="BG1844" s="304" t="str">
        <f t="shared" si="1252"/>
        <v/>
      </c>
      <c r="BH1844" s="28"/>
      <c r="BI1844" s="304" t="str">
        <f t="shared" si="1253"/>
        <v/>
      </c>
      <c r="BJ1844" s="304" t="str">
        <f t="shared" si="1253"/>
        <v/>
      </c>
      <c r="BK1844" s="28"/>
      <c r="BL1844" s="304" t="str">
        <f t="shared" si="1254"/>
        <v/>
      </c>
      <c r="BM1844" s="304" t="str">
        <f t="shared" si="1254"/>
        <v/>
      </c>
      <c r="BN1844" s="28"/>
      <c r="BO1844" s="304" t="str">
        <f t="shared" si="1255"/>
        <v/>
      </c>
      <c r="BP1844" s="304" t="str">
        <f t="shared" si="1255"/>
        <v/>
      </c>
      <c r="BQ1844" s="28"/>
      <c r="BR1844" s="304" t="str">
        <f t="shared" si="1256"/>
        <v/>
      </c>
      <c r="BS1844" s="304" t="str">
        <f t="shared" si="1256"/>
        <v/>
      </c>
      <c r="BT1844" s="28"/>
      <c r="BU1844" s="304" t="str">
        <f t="shared" si="1257"/>
        <v/>
      </c>
      <c r="BV1844" s="304" t="str">
        <f t="shared" si="1257"/>
        <v/>
      </c>
      <c r="BW1844" s="28"/>
      <c r="BX1844" s="91"/>
    </row>
    <row r="1845" spans="1:76" s="55" customFormat="1" x14ac:dyDescent="0.25">
      <c r="A1845" s="195">
        <v>10</v>
      </c>
      <c r="B1845" s="216" t="str">
        <f t="shared" si="1260"/>
        <v xml:space="preserve">: </v>
      </c>
      <c r="C1845" s="221"/>
      <c r="D1845" s="221"/>
      <c r="E1845" s="221"/>
      <c r="F1845" s="221"/>
      <c r="G1845" s="240"/>
      <c r="H1845" s="221"/>
      <c r="I1845" s="240"/>
      <c r="J1845" s="241"/>
      <c r="K1845" s="241"/>
      <c r="L1845" s="227"/>
      <c r="M1845" s="227"/>
      <c r="N1845" s="227"/>
      <c r="O1845" s="227"/>
      <c r="P1845" s="122"/>
      <c r="Q1845" s="228"/>
      <c r="R1845" s="231" t="str">
        <f t="shared" si="1258"/>
        <v/>
      </c>
      <c r="S1845" s="230" t="str">
        <f t="shared" si="1247"/>
        <v/>
      </c>
      <c r="T1845" s="231" t="str">
        <f>IF(OR(Q1845="Y",IFERROR(R1845&gt;R1856+R1860*$AA$35,0),IFERROR(R1845&lt;R1856-R1860*$AA$35,0)),"",IFERROR(R1845*N1845,""))</f>
        <v/>
      </c>
      <c r="U1845" s="232" t="str">
        <f t="shared" si="1248"/>
        <v/>
      </c>
      <c r="V1845" s="28"/>
      <c r="W1845" s="28"/>
      <c r="Y1845" s="91"/>
      <c r="AO1845" s="91"/>
      <c r="AP1845" s="28"/>
      <c r="AQ1845" s="28"/>
      <c r="AR1845" s="237"/>
      <c r="AS1845" s="28"/>
      <c r="AT1845" s="304" t="str">
        <f t="shared" si="1259"/>
        <v/>
      </c>
      <c r="AU1845" s="304" t="str">
        <f t="shared" si="1259"/>
        <v/>
      </c>
      <c r="AV1845" s="28"/>
      <c r="AW1845" s="304" t="str">
        <f t="shared" si="1249"/>
        <v/>
      </c>
      <c r="AX1845" s="304" t="str">
        <f t="shared" si="1249"/>
        <v/>
      </c>
      <c r="AY1845" s="28"/>
      <c r="AZ1845" s="304" t="str">
        <f t="shared" si="1250"/>
        <v/>
      </c>
      <c r="BA1845" s="304" t="str">
        <f t="shared" si="1250"/>
        <v/>
      </c>
      <c r="BB1845" s="28"/>
      <c r="BC1845" s="304" t="str">
        <f t="shared" si="1251"/>
        <v/>
      </c>
      <c r="BD1845" s="304" t="str">
        <f t="shared" si="1251"/>
        <v/>
      </c>
      <c r="BE1845" s="28"/>
      <c r="BF1845" s="304" t="str">
        <f t="shared" si="1252"/>
        <v/>
      </c>
      <c r="BG1845" s="304" t="str">
        <f t="shared" si="1252"/>
        <v/>
      </c>
      <c r="BH1845" s="28"/>
      <c r="BI1845" s="304" t="str">
        <f t="shared" si="1253"/>
        <v/>
      </c>
      <c r="BJ1845" s="304" t="str">
        <f t="shared" si="1253"/>
        <v/>
      </c>
      <c r="BK1845" s="28"/>
      <c r="BL1845" s="304" t="str">
        <f t="shared" si="1254"/>
        <v/>
      </c>
      <c r="BM1845" s="304" t="str">
        <f t="shared" si="1254"/>
        <v/>
      </c>
      <c r="BN1845" s="28"/>
      <c r="BO1845" s="304" t="str">
        <f t="shared" si="1255"/>
        <v/>
      </c>
      <c r="BP1845" s="304" t="str">
        <f t="shared" si="1255"/>
        <v/>
      </c>
      <c r="BQ1845" s="28"/>
      <c r="BR1845" s="304" t="str">
        <f t="shared" si="1256"/>
        <v/>
      </c>
      <c r="BS1845" s="304" t="str">
        <f t="shared" si="1256"/>
        <v/>
      </c>
      <c r="BT1845" s="28"/>
      <c r="BU1845" s="304" t="str">
        <f t="shared" si="1257"/>
        <v/>
      </c>
      <c r="BV1845" s="304" t="str">
        <f t="shared" si="1257"/>
        <v/>
      </c>
      <c r="BW1845" s="28"/>
      <c r="BX1845" s="91"/>
    </row>
    <row r="1846" spans="1:76" s="55" customFormat="1" x14ac:dyDescent="0.25">
      <c r="A1846" s="195">
        <v>11</v>
      </c>
      <c r="B1846" s="216" t="str">
        <f t="shared" si="1260"/>
        <v xml:space="preserve">: </v>
      </c>
      <c r="C1846" s="221"/>
      <c r="D1846" s="221"/>
      <c r="E1846" s="221"/>
      <c r="F1846" s="221"/>
      <c r="G1846" s="240"/>
      <c r="H1846" s="221"/>
      <c r="I1846" s="240"/>
      <c r="J1846" s="241"/>
      <c r="K1846" s="241"/>
      <c r="L1846" s="227"/>
      <c r="M1846" s="227"/>
      <c r="N1846" s="227"/>
      <c r="O1846" s="227"/>
      <c r="P1846" s="122"/>
      <c r="Q1846" s="228"/>
      <c r="R1846" s="231" t="str">
        <f t="shared" si="1258"/>
        <v/>
      </c>
      <c r="S1846" s="230" t="str">
        <f t="shared" si="1247"/>
        <v/>
      </c>
      <c r="T1846" s="231" t="str">
        <f>IF(OR(Q1846="Y",IFERROR(R1846&gt;R1856+R1860*$AA$35,0),IFERROR(R1846&lt;R1856-R1860*$AA$35,0)),"",IFERROR(R1846*N1846,""))</f>
        <v/>
      </c>
      <c r="U1846" s="232" t="str">
        <f t="shared" si="1248"/>
        <v/>
      </c>
      <c r="V1846" s="28"/>
      <c r="W1846" s="28"/>
      <c r="Y1846" s="91"/>
      <c r="AO1846" s="91"/>
      <c r="AP1846" s="28"/>
      <c r="AQ1846" s="28"/>
      <c r="AR1846" s="237"/>
      <c r="AS1846" s="28"/>
      <c r="AT1846" s="304" t="str">
        <f t="shared" si="1259"/>
        <v/>
      </c>
      <c r="AU1846" s="304" t="str">
        <f t="shared" si="1259"/>
        <v/>
      </c>
      <c r="AV1846" s="28"/>
      <c r="AW1846" s="304" t="str">
        <f t="shared" si="1249"/>
        <v/>
      </c>
      <c r="AX1846" s="304" t="str">
        <f t="shared" si="1249"/>
        <v/>
      </c>
      <c r="AY1846" s="28"/>
      <c r="AZ1846" s="304" t="str">
        <f t="shared" si="1250"/>
        <v/>
      </c>
      <c r="BA1846" s="304" t="str">
        <f t="shared" si="1250"/>
        <v/>
      </c>
      <c r="BB1846" s="28"/>
      <c r="BC1846" s="304" t="str">
        <f t="shared" si="1251"/>
        <v/>
      </c>
      <c r="BD1846" s="304" t="str">
        <f t="shared" si="1251"/>
        <v/>
      </c>
      <c r="BE1846" s="28"/>
      <c r="BF1846" s="304" t="str">
        <f t="shared" si="1252"/>
        <v/>
      </c>
      <c r="BG1846" s="304" t="str">
        <f t="shared" si="1252"/>
        <v/>
      </c>
      <c r="BH1846" s="28"/>
      <c r="BI1846" s="304" t="str">
        <f t="shared" si="1253"/>
        <v/>
      </c>
      <c r="BJ1846" s="304" t="str">
        <f t="shared" si="1253"/>
        <v/>
      </c>
      <c r="BK1846" s="28"/>
      <c r="BL1846" s="304" t="str">
        <f t="shared" si="1254"/>
        <v/>
      </c>
      <c r="BM1846" s="304" t="str">
        <f t="shared" si="1254"/>
        <v/>
      </c>
      <c r="BN1846" s="28"/>
      <c r="BO1846" s="304" t="str">
        <f t="shared" si="1255"/>
        <v/>
      </c>
      <c r="BP1846" s="304" t="str">
        <f t="shared" si="1255"/>
        <v/>
      </c>
      <c r="BQ1846" s="28"/>
      <c r="BR1846" s="304" t="str">
        <f t="shared" si="1256"/>
        <v/>
      </c>
      <c r="BS1846" s="304" t="str">
        <f t="shared" si="1256"/>
        <v/>
      </c>
      <c r="BT1846" s="28"/>
      <c r="BU1846" s="304" t="str">
        <f t="shared" si="1257"/>
        <v/>
      </c>
      <c r="BV1846" s="304" t="str">
        <f t="shared" si="1257"/>
        <v/>
      </c>
      <c r="BW1846" s="28"/>
      <c r="BX1846" s="91"/>
    </row>
    <row r="1847" spans="1:76" s="55" customFormat="1" x14ac:dyDescent="0.25">
      <c r="A1847" s="195">
        <v>12</v>
      </c>
      <c r="B1847" s="216" t="str">
        <f t="shared" si="1260"/>
        <v xml:space="preserve">: </v>
      </c>
      <c r="C1847" s="221"/>
      <c r="D1847" s="221"/>
      <c r="E1847" s="221"/>
      <c r="F1847" s="221"/>
      <c r="G1847" s="240"/>
      <c r="H1847" s="221"/>
      <c r="I1847" s="240"/>
      <c r="J1847" s="241"/>
      <c r="K1847" s="241"/>
      <c r="L1847" s="227"/>
      <c r="M1847" s="227"/>
      <c r="N1847" s="227"/>
      <c r="O1847" s="227"/>
      <c r="P1847" s="122"/>
      <c r="Q1847" s="228"/>
      <c r="R1847" s="231" t="str">
        <f t="shared" si="1258"/>
        <v/>
      </c>
      <c r="S1847" s="230" t="str">
        <f t="shared" si="1247"/>
        <v/>
      </c>
      <c r="T1847" s="231" t="str">
        <f>IF(OR(Q1847="Y",IFERROR(R1847&gt;R1856+R1860*$AA$35,0),IFERROR(R1847&lt;R1856-R1860*$AA$35,0)),"",IFERROR(R1847*N1847,""))</f>
        <v/>
      </c>
      <c r="U1847" s="232" t="str">
        <f t="shared" si="1248"/>
        <v/>
      </c>
      <c r="V1847" s="28"/>
      <c r="W1847" s="28"/>
      <c r="Y1847" s="91"/>
      <c r="AO1847" s="91"/>
      <c r="AP1847" s="28"/>
      <c r="AQ1847" s="28"/>
      <c r="AR1847" s="237"/>
      <c r="AS1847" s="28"/>
      <c r="AT1847" s="304" t="str">
        <f t="shared" si="1259"/>
        <v/>
      </c>
      <c r="AU1847" s="304" t="str">
        <f t="shared" si="1259"/>
        <v/>
      </c>
      <c r="AV1847" s="28"/>
      <c r="AW1847" s="304" t="str">
        <f t="shared" si="1249"/>
        <v/>
      </c>
      <c r="AX1847" s="304" t="str">
        <f t="shared" si="1249"/>
        <v/>
      </c>
      <c r="AY1847" s="28"/>
      <c r="AZ1847" s="304" t="str">
        <f t="shared" si="1250"/>
        <v/>
      </c>
      <c r="BA1847" s="304" t="str">
        <f t="shared" si="1250"/>
        <v/>
      </c>
      <c r="BB1847" s="28"/>
      <c r="BC1847" s="304" t="str">
        <f t="shared" si="1251"/>
        <v/>
      </c>
      <c r="BD1847" s="304" t="str">
        <f t="shared" si="1251"/>
        <v/>
      </c>
      <c r="BE1847" s="28"/>
      <c r="BF1847" s="304" t="str">
        <f t="shared" si="1252"/>
        <v/>
      </c>
      <c r="BG1847" s="304" t="str">
        <f t="shared" si="1252"/>
        <v/>
      </c>
      <c r="BH1847" s="28"/>
      <c r="BI1847" s="304" t="str">
        <f t="shared" si="1253"/>
        <v/>
      </c>
      <c r="BJ1847" s="304" t="str">
        <f t="shared" si="1253"/>
        <v/>
      </c>
      <c r="BK1847" s="28"/>
      <c r="BL1847" s="304" t="str">
        <f t="shared" si="1254"/>
        <v/>
      </c>
      <c r="BM1847" s="304" t="str">
        <f t="shared" si="1254"/>
        <v/>
      </c>
      <c r="BN1847" s="28"/>
      <c r="BO1847" s="304" t="str">
        <f t="shared" si="1255"/>
        <v/>
      </c>
      <c r="BP1847" s="304" t="str">
        <f t="shared" si="1255"/>
        <v/>
      </c>
      <c r="BQ1847" s="28"/>
      <c r="BR1847" s="304" t="str">
        <f t="shared" si="1256"/>
        <v/>
      </c>
      <c r="BS1847" s="304" t="str">
        <f t="shared" si="1256"/>
        <v/>
      </c>
      <c r="BT1847" s="28"/>
      <c r="BU1847" s="304" t="str">
        <f t="shared" si="1257"/>
        <v/>
      </c>
      <c r="BV1847" s="304" t="str">
        <f t="shared" si="1257"/>
        <v/>
      </c>
      <c r="BW1847" s="28"/>
      <c r="BX1847" s="91"/>
    </row>
    <row r="1848" spans="1:76" s="55" customFormat="1" x14ac:dyDescent="0.25">
      <c r="A1848" s="195">
        <v>13</v>
      </c>
      <c r="B1848" s="216" t="str">
        <f t="shared" si="1260"/>
        <v xml:space="preserve">: </v>
      </c>
      <c r="C1848" s="221"/>
      <c r="D1848" s="221"/>
      <c r="E1848" s="221"/>
      <c r="F1848" s="221"/>
      <c r="G1848" s="240"/>
      <c r="H1848" s="221"/>
      <c r="I1848" s="240"/>
      <c r="J1848" s="241"/>
      <c r="K1848" s="241"/>
      <c r="L1848" s="227"/>
      <c r="M1848" s="227"/>
      <c r="N1848" s="227"/>
      <c r="O1848" s="227"/>
      <c r="P1848" s="122"/>
      <c r="Q1848" s="228"/>
      <c r="R1848" s="231" t="str">
        <f t="shared" si="1258"/>
        <v/>
      </c>
      <c r="S1848" s="230" t="str">
        <f t="shared" si="1247"/>
        <v/>
      </c>
      <c r="T1848" s="231" t="str">
        <f>IF(OR(Q1848="Y",IFERROR(R1848&gt;R1856+R1860*$AA$35,0),IFERROR(R1848&lt;R1856-R1860*$AA$35,0)),"",IFERROR(R1848*N1848,""))</f>
        <v/>
      </c>
      <c r="U1848" s="232" t="str">
        <f t="shared" si="1248"/>
        <v/>
      </c>
      <c r="V1848" s="28"/>
      <c r="W1848" s="28"/>
      <c r="Y1848" s="91"/>
      <c r="AO1848" s="91"/>
      <c r="AP1848" s="28"/>
      <c r="AQ1848" s="28"/>
      <c r="AR1848" s="237"/>
      <c r="AS1848" s="28"/>
      <c r="AT1848" s="304" t="str">
        <f t="shared" si="1259"/>
        <v/>
      </c>
      <c r="AU1848" s="304" t="str">
        <f t="shared" si="1259"/>
        <v/>
      </c>
      <c r="AV1848" s="28"/>
      <c r="AW1848" s="304" t="str">
        <f t="shared" si="1249"/>
        <v/>
      </c>
      <c r="AX1848" s="304" t="str">
        <f t="shared" si="1249"/>
        <v/>
      </c>
      <c r="AY1848" s="28"/>
      <c r="AZ1848" s="304" t="str">
        <f t="shared" si="1250"/>
        <v/>
      </c>
      <c r="BA1848" s="304" t="str">
        <f t="shared" si="1250"/>
        <v/>
      </c>
      <c r="BB1848" s="28"/>
      <c r="BC1848" s="304" t="str">
        <f t="shared" si="1251"/>
        <v/>
      </c>
      <c r="BD1848" s="304" t="str">
        <f t="shared" si="1251"/>
        <v/>
      </c>
      <c r="BE1848" s="28"/>
      <c r="BF1848" s="304" t="str">
        <f t="shared" si="1252"/>
        <v/>
      </c>
      <c r="BG1848" s="304" t="str">
        <f t="shared" si="1252"/>
        <v/>
      </c>
      <c r="BH1848" s="28"/>
      <c r="BI1848" s="304" t="str">
        <f t="shared" si="1253"/>
        <v/>
      </c>
      <c r="BJ1848" s="304" t="str">
        <f t="shared" si="1253"/>
        <v/>
      </c>
      <c r="BK1848" s="28"/>
      <c r="BL1848" s="304" t="str">
        <f t="shared" si="1254"/>
        <v/>
      </c>
      <c r="BM1848" s="304" t="str">
        <f t="shared" si="1254"/>
        <v/>
      </c>
      <c r="BN1848" s="28"/>
      <c r="BO1848" s="304" t="str">
        <f t="shared" si="1255"/>
        <v/>
      </c>
      <c r="BP1848" s="304" t="str">
        <f t="shared" si="1255"/>
        <v/>
      </c>
      <c r="BQ1848" s="28"/>
      <c r="BR1848" s="304" t="str">
        <f t="shared" si="1256"/>
        <v/>
      </c>
      <c r="BS1848" s="304" t="str">
        <f t="shared" si="1256"/>
        <v/>
      </c>
      <c r="BT1848" s="28"/>
      <c r="BU1848" s="304" t="str">
        <f t="shared" si="1257"/>
        <v/>
      </c>
      <c r="BV1848" s="304" t="str">
        <f t="shared" si="1257"/>
        <v/>
      </c>
      <c r="BW1848" s="28"/>
      <c r="BX1848" s="91"/>
    </row>
    <row r="1849" spans="1:76" s="55" customFormat="1" x14ac:dyDescent="0.25">
      <c r="A1849" s="195">
        <v>14</v>
      </c>
      <c r="B1849" s="216" t="str">
        <f t="shared" si="1260"/>
        <v xml:space="preserve">: </v>
      </c>
      <c r="C1849" s="221"/>
      <c r="D1849" s="221"/>
      <c r="E1849" s="221"/>
      <c r="F1849" s="221"/>
      <c r="G1849" s="240"/>
      <c r="H1849" s="221"/>
      <c r="I1849" s="240"/>
      <c r="J1849" s="241"/>
      <c r="K1849" s="241"/>
      <c r="L1849" s="227"/>
      <c r="M1849" s="227"/>
      <c r="N1849" s="227"/>
      <c r="O1849" s="227"/>
      <c r="P1849" s="122"/>
      <c r="Q1849" s="228"/>
      <c r="R1849" s="231" t="str">
        <f t="shared" si="1258"/>
        <v/>
      </c>
      <c r="S1849" s="230" t="str">
        <f t="shared" si="1247"/>
        <v/>
      </c>
      <c r="T1849" s="231" t="str">
        <f>IF(OR(Q1849="Y",IFERROR(R1849&gt;R1856+R1860*$AA$35,0),IFERROR(R1849&lt;R1856-R1860*$AA$35,0)),"",IFERROR(R1849*N1849,""))</f>
        <v/>
      </c>
      <c r="U1849" s="232" t="str">
        <f t="shared" si="1248"/>
        <v/>
      </c>
      <c r="V1849" s="28"/>
      <c r="W1849" s="28"/>
      <c r="Y1849" s="91"/>
      <c r="AO1849" s="91"/>
      <c r="AP1849" s="28"/>
      <c r="AQ1849" s="28"/>
      <c r="AR1849" s="237"/>
      <c r="AS1849" s="28"/>
      <c r="AT1849" s="304" t="str">
        <f t="shared" si="1259"/>
        <v/>
      </c>
      <c r="AU1849" s="304" t="str">
        <f t="shared" si="1259"/>
        <v/>
      </c>
      <c r="AV1849" s="28"/>
      <c r="AW1849" s="304" t="str">
        <f t="shared" si="1249"/>
        <v/>
      </c>
      <c r="AX1849" s="304" t="str">
        <f t="shared" si="1249"/>
        <v/>
      </c>
      <c r="AY1849" s="28"/>
      <c r="AZ1849" s="304" t="str">
        <f t="shared" si="1250"/>
        <v/>
      </c>
      <c r="BA1849" s="304" t="str">
        <f t="shared" si="1250"/>
        <v/>
      </c>
      <c r="BB1849" s="28"/>
      <c r="BC1849" s="304" t="str">
        <f t="shared" si="1251"/>
        <v/>
      </c>
      <c r="BD1849" s="304" t="str">
        <f t="shared" si="1251"/>
        <v/>
      </c>
      <c r="BE1849" s="28"/>
      <c r="BF1849" s="304" t="str">
        <f t="shared" si="1252"/>
        <v/>
      </c>
      <c r="BG1849" s="304" t="str">
        <f t="shared" si="1252"/>
        <v/>
      </c>
      <c r="BH1849" s="28"/>
      <c r="BI1849" s="304" t="str">
        <f t="shared" si="1253"/>
        <v/>
      </c>
      <c r="BJ1849" s="304" t="str">
        <f t="shared" si="1253"/>
        <v/>
      </c>
      <c r="BK1849" s="28"/>
      <c r="BL1849" s="304" t="str">
        <f t="shared" si="1254"/>
        <v/>
      </c>
      <c r="BM1849" s="304" t="str">
        <f t="shared" si="1254"/>
        <v/>
      </c>
      <c r="BN1849" s="28"/>
      <c r="BO1849" s="304" t="str">
        <f t="shared" si="1255"/>
        <v/>
      </c>
      <c r="BP1849" s="304" t="str">
        <f t="shared" si="1255"/>
        <v/>
      </c>
      <c r="BQ1849" s="28"/>
      <c r="BR1849" s="304" t="str">
        <f t="shared" si="1256"/>
        <v/>
      </c>
      <c r="BS1849" s="304" t="str">
        <f t="shared" si="1256"/>
        <v/>
      </c>
      <c r="BT1849" s="28"/>
      <c r="BU1849" s="304" t="str">
        <f t="shared" si="1257"/>
        <v/>
      </c>
      <c r="BV1849" s="304" t="str">
        <f t="shared" si="1257"/>
        <v/>
      </c>
      <c r="BW1849" s="28"/>
      <c r="BX1849" s="91"/>
    </row>
    <row r="1850" spans="1:76" s="55" customFormat="1" x14ac:dyDescent="0.25">
      <c r="A1850" s="195">
        <v>15</v>
      </c>
      <c r="B1850" s="216" t="str">
        <f t="shared" si="1260"/>
        <v xml:space="preserve">: </v>
      </c>
      <c r="C1850" s="221"/>
      <c r="D1850" s="221"/>
      <c r="E1850" s="221"/>
      <c r="F1850" s="221"/>
      <c r="G1850" s="240"/>
      <c r="H1850" s="221"/>
      <c r="I1850" s="240"/>
      <c r="J1850" s="241"/>
      <c r="K1850" s="241"/>
      <c r="L1850" s="227"/>
      <c r="M1850" s="227"/>
      <c r="N1850" s="227"/>
      <c r="O1850" s="227"/>
      <c r="P1850" s="122"/>
      <c r="Q1850" s="228"/>
      <c r="R1850" s="231" t="str">
        <f t="shared" si="1258"/>
        <v/>
      </c>
      <c r="S1850" s="230" t="str">
        <f t="shared" si="1247"/>
        <v/>
      </c>
      <c r="T1850" s="231" t="str">
        <f>IF(OR(Q1850="Y",IFERROR(R1850&gt;R1856+R1860*$AA$35,0),IFERROR(R1850&lt;R1856-R1860*$AA$35,0)),"",IFERROR(R1850*N1850,""))</f>
        <v/>
      </c>
      <c r="U1850" s="232" t="str">
        <f t="shared" si="1248"/>
        <v/>
      </c>
      <c r="V1850" s="28"/>
      <c r="W1850" s="28"/>
      <c r="Y1850" s="91"/>
      <c r="AO1850" s="91"/>
      <c r="AP1850" s="28"/>
      <c r="AQ1850" s="28"/>
      <c r="AR1850" s="237"/>
      <c r="AS1850" s="28"/>
      <c r="AT1850" s="304" t="str">
        <f t="shared" si="1259"/>
        <v/>
      </c>
      <c r="AU1850" s="304" t="str">
        <f t="shared" si="1259"/>
        <v/>
      </c>
      <c r="AV1850" s="28"/>
      <c r="AW1850" s="304" t="str">
        <f t="shared" si="1249"/>
        <v/>
      </c>
      <c r="AX1850" s="304" t="str">
        <f t="shared" si="1249"/>
        <v/>
      </c>
      <c r="AY1850" s="28"/>
      <c r="AZ1850" s="304" t="str">
        <f t="shared" si="1250"/>
        <v/>
      </c>
      <c r="BA1850" s="304" t="str">
        <f t="shared" si="1250"/>
        <v/>
      </c>
      <c r="BB1850" s="28"/>
      <c r="BC1850" s="304" t="str">
        <f t="shared" si="1251"/>
        <v/>
      </c>
      <c r="BD1850" s="304" t="str">
        <f t="shared" si="1251"/>
        <v/>
      </c>
      <c r="BE1850" s="28"/>
      <c r="BF1850" s="304" t="str">
        <f t="shared" si="1252"/>
        <v/>
      </c>
      <c r="BG1850" s="304" t="str">
        <f t="shared" si="1252"/>
        <v/>
      </c>
      <c r="BH1850" s="28"/>
      <c r="BI1850" s="304" t="str">
        <f t="shared" si="1253"/>
        <v/>
      </c>
      <c r="BJ1850" s="304" t="str">
        <f t="shared" si="1253"/>
        <v/>
      </c>
      <c r="BK1850" s="28"/>
      <c r="BL1850" s="304" t="str">
        <f t="shared" si="1254"/>
        <v/>
      </c>
      <c r="BM1850" s="304" t="str">
        <f t="shared" si="1254"/>
        <v/>
      </c>
      <c r="BN1850" s="28"/>
      <c r="BO1850" s="304" t="str">
        <f t="shared" si="1255"/>
        <v/>
      </c>
      <c r="BP1850" s="304" t="str">
        <f t="shared" si="1255"/>
        <v/>
      </c>
      <c r="BQ1850" s="28"/>
      <c r="BR1850" s="304" t="str">
        <f t="shared" si="1256"/>
        <v/>
      </c>
      <c r="BS1850" s="304" t="str">
        <f t="shared" si="1256"/>
        <v/>
      </c>
      <c r="BT1850" s="28"/>
      <c r="BU1850" s="304" t="str">
        <f t="shared" si="1257"/>
        <v/>
      </c>
      <c r="BV1850" s="304" t="str">
        <f t="shared" si="1257"/>
        <v/>
      </c>
      <c r="BW1850" s="28"/>
      <c r="BX1850" s="91"/>
    </row>
    <row r="1851" spans="1:76" s="55" customFormat="1" x14ac:dyDescent="0.25">
      <c r="A1851" s="195">
        <v>16</v>
      </c>
      <c r="B1851" s="216" t="str">
        <f t="shared" si="1260"/>
        <v xml:space="preserve">: </v>
      </c>
      <c r="C1851" s="221"/>
      <c r="D1851" s="221"/>
      <c r="E1851" s="221"/>
      <c r="F1851" s="221"/>
      <c r="G1851" s="240"/>
      <c r="H1851" s="221"/>
      <c r="I1851" s="240"/>
      <c r="J1851" s="241"/>
      <c r="K1851" s="241"/>
      <c r="L1851" s="227"/>
      <c r="M1851" s="227"/>
      <c r="N1851" s="227"/>
      <c r="O1851" s="227"/>
      <c r="P1851" s="122"/>
      <c r="Q1851" s="228"/>
      <c r="R1851" s="231" t="str">
        <f t="shared" si="1258"/>
        <v/>
      </c>
      <c r="S1851" s="230" t="str">
        <f t="shared" si="1247"/>
        <v/>
      </c>
      <c r="T1851" s="231" t="str">
        <f>IF(OR(Q1851="Y",IFERROR(R1851&gt;R1856+R1860*$AA$35,0),IFERROR(R1851&lt;R1856-R1860*$AA$35,0)),"",IFERROR(R1851*N1851,""))</f>
        <v/>
      </c>
      <c r="U1851" s="232" t="str">
        <f t="shared" si="1248"/>
        <v/>
      </c>
      <c r="V1851" s="28"/>
      <c r="W1851" s="28"/>
      <c r="Y1851" s="91"/>
      <c r="AO1851" s="91"/>
      <c r="AP1851" s="28"/>
      <c r="AQ1851" s="28"/>
      <c r="AR1851" s="237"/>
      <c r="AS1851" s="28"/>
      <c r="AT1851" s="304" t="str">
        <f t="shared" si="1259"/>
        <v/>
      </c>
      <c r="AU1851" s="304" t="str">
        <f t="shared" si="1259"/>
        <v/>
      </c>
      <c r="AV1851" s="28"/>
      <c r="AW1851" s="304" t="str">
        <f t="shared" si="1249"/>
        <v/>
      </c>
      <c r="AX1851" s="304" t="str">
        <f t="shared" si="1249"/>
        <v/>
      </c>
      <c r="AY1851" s="28"/>
      <c r="AZ1851" s="304" t="str">
        <f t="shared" si="1250"/>
        <v/>
      </c>
      <c r="BA1851" s="304" t="str">
        <f t="shared" si="1250"/>
        <v/>
      </c>
      <c r="BB1851" s="28"/>
      <c r="BC1851" s="304" t="str">
        <f t="shared" si="1251"/>
        <v/>
      </c>
      <c r="BD1851" s="304" t="str">
        <f t="shared" si="1251"/>
        <v/>
      </c>
      <c r="BE1851" s="28"/>
      <c r="BF1851" s="304" t="str">
        <f t="shared" si="1252"/>
        <v/>
      </c>
      <c r="BG1851" s="304" t="str">
        <f t="shared" si="1252"/>
        <v/>
      </c>
      <c r="BH1851" s="28"/>
      <c r="BI1851" s="304" t="str">
        <f t="shared" si="1253"/>
        <v/>
      </c>
      <c r="BJ1851" s="304" t="str">
        <f t="shared" si="1253"/>
        <v/>
      </c>
      <c r="BK1851" s="28"/>
      <c r="BL1851" s="304" t="str">
        <f t="shared" si="1254"/>
        <v/>
      </c>
      <c r="BM1851" s="304" t="str">
        <f t="shared" si="1254"/>
        <v/>
      </c>
      <c r="BN1851" s="28"/>
      <c r="BO1851" s="304" t="str">
        <f t="shared" si="1255"/>
        <v/>
      </c>
      <c r="BP1851" s="304" t="str">
        <f t="shared" si="1255"/>
        <v/>
      </c>
      <c r="BQ1851" s="28"/>
      <c r="BR1851" s="304" t="str">
        <f t="shared" si="1256"/>
        <v/>
      </c>
      <c r="BS1851" s="304" t="str">
        <f t="shared" si="1256"/>
        <v/>
      </c>
      <c r="BT1851" s="28"/>
      <c r="BU1851" s="304" t="str">
        <f t="shared" si="1257"/>
        <v/>
      </c>
      <c r="BV1851" s="304" t="str">
        <f t="shared" si="1257"/>
        <v/>
      </c>
      <c r="BW1851" s="28"/>
      <c r="BX1851" s="91"/>
    </row>
    <row r="1852" spans="1:76" s="55" customFormat="1" x14ac:dyDescent="0.25">
      <c r="A1852" s="195">
        <v>17</v>
      </c>
      <c r="B1852" s="216" t="str">
        <f t="shared" si="1260"/>
        <v xml:space="preserve">: </v>
      </c>
      <c r="C1852" s="221"/>
      <c r="D1852" s="221"/>
      <c r="E1852" s="221"/>
      <c r="F1852" s="221"/>
      <c r="G1852" s="240"/>
      <c r="H1852" s="221"/>
      <c r="I1852" s="240"/>
      <c r="J1852" s="241"/>
      <c r="K1852" s="241"/>
      <c r="L1852" s="227"/>
      <c r="M1852" s="227"/>
      <c r="N1852" s="227"/>
      <c r="O1852" s="227"/>
      <c r="P1852" s="122"/>
      <c r="Q1852" s="228"/>
      <c r="R1852" s="231" t="str">
        <f t="shared" si="1258"/>
        <v/>
      </c>
      <c r="S1852" s="230" t="str">
        <f t="shared" si="1247"/>
        <v/>
      </c>
      <c r="T1852" s="231" t="str">
        <f>IF(OR(Q1852="Y",IFERROR(R1852&gt;R1856+R1860*$AA$35,0),IFERROR(R1852&lt;R1856-R1860*$AA$35,0)),"",IFERROR(R1852*N1852,""))</f>
        <v/>
      </c>
      <c r="U1852" s="232" t="str">
        <f t="shared" si="1248"/>
        <v/>
      </c>
      <c r="V1852" s="28"/>
      <c r="W1852" s="28"/>
      <c r="Y1852" s="91"/>
      <c r="AO1852" s="91"/>
      <c r="AP1852" s="28"/>
      <c r="AQ1852" s="28"/>
      <c r="AR1852" s="237"/>
      <c r="AS1852" s="28"/>
      <c r="AT1852" s="304" t="str">
        <f t="shared" si="1259"/>
        <v/>
      </c>
      <c r="AU1852" s="304" t="str">
        <f t="shared" si="1259"/>
        <v/>
      </c>
      <c r="AV1852" s="28"/>
      <c r="AW1852" s="304" t="str">
        <f t="shared" si="1249"/>
        <v/>
      </c>
      <c r="AX1852" s="304" t="str">
        <f t="shared" si="1249"/>
        <v/>
      </c>
      <c r="AY1852" s="28"/>
      <c r="AZ1852" s="304" t="str">
        <f t="shared" si="1250"/>
        <v/>
      </c>
      <c r="BA1852" s="304" t="str">
        <f t="shared" si="1250"/>
        <v/>
      </c>
      <c r="BB1852" s="28"/>
      <c r="BC1852" s="304" t="str">
        <f t="shared" si="1251"/>
        <v/>
      </c>
      <c r="BD1852" s="304" t="str">
        <f t="shared" si="1251"/>
        <v/>
      </c>
      <c r="BE1852" s="28"/>
      <c r="BF1852" s="304" t="str">
        <f t="shared" si="1252"/>
        <v/>
      </c>
      <c r="BG1852" s="304" t="str">
        <f t="shared" si="1252"/>
        <v/>
      </c>
      <c r="BH1852" s="28"/>
      <c r="BI1852" s="304" t="str">
        <f t="shared" si="1253"/>
        <v/>
      </c>
      <c r="BJ1852" s="304" t="str">
        <f t="shared" si="1253"/>
        <v/>
      </c>
      <c r="BK1852" s="28"/>
      <c r="BL1852" s="304" t="str">
        <f t="shared" si="1254"/>
        <v/>
      </c>
      <c r="BM1852" s="304" t="str">
        <f t="shared" si="1254"/>
        <v/>
      </c>
      <c r="BN1852" s="28"/>
      <c r="BO1852" s="304" t="str">
        <f t="shared" si="1255"/>
        <v/>
      </c>
      <c r="BP1852" s="304" t="str">
        <f t="shared" si="1255"/>
        <v/>
      </c>
      <c r="BQ1852" s="28"/>
      <c r="BR1852" s="304" t="str">
        <f t="shared" si="1256"/>
        <v/>
      </c>
      <c r="BS1852" s="304" t="str">
        <f t="shared" si="1256"/>
        <v/>
      </c>
      <c r="BT1852" s="28"/>
      <c r="BU1852" s="304" t="str">
        <f t="shared" si="1257"/>
        <v/>
      </c>
      <c r="BV1852" s="304" t="str">
        <f t="shared" si="1257"/>
        <v/>
      </c>
      <c r="BW1852" s="28"/>
      <c r="BX1852" s="91"/>
    </row>
    <row r="1853" spans="1:76" s="55" customFormat="1" x14ac:dyDescent="0.25">
      <c r="A1853" s="195">
        <v>18</v>
      </c>
      <c r="B1853" s="216" t="str">
        <f t="shared" si="1260"/>
        <v xml:space="preserve">: </v>
      </c>
      <c r="C1853" s="221"/>
      <c r="D1853" s="221"/>
      <c r="E1853" s="221"/>
      <c r="F1853" s="221"/>
      <c r="G1853" s="240"/>
      <c r="H1853" s="221"/>
      <c r="I1853" s="240"/>
      <c r="J1853" s="241"/>
      <c r="K1853" s="241"/>
      <c r="L1853" s="227"/>
      <c r="M1853" s="227"/>
      <c r="N1853" s="227"/>
      <c r="O1853" s="227"/>
      <c r="P1853" s="122"/>
      <c r="Q1853" s="228"/>
      <c r="R1853" s="231" t="str">
        <f t="shared" si="1258"/>
        <v/>
      </c>
      <c r="S1853" s="230" t="str">
        <f t="shared" si="1247"/>
        <v/>
      </c>
      <c r="T1853" s="231" t="str">
        <f>IF(OR(Q1853="Y",IFERROR(R1853&gt;R1856+R1860*$AA$35,0),IFERROR(R1853&lt;R1856-R1860*$AA$35,0)),"",IFERROR(R1853*N1853,""))</f>
        <v/>
      </c>
      <c r="U1853" s="232" t="str">
        <f t="shared" si="1248"/>
        <v/>
      </c>
      <c r="V1853" s="28"/>
      <c r="W1853" s="28"/>
      <c r="Y1853" s="91"/>
      <c r="AO1853" s="91"/>
      <c r="AP1853" s="28"/>
      <c r="AQ1853" s="28"/>
      <c r="AR1853" s="237"/>
      <c r="AS1853" s="28"/>
      <c r="AT1853" s="304" t="str">
        <f t="shared" si="1259"/>
        <v/>
      </c>
      <c r="AU1853" s="304" t="str">
        <f t="shared" si="1259"/>
        <v/>
      </c>
      <c r="AV1853" s="28"/>
      <c r="AW1853" s="304" t="str">
        <f t="shared" si="1249"/>
        <v/>
      </c>
      <c r="AX1853" s="304" t="str">
        <f t="shared" si="1249"/>
        <v/>
      </c>
      <c r="AY1853" s="28"/>
      <c r="AZ1853" s="304" t="str">
        <f t="shared" si="1250"/>
        <v/>
      </c>
      <c r="BA1853" s="304" t="str">
        <f t="shared" si="1250"/>
        <v/>
      </c>
      <c r="BB1853" s="28"/>
      <c r="BC1853" s="304" t="str">
        <f t="shared" si="1251"/>
        <v/>
      </c>
      <c r="BD1853" s="304" t="str">
        <f t="shared" si="1251"/>
        <v/>
      </c>
      <c r="BE1853" s="28"/>
      <c r="BF1853" s="304" t="str">
        <f t="shared" si="1252"/>
        <v/>
      </c>
      <c r="BG1853" s="304" t="str">
        <f t="shared" si="1252"/>
        <v/>
      </c>
      <c r="BH1853" s="28"/>
      <c r="BI1853" s="304" t="str">
        <f t="shared" si="1253"/>
        <v/>
      </c>
      <c r="BJ1853" s="304" t="str">
        <f t="shared" si="1253"/>
        <v/>
      </c>
      <c r="BK1853" s="28"/>
      <c r="BL1853" s="304" t="str">
        <f t="shared" si="1254"/>
        <v/>
      </c>
      <c r="BM1853" s="304" t="str">
        <f t="shared" si="1254"/>
        <v/>
      </c>
      <c r="BN1853" s="28"/>
      <c r="BO1853" s="304" t="str">
        <f t="shared" si="1255"/>
        <v/>
      </c>
      <c r="BP1853" s="304" t="str">
        <f t="shared" si="1255"/>
        <v/>
      </c>
      <c r="BQ1853" s="28"/>
      <c r="BR1853" s="304" t="str">
        <f t="shared" si="1256"/>
        <v/>
      </c>
      <c r="BS1853" s="304" t="str">
        <f t="shared" si="1256"/>
        <v/>
      </c>
      <c r="BT1853" s="28"/>
      <c r="BU1853" s="304" t="str">
        <f t="shared" si="1257"/>
        <v/>
      </c>
      <c r="BV1853" s="304" t="str">
        <f t="shared" si="1257"/>
        <v/>
      </c>
      <c r="BW1853" s="28"/>
      <c r="BX1853" s="91"/>
    </row>
    <row r="1854" spans="1:76" s="55" customFormat="1" x14ac:dyDescent="0.25">
      <c r="A1854" s="195">
        <v>19</v>
      </c>
      <c r="B1854" s="216" t="str">
        <f t="shared" si="1260"/>
        <v xml:space="preserve">: </v>
      </c>
      <c r="C1854" s="221"/>
      <c r="D1854" s="221"/>
      <c r="E1854" s="221"/>
      <c r="F1854" s="221"/>
      <c r="G1854" s="240"/>
      <c r="H1854" s="221"/>
      <c r="I1854" s="240"/>
      <c r="J1854" s="241"/>
      <c r="K1854" s="241"/>
      <c r="L1854" s="227"/>
      <c r="M1854" s="227"/>
      <c r="N1854" s="227"/>
      <c r="O1854" s="227"/>
      <c r="P1854" s="122"/>
      <c r="Q1854" s="228"/>
      <c r="R1854" s="231" t="str">
        <f t="shared" si="1258"/>
        <v/>
      </c>
      <c r="S1854" s="230" t="str">
        <f t="shared" si="1247"/>
        <v/>
      </c>
      <c r="T1854" s="231" t="str">
        <f>IF(OR(Q1854="Y",IFERROR(R1854&gt;R1856+R1860*$AA$35,0),IFERROR(R1854&lt;R1856-R1860*$AA$35,0)),"",IFERROR(R1854*N1854,""))</f>
        <v/>
      </c>
      <c r="U1854" s="232" t="str">
        <f t="shared" si="1248"/>
        <v/>
      </c>
      <c r="V1854" s="28"/>
      <c r="W1854" s="28"/>
      <c r="Y1854" s="91"/>
      <c r="AO1854" s="91"/>
      <c r="AP1854" s="28"/>
      <c r="AQ1854" s="28"/>
      <c r="AR1854" s="237"/>
      <c r="AS1854" s="28"/>
      <c r="AT1854" s="304" t="str">
        <f t="shared" si="1259"/>
        <v/>
      </c>
      <c r="AU1854" s="304" t="str">
        <f t="shared" si="1259"/>
        <v/>
      </c>
      <c r="AV1854" s="28"/>
      <c r="AW1854" s="304" t="str">
        <f t="shared" si="1249"/>
        <v/>
      </c>
      <c r="AX1854" s="304" t="str">
        <f t="shared" si="1249"/>
        <v/>
      </c>
      <c r="AY1854" s="28"/>
      <c r="AZ1854" s="304" t="str">
        <f t="shared" si="1250"/>
        <v/>
      </c>
      <c r="BA1854" s="304" t="str">
        <f t="shared" si="1250"/>
        <v/>
      </c>
      <c r="BB1854" s="28"/>
      <c r="BC1854" s="304" t="str">
        <f t="shared" si="1251"/>
        <v/>
      </c>
      <c r="BD1854" s="304" t="str">
        <f t="shared" si="1251"/>
        <v/>
      </c>
      <c r="BE1854" s="28"/>
      <c r="BF1854" s="304" t="str">
        <f t="shared" si="1252"/>
        <v/>
      </c>
      <c r="BG1854" s="304" t="str">
        <f t="shared" si="1252"/>
        <v/>
      </c>
      <c r="BH1854" s="28"/>
      <c r="BI1854" s="304" t="str">
        <f t="shared" si="1253"/>
        <v/>
      </c>
      <c r="BJ1854" s="304" t="str">
        <f t="shared" si="1253"/>
        <v/>
      </c>
      <c r="BK1854" s="28"/>
      <c r="BL1854" s="304" t="str">
        <f t="shared" si="1254"/>
        <v/>
      </c>
      <c r="BM1854" s="304" t="str">
        <f t="shared" si="1254"/>
        <v/>
      </c>
      <c r="BN1854" s="28"/>
      <c r="BO1854" s="304" t="str">
        <f t="shared" si="1255"/>
        <v/>
      </c>
      <c r="BP1854" s="304" t="str">
        <f t="shared" si="1255"/>
        <v/>
      </c>
      <c r="BQ1854" s="28"/>
      <c r="BR1854" s="304" t="str">
        <f t="shared" si="1256"/>
        <v/>
      </c>
      <c r="BS1854" s="304" t="str">
        <f t="shared" si="1256"/>
        <v/>
      </c>
      <c r="BT1854" s="28"/>
      <c r="BU1854" s="304" t="str">
        <f t="shared" si="1257"/>
        <v/>
      </c>
      <c r="BV1854" s="304" t="str">
        <f t="shared" si="1257"/>
        <v/>
      </c>
      <c r="BW1854" s="28"/>
      <c r="BX1854" s="91"/>
    </row>
    <row r="1855" spans="1:76" s="55" customFormat="1" x14ac:dyDescent="0.25">
      <c r="A1855" s="195">
        <v>20</v>
      </c>
      <c r="B1855" s="216" t="str">
        <f t="shared" si="1260"/>
        <v xml:space="preserve">: </v>
      </c>
      <c r="C1855" s="221"/>
      <c r="D1855" s="221"/>
      <c r="E1855" s="221"/>
      <c r="F1855" s="221"/>
      <c r="G1855" s="240"/>
      <c r="H1855" s="221"/>
      <c r="I1855" s="240"/>
      <c r="J1855" s="241"/>
      <c r="K1855" s="241"/>
      <c r="L1855" s="227"/>
      <c r="M1855" s="227"/>
      <c r="N1855" s="227"/>
      <c r="O1855" s="227"/>
      <c r="P1855" s="122"/>
      <c r="Q1855" s="228"/>
      <c r="R1855" s="231" t="str">
        <f t="shared" si="1258"/>
        <v/>
      </c>
      <c r="S1855" s="230" t="str">
        <f t="shared" si="1247"/>
        <v/>
      </c>
      <c r="T1855" s="231" t="str">
        <f>IF(OR(Q1855="Y",IFERROR(R1855&gt;R1856+R1860*$AA$35,0),IFERROR(R1855&lt;R1856-R1860*$AA$35,0)),"",IFERROR(R1855*N1855,""))</f>
        <v/>
      </c>
      <c r="U1855" s="232" t="str">
        <f t="shared" si="1248"/>
        <v/>
      </c>
      <c r="V1855" s="28"/>
      <c r="W1855" s="28"/>
      <c r="Y1855" s="91"/>
      <c r="AO1855" s="91"/>
      <c r="AP1855" s="28"/>
      <c r="AQ1855" s="28"/>
      <c r="AR1855" s="237"/>
      <c r="AS1855" s="28"/>
      <c r="AT1855" s="304" t="str">
        <f t="shared" si="1259"/>
        <v/>
      </c>
      <c r="AU1855" s="304" t="str">
        <f t="shared" si="1259"/>
        <v/>
      </c>
      <c r="AV1855" s="28"/>
      <c r="AW1855" s="304" t="str">
        <f t="shared" si="1249"/>
        <v/>
      </c>
      <c r="AX1855" s="304" t="str">
        <f t="shared" si="1249"/>
        <v/>
      </c>
      <c r="AY1855" s="28"/>
      <c r="AZ1855" s="304" t="str">
        <f t="shared" si="1250"/>
        <v/>
      </c>
      <c r="BA1855" s="304" t="str">
        <f t="shared" si="1250"/>
        <v/>
      </c>
      <c r="BB1855" s="28"/>
      <c r="BC1855" s="304" t="str">
        <f t="shared" si="1251"/>
        <v/>
      </c>
      <c r="BD1855" s="304" t="str">
        <f t="shared" si="1251"/>
        <v/>
      </c>
      <c r="BE1855" s="28"/>
      <c r="BF1855" s="304" t="str">
        <f t="shared" si="1252"/>
        <v/>
      </c>
      <c r="BG1855" s="304" t="str">
        <f t="shared" si="1252"/>
        <v/>
      </c>
      <c r="BH1855" s="28"/>
      <c r="BI1855" s="304" t="str">
        <f t="shared" si="1253"/>
        <v/>
      </c>
      <c r="BJ1855" s="304" t="str">
        <f t="shared" si="1253"/>
        <v/>
      </c>
      <c r="BK1855" s="28"/>
      <c r="BL1855" s="304" t="str">
        <f t="shared" si="1254"/>
        <v/>
      </c>
      <c r="BM1855" s="304" t="str">
        <f t="shared" si="1254"/>
        <v/>
      </c>
      <c r="BN1855" s="28"/>
      <c r="BO1855" s="304" t="str">
        <f t="shared" si="1255"/>
        <v/>
      </c>
      <c r="BP1855" s="304" t="str">
        <f t="shared" si="1255"/>
        <v/>
      </c>
      <c r="BQ1855" s="28"/>
      <c r="BR1855" s="304" t="str">
        <f t="shared" si="1256"/>
        <v/>
      </c>
      <c r="BS1855" s="304" t="str">
        <f t="shared" si="1256"/>
        <v/>
      </c>
      <c r="BT1855" s="28"/>
      <c r="BU1855" s="304" t="str">
        <f t="shared" si="1257"/>
        <v/>
      </c>
      <c r="BV1855" s="304" t="str">
        <f t="shared" si="1257"/>
        <v/>
      </c>
      <c r="BW1855" s="28"/>
      <c r="BX1855" s="91"/>
    </row>
    <row r="1856" spans="1:76" s="55" customFormat="1" x14ac:dyDescent="0.25">
      <c r="A1856" s="195"/>
      <c r="B1856" s="244" t="s">
        <v>163</v>
      </c>
      <c r="C1856" s="199"/>
      <c r="D1856" s="199"/>
      <c r="E1856" s="199"/>
      <c r="F1856" s="199"/>
      <c r="H1856" s="28"/>
      <c r="I1856" s="245"/>
      <c r="J1856" s="122"/>
      <c r="K1856" s="122"/>
      <c r="L1856" s="122" t="s">
        <v>134</v>
      </c>
      <c r="M1856" s="122"/>
      <c r="N1856" s="122"/>
      <c r="O1856" s="122"/>
      <c r="P1856" s="122"/>
      <c r="Q1856" s="305" t="s">
        <v>136</v>
      </c>
      <c r="R1856" s="246" t="e">
        <f>AVERAGE(R1836:R1855)</f>
        <v>#DIV/0!</v>
      </c>
      <c r="S1856" s="247" t="e">
        <f>IF(R1864="Y",SUM(S1836:S1855)/SUMPRODUCT(N1836:N1855,--ISNUMBER(S1836:S1855)),AVERAGE(S1836:S1855))</f>
        <v>#DIV/0!</v>
      </c>
      <c r="T1856" s="248" t="e">
        <f>SUM(T1836:T1855)/SUMPRODUCT(N1836:N1855,--ISNUMBER(T1836:T1855))</f>
        <v>#DIV/0!</v>
      </c>
      <c r="U1856" s="28"/>
      <c r="V1856" s="28"/>
      <c r="W1856" s="28"/>
      <c r="Y1856" s="249"/>
      <c r="AO1856" s="91"/>
      <c r="AP1856" s="28"/>
      <c r="AQ1856" s="28"/>
      <c r="AR1856" s="28"/>
      <c r="AS1856" s="245" t="s">
        <v>136</v>
      </c>
      <c r="AT1856" s="307" t="e">
        <f>AVERAGE(AT1836:AT1855)</f>
        <v>#DIV/0!</v>
      </c>
      <c r="AU1856" s="307" t="e">
        <f>SUM(AU1836:AU1855)/COUNTIF(AU1836:AU1855,"&gt;0")</f>
        <v>#DIV/0!</v>
      </c>
      <c r="AV1856" s="245"/>
      <c r="AW1856" s="307" t="e">
        <f>AVERAGE(AW1836:AW1855)</f>
        <v>#DIV/0!</v>
      </c>
      <c r="AX1856" s="307" t="e">
        <f>SUM(AX1836:AX1855)/COUNTIF(AX1836:AX1855,"&gt;0")</f>
        <v>#DIV/0!</v>
      </c>
      <c r="AY1856" s="28"/>
      <c r="AZ1856" s="307" t="e">
        <f>AVERAGE(AZ1836:AZ1855)</f>
        <v>#DIV/0!</v>
      </c>
      <c r="BA1856" s="307" t="e">
        <f>SUM(BA1836:BA1855)/COUNTIF(BA1836:BA1855,"&gt;0")</f>
        <v>#DIV/0!</v>
      </c>
      <c r="BB1856" s="28"/>
      <c r="BC1856" s="307" t="e">
        <f>AVERAGE(BC1836:BC1855)</f>
        <v>#DIV/0!</v>
      </c>
      <c r="BD1856" s="307" t="e">
        <f>SUM(BD1836:BD1855)/COUNTIF(BD1836:BD1855,"&gt;0")</f>
        <v>#DIV/0!</v>
      </c>
      <c r="BE1856" s="28"/>
      <c r="BF1856" s="307" t="e">
        <f>AVERAGE(BF1836:BF1855)</f>
        <v>#DIV/0!</v>
      </c>
      <c r="BG1856" s="307" t="e">
        <f>SUM(BG1836:BG1855)/COUNTIF(BG1836:BG1855,"&gt;0")</f>
        <v>#DIV/0!</v>
      </c>
      <c r="BH1856" s="28"/>
      <c r="BI1856" s="307" t="e">
        <f>AVERAGE(BI1836:BI1855)</f>
        <v>#DIV/0!</v>
      </c>
      <c r="BJ1856" s="307" t="e">
        <f>SUM(BJ1836:BJ1855)/COUNTIF(BJ1836:BJ1855,"&gt;0")</f>
        <v>#DIV/0!</v>
      </c>
      <c r="BK1856" s="245"/>
      <c r="BL1856" s="307" t="e">
        <f>AVERAGE(BL1836:BL1855)</f>
        <v>#DIV/0!</v>
      </c>
      <c r="BM1856" s="307" t="e">
        <f>SUM(BM1836:BM1855)/COUNTIF(BM1836:BM1855,"&gt;0")</f>
        <v>#DIV/0!</v>
      </c>
      <c r="BN1856" s="28"/>
      <c r="BO1856" s="307" t="e">
        <f>AVERAGE(BO1836:BO1855)</f>
        <v>#DIV/0!</v>
      </c>
      <c r="BP1856" s="307" t="e">
        <f>SUM(BP1836:BP1855)/COUNTIF(BP1836:BP1855,"&gt;0")</f>
        <v>#DIV/0!</v>
      </c>
      <c r="BQ1856" s="28"/>
      <c r="BR1856" s="307" t="e">
        <f>AVERAGE(BR1836:BR1855)</f>
        <v>#DIV/0!</v>
      </c>
      <c r="BS1856" s="307" t="e">
        <f>SUM(BS1836:BS1855)/COUNTIF(BS1836:BS1855,"&gt;0")</f>
        <v>#DIV/0!</v>
      </c>
      <c r="BT1856" s="28"/>
      <c r="BU1856" s="307" t="e">
        <f>AVERAGE(BU1836:BU1855)</f>
        <v>#DIV/0!</v>
      </c>
      <c r="BV1856" s="307" t="e">
        <f>SUM(BV1836:BV1855)/COUNTIF(BV1836:BV1855,"&gt;0")</f>
        <v>#DIV/0!</v>
      </c>
      <c r="BW1856" s="28"/>
      <c r="BX1856" s="91"/>
    </row>
    <row r="1857" spans="1:76" s="55" customFormat="1" x14ac:dyDescent="0.25">
      <c r="A1857" s="195"/>
      <c r="B1857" s="244" t="s">
        <v>164</v>
      </c>
      <c r="C1857" s="199" t="s">
        <v>139</v>
      </c>
      <c r="D1857" s="252"/>
      <c r="E1857" s="253"/>
      <c r="F1857" s="253"/>
      <c r="G1857" s="253"/>
      <c r="H1857" s="253"/>
      <c r="I1857" s="253"/>
      <c r="J1857" s="254"/>
      <c r="K1857" s="122"/>
      <c r="L1857" s="122"/>
      <c r="M1857" s="122"/>
      <c r="N1857" s="122"/>
      <c r="O1857" s="122"/>
      <c r="P1857" s="122"/>
      <c r="Q1857" s="306" t="s">
        <v>144</v>
      </c>
      <c r="R1857" s="257" t="e">
        <f>R1856+U1857*R1860</f>
        <v>#DIV/0!</v>
      </c>
      <c r="S1857" s="257" t="e">
        <f>S1856+U1857*S1860</f>
        <v>#DIV/0!</v>
      </c>
      <c r="T1857" s="257" t="e">
        <f>T1856+U1857*T1860</f>
        <v>#DIV/0!</v>
      </c>
      <c r="U1857" s="258">
        <v>1</v>
      </c>
      <c r="V1857" s="122" t="s">
        <v>142</v>
      </c>
      <c r="W1857" s="28"/>
      <c r="X1857" s="259" t="s">
        <v>143</v>
      </c>
      <c r="Y1857" s="260"/>
      <c r="AO1857" s="91"/>
      <c r="AP1857" s="28"/>
      <c r="AQ1857" s="28"/>
      <c r="AR1857" s="28"/>
      <c r="AS1857" s="256" t="s">
        <v>144</v>
      </c>
      <c r="AT1857" s="261" t="e">
        <f>AT1856+(AT1862*AT1859)</f>
        <v>#DIV/0!</v>
      </c>
      <c r="AU1857" s="261" t="e">
        <f>AU1856+(AU1862*AT1859)</f>
        <v>#DIV/0!</v>
      </c>
      <c r="AV1857" s="256"/>
      <c r="AW1857" s="261" t="e">
        <f>AW1856+(AW1862*AW1859)</f>
        <v>#DIV/0!</v>
      </c>
      <c r="AX1857" s="261" t="e">
        <f>AX1856+(AX1862*AW1859)</f>
        <v>#DIV/0!</v>
      </c>
      <c r="AY1857" s="28"/>
      <c r="AZ1857" s="261" t="e">
        <f>AZ1856+(AZ1862*AZ1859)</f>
        <v>#DIV/0!</v>
      </c>
      <c r="BA1857" s="261" t="e">
        <f>BA1856+(BA1862*AZ1859)</f>
        <v>#DIV/0!</v>
      </c>
      <c r="BB1857" s="28"/>
      <c r="BC1857" s="261" t="e">
        <f>BC1856+(BC1862*BC1859)</f>
        <v>#DIV/0!</v>
      </c>
      <c r="BD1857" s="261" t="e">
        <f>BD1856+(BD1862*BC1859)</f>
        <v>#DIV/0!</v>
      </c>
      <c r="BE1857" s="28"/>
      <c r="BF1857" s="261" t="e">
        <f>BF1856+(BF1862*BF1859)</f>
        <v>#DIV/0!</v>
      </c>
      <c r="BG1857" s="261" t="e">
        <f>BG1856+(BG1862*BF1859)</f>
        <v>#DIV/0!</v>
      </c>
      <c r="BH1857" s="28"/>
      <c r="BI1857" s="261" t="e">
        <f>BI1856+(BI1862*BI1859)</f>
        <v>#DIV/0!</v>
      </c>
      <c r="BJ1857" s="261" t="e">
        <f>BJ1856+(BJ1862*BI1859)</f>
        <v>#DIV/0!</v>
      </c>
      <c r="BK1857" s="256"/>
      <c r="BL1857" s="261" t="e">
        <f>BL1856+(BL1862*BL1859)</f>
        <v>#DIV/0!</v>
      </c>
      <c r="BM1857" s="261" t="e">
        <f>BM1856+(BM1862*BL1859)</f>
        <v>#DIV/0!</v>
      </c>
      <c r="BN1857" s="28"/>
      <c r="BO1857" s="261" t="e">
        <f>BO1856+(BO1862*BO1859)</f>
        <v>#DIV/0!</v>
      </c>
      <c r="BP1857" s="261" t="e">
        <f>BP1856+(BP1862*BO1859)</f>
        <v>#DIV/0!</v>
      </c>
      <c r="BQ1857" s="28"/>
      <c r="BR1857" s="261" t="e">
        <f>BR1856+(BR1862*BR1859)</f>
        <v>#DIV/0!</v>
      </c>
      <c r="BS1857" s="261" t="e">
        <f>BS1856+(BS1862*BR1859)</f>
        <v>#DIV/0!</v>
      </c>
      <c r="BT1857" s="28"/>
      <c r="BU1857" s="261" t="e">
        <f>BU1856+(BU1862*BU1859)</f>
        <v>#DIV/0!</v>
      </c>
      <c r="BV1857" s="261" t="e">
        <f>BV1856+(BV1862*BU1859)</f>
        <v>#DIV/0!</v>
      </c>
      <c r="BW1857" s="28"/>
      <c r="BX1857" s="91"/>
    </row>
    <row r="1858" spans="1:76" s="55" customFormat="1" x14ac:dyDescent="0.25">
      <c r="A1858" s="195"/>
      <c r="B1858" s="244" t="s">
        <v>165</v>
      </c>
      <c r="C1858" s="195"/>
      <c r="D1858" s="263"/>
      <c r="E1858" s="264"/>
      <c r="F1858" s="264"/>
      <c r="G1858" s="264"/>
      <c r="H1858" s="264"/>
      <c r="I1858" s="264"/>
      <c r="J1858" s="265"/>
      <c r="K1858" s="28"/>
      <c r="L1858" s="28"/>
      <c r="M1858" s="122"/>
      <c r="N1858" s="122"/>
      <c r="O1858" s="122"/>
      <c r="P1858" s="122"/>
      <c r="Q1858" s="306" t="s">
        <v>150</v>
      </c>
      <c r="R1858" s="257" t="e">
        <f>IF($X1858="Y",MIN(R1836:R1855),R1856-$U1858*R1860)</f>
        <v>#DIV/0!</v>
      </c>
      <c r="S1858" s="257" t="e">
        <f>IF($X1858="Y",MIN(S1836:S1855),S1856-$U1858*S1860)</f>
        <v>#DIV/0!</v>
      </c>
      <c r="T1858" s="257" t="e">
        <f>IF($X1858="Y",MIN(T1836:T1855),T1856-$U1858*T1860)</f>
        <v>#DIV/0!</v>
      </c>
      <c r="U1858" s="258">
        <v>1</v>
      </c>
      <c r="V1858" s="122" t="s">
        <v>148</v>
      </c>
      <c r="W1858" s="28"/>
      <c r="X1858" s="266" t="s">
        <v>149</v>
      </c>
      <c r="Y1858" s="260"/>
      <c r="AO1858" s="91"/>
      <c r="AP1858" s="28"/>
      <c r="AQ1858" s="28"/>
      <c r="AR1858" s="28"/>
      <c r="AS1858" s="256" t="s">
        <v>150</v>
      </c>
      <c r="AT1858" s="261" t="e">
        <f>AT1856-(AT1862*AT1860)</f>
        <v>#DIV/0!</v>
      </c>
      <c r="AU1858" s="261" t="e">
        <f>AU1856-(AU1862*AT1860)</f>
        <v>#DIV/0!</v>
      </c>
      <c r="AV1858" s="256"/>
      <c r="AW1858" s="261" t="e">
        <f>AW1856-(AW1862*AW1860)</f>
        <v>#DIV/0!</v>
      </c>
      <c r="AX1858" s="261" t="e">
        <f>AX1856-(AX1862*AW1860)</f>
        <v>#DIV/0!</v>
      </c>
      <c r="AY1858" s="28"/>
      <c r="AZ1858" s="261" t="e">
        <f>AZ1856-(AZ1862*AZ1860)</f>
        <v>#DIV/0!</v>
      </c>
      <c r="BA1858" s="261" t="e">
        <f>BA1856-(BA1862*AZ1860)</f>
        <v>#DIV/0!</v>
      </c>
      <c r="BB1858" s="28"/>
      <c r="BC1858" s="261" t="e">
        <f>BC1856-(BC1862*BC1860)</f>
        <v>#DIV/0!</v>
      </c>
      <c r="BD1858" s="261" t="e">
        <f>BD1856-(BD1862*BC1860)</f>
        <v>#DIV/0!</v>
      </c>
      <c r="BE1858" s="28"/>
      <c r="BF1858" s="261" t="e">
        <f>BF1856-(BF1862*BF1860)</f>
        <v>#DIV/0!</v>
      </c>
      <c r="BG1858" s="261" t="e">
        <f>BG1856-(BG1862*BF1860)</f>
        <v>#DIV/0!</v>
      </c>
      <c r="BH1858" s="28"/>
      <c r="BI1858" s="261" t="e">
        <f>BI1856-(BI1862*BI1860)</f>
        <v>#DIV/0!</v>
      </c>
      <c r="BJ1858" s="261" t="e">
        <f>BJ1856-(BJ1862*BI1860)</f>
        <v>#DIV/0!</v>
      </c>
      <c r="BK1858" s="256"/>
      <c r="BL1858" s="261" t="e">
        <f>BL1856-(BL1862*BL1860)</f>
        <v>#DIV/0!</v>
      </c>
      <c r="BM1858" s="261" t="e">
        <f>BM1856-(BM1862*BL1860)</f>
        <v>#DIV/0!</v>
      </c>
      <c r="BN1858" s="28"/>
      <c r="BO1858" s="261" t="e">
        <f>BO1856-(BO1862*BO1860)</f>
        <v>#DIV/0!</v>
      </c>
      <c r="BP1858" s="261" t="e">
        <f>BP1856-(BP1862*BO1860)</f>
        <v>#DIV/0!</v>
      </c>
      <c r="BQ1858" s="28"/>
      <c r="BR1858" s="261" t="e">
        <f>BR1856-(BR1862*BR1860)</f>
        <v>#DIV/0!</v>
      </c>
      <c r="BS1858" s="261" t="e">
        <f>BS1856-(BS1862*BR1860)</f>
        <v>#DIV/0!</v>
      </c>
      <c r="BT1858" s="28"/>
      <c r="BU1858" s="261" t="e">
        <f>BU1856-(BU1862*BU1860)</f>
        <v>#DIV/0!</v>
      </c>
      <c r="BV1858" s="261" t="e">
        <f>BV1856-(BV1862*BU1860)</f>
        <v>#DIV/0!</v>
      </c>
      <c r="BW1858" s="28"/>
      <c r="BX1858" s="91"/>
    </row>
    <row r="1859" spans="1:76" s="55" customFormat="1" ht="14.25" x14ac:dyDescent="0.2">
      <c r="A1859" s="195"/>
      <c r="B1859" s="196"/>
      <c r="C1859" s="195"/>
      <c r="D1859" s="263"/>
      <c r="E1859" s="264"/>
      <c r="F1859" s="264"/>
      <c r="G1859" s="264"/>
      <c r="H1859" s="264"/>
      <c r="I1859" s="264"/>
      <c r="J1859" s="265"/>
      <c r="K1859" s="122"/>
      <c r="L1859" s="122"/>
      <c r="M1859" s="122"/>
      <c r="N1859" s="122"/>
      <c r="O1859" s="122"/>
      <c r="P1859" s="122"/>
      <c r="Q1859" s="306" t="s">
        <v>151</v>
      </c>
      <c r="R1859" s="257" t="e">
        <f>IF((0.67*R1860)&gt;R1856,"no","yes")</f>
        <v>#DIV/0!</v>
      </c>
      <c r="S1859" s="257" t="e">
        <f>IF((0.67*S1860)&gt;S1856,"no","yes")</f>
        <v>#DIV/0!</v>
      </c>
      <c r="T1859" s="257" t="e">
        <f>IF((0.67*T1860)&gt;T1856,"no","yes")</f>
        <v>#DIV/0!</v>
      </c>
      <c r="U1859" s="122"/>
      <c r="V1859" s="122"/>
      <c r="W1859" s="122"/>
      <c r="Y1859" s="260"/>
      <c r="AO1859" s="91"/>
      <c r="AP1859" s="122"/>
      <c r="AQ1859" s="122"/>
      <c r="AR1859" s="267" t="s">
        <v>152</v>
      </c>
      <c r="AS1859" s="268"/>
      <c r="AT1859" s="258">
        <v>1</v>
      </c>
      <c r="AU1859" s="122"/>
      <c r="AV1859" s="308"/>
      <c r="AW1859" s="258">
        <v>1</v>
      </c>
      <c r="AX1859" s="122"/>
      <c r="AY1859" s="122"/>
      <c r="AZ1859" s="258">
        <v>1</v>
      </c>
      <c r="BA1859" s="122"/>
      <c r="BB1859" s="122"/>
      <c r="BC1859" s="258">
        <v>1</v>
      </c>
      <c r="BD1859" s="122"/>
      <c r="BE1859" s="122"/>
      <c r="BF1859" s="258">
        <v>1</v>
      </c>
      <c r="BG1859" s="122"/>
      <c r="BH1859" s="122"/>
      <c r="BI1859" s="258">
        <v>1</v>
      </c>
      <c r="BJ1859" s="122"/>
      <c r="BK1859" s="256"/>
      <c r="BL1859" s="258">
        <v>1</v>
      </c>
      <c r="BM1859" s="122"/>
      <c r="BN1859" s="122"/>
      <c r="BO1859" s="258">
        <v>1</v>
      </c>
      <c r="BP1859" s="122"/>
      <c r="BQ1859" s="122"/>
      <c r="BR1859" s="258">
        <v>1</v>
      </c>
      <c r="BS1859" s="122"/>
      <c r="BT1859" s="122"/>
      <c r="BU1859" s="258">
        <v>1</v>
      </c>
      <c r="BV1859" s="122"/>
      <c r="BW1859" s="122"/>
      <c r="BX1859" s="91"/>
    </row>
    <row r="1860" spans="1:76" s="55" customFormat="1" ht="28.5" x14ac:dyDescent="0.2">
      <c r="A1860" s="195"/>
      <c r="B1860" s="196"/>
      <c r="C1860" s="195"/>
      <c r="D1860" s="263"/>
      <c r="E1860" s="264"/>
      <c r="F1860" s="264"/>
      <c r="G1860" s="264"/>
      <c r="H1860" s="264"/>
      <c r="I1860" s="264"/>
      <c r="J1860" s="265"/>
      <c r="K1860" s="122"/>
      <c r="L1860" s="122"/>
      <c r="M1860" s="122"/>
      <c r="N1860" s="122"/>
      <c r="O1860" s="122"/>
      <c r="P1860" s="122"/>
      <c r="Q1860" s="306" t="s">
        <v>157</v>
      </c>
      <c r="R1860" s="257">
        <f>IF(COUNT(R1836:R1855)&gt;1,_xlfn.STDEV.S(R1836:R1855),0)</f>
        <v>0</v>
      </c>
      <c r="S1860" s="257" t="e">
        <f t="array" ref="S1860">IF(R1864="Y",SQRT(SUM(IFERROR(N1836:N1855*(R1836:R1855-(S1856))^2,0))/((COUNT(S1836:S1855)-1)/COUNT(S1836:S1855)*SUMPRODUCT(N1836:N1855,--ISNUMBER(S1836:S1855)))),_xlfn.STDEV.S(S1836:S1855))</f>
        <v>#DIV/0!</v>
      </c>
      <c r="T1860" s="257" t="e">
        <f t="array" ref="T1860">SQRT(SUM(IFERROR(N1836:N1855*(R1836:R1855-(T1856))^2,0))/((COUNT(T1836:T1855)-1)/COUNT(T1836:T1855)*SUMPRODUCT(N1836:N1855,--ISNUMBER(T1836:T1855))))</f>
        <v>#DIV/0!</v>
      </c>
      <c r="U1860" s="122"/>
      <c r="V1860" s="122"/>
      <c r="W1860" s="122"/>
      <c r="Y1860" s="260"/>
      <c r="AO1860" s="91"/>
      <c r="AP1860" s="122"/>
      <c r="AQ1860" s="122"/>
      <c r="AR1860" s="267"/>
      <c r="AS1860" s="268"/>
      <c r="AT1860" s="258">
        <v>1</v>
      </c>
      <c r="AU1860" s="122"/>
      <c r="AV1860" s="308"/>
      <c r="AW1860" s="258">
        <v>1</v>
      </c>
      <c r="AX1860" s="122"/>
      <c r="AY1860" s="122"/>
      <c r="AZ1860" s="258">
        <v>1</v>
      </c>
      <c r="BA1860" s="122"/>
      <c r="BB1860" s="122"/>
      <c r="BC1860" s="258">
        <v>1</v>
      </c>
      <c r="BD1860" s="122"/>
      <c r="BE1860" s="122"/>
      <c r="BF1860" s="258">
        <v>1</v>
      </c>
      <c r="BG1860" s="122"/>
      <c r="BH1860" s="122"/>
      <c r="BI1860" s="258">
        <v>1</v>
      </c>
      <c r="BJ1860" s="122"/>
      <c r="BK1860" s="256"/>
      <c r="BL1860" s="258">
        <v>1</v>
      </c>
      <c r="BM1860" s="122"/>
      <c r="BN1860" s="122"/>
      <c r="BO1860" s="258">
        <v>1</v>
      </c>
      <c r="BP1860" s="122"/>
      <c r="BQ1860" s="122"/>
      <c r="BR1860" s="258">
        <v>1</v>
      </c>
      <c r="BS1860" s="122"/>
      <c r="BT1860" s="122"/>
      <c r="BU1860" s="258">
        <v>1</v>
      </c>
      <c r="BV1860" s="122"/>
      <c r="BW1860" s="122"/>
      <c r="BX1860" s="91"/>
    </row>
    <row r="1861" spans="1:76" s="55" customFormat="1" ht="15" customHeight="1" x14ac:dyDescent="0.25">
      <c r="A1861" s="122"/>
      <c r="B1861" s="118"/>
      <c r="C1861" s="195"/>
      <c r="D1861" s="263"/>
      <c r="E1861" s="264"/>
      <c r="F1861" s="264"/>
      <c r="G1861" s="264"/>
      <c r="H1861" s="264"/>
      <c r="I1861" s="264"/>
      <c r="J1861" s="265"/>
      <c r="K1861" s="122"/>
      <c r="L1861" s="122"/>
      <c r="M1861" s="122"/>
      <c r="N1861" s="122"/>
      <c r="O1861" s="122"/>
      <c r="P1861" s="122"/>
      <c r="Q1861" s="309" t="s">
        <v>159</v>
      </c>
      <c r="R1861" s="310">
        <f>COUNT(R1836:R1855)</f>
        <v>0</v>
      </c>
      <c r="S1861" s="310">
        <f>COUNT(S1836:S1855)</f>
        <v>0</v>
      </c>
      <c r="T1861" s="118"/>
      <c r="U1861" s="273" t="s">
        <v>155</v>
      </c>
      <c r="V1861" s="122"/>
      <c r="W1861" s="122"/>
      <c r="Y1861" s="91"/>
      <c r="AO1861" s="91"/>
      <c r="AP1861" s="122"/>
      <c r="AQ1861" s="122"/>
      <c r="AR1861" s="122"/>
      <c r="AS1861" s="256" t="s">
        <v>151</v>
      </c>
      <c r="AT1861" s="261" t="e">
        <f>IF((0.67*AT1862)&gt;AT1856,"no","yes")</f>
        <v>#DIV/0!</v>
      </c>
      <c r="AU1861" s="261" t="e">
        <f>IF((0.67*AU1862)&gt;AU1856,"no","yes")</f>
        <v>#DIV/0!</v>
      </c>
      <c r="AV1861" s="256"/>
      <c r="AW1861" s="261" t="e">
        <f>IF((0.67*AW1862)&gt;AW1856,"no","yes")</f>
        <v>#DIV/0!</v>
      </c>
      <c r="AX1861" s="261" t="e">
        <f>IF((0.67*AX1862)&gt;AX1856,"no","yes")</f>
        <v>#DIV/0!</v>
      </c>
      <c r="AY1861" s="122"/>
      <c r="AZ1861" s="261" t="e">
        <f>IF((0.67*AZ1862)&gt;AZ1856,"no","yes")</f>
        <v>#DIV/0!</v>
      </c>
      <c r="BA1861" s="261" t="e">
        <f>IF((0.67*BA1862)&gt;BA1856,"no","yes")</f>
        <v>#DIV/0!</v>
      </c>
      <c r="BB1861" s="122"/>
      <c r="BC1861" s="261" t="e">
        <f>IF((0.67*BC1862)&gt;BC1856,"no","yes")</f>
        <v>#DIV/0!</v>
      </c>
      <c r="BD1861" s="261" t="e">
        <f>IF((0.67*BD1862)&gt;BD1856,"no","yes")</f>
        <v>#DIV/0!</v>
      </c>
      <c r="BE1861" s="122"/>
      <c r="BF1861" s="261" t="e">
        <f>IF((0.67*BF1862)&gt;BF1856,"no","yes")</f>
        <v>#DIV/0!</v>
      </c>
      <c r="BG1861" s="261" t="e">
        <f>IF((0.67*BG1862)&gt;BG1856,"no","yes")</f>
        <v>#DIV/0!</v>
      </c>
      <c r="BH1861" s="122"/>
      <c r="BI1861" s="261" t="e">
        <f>IF((0.67*BI1862)&gt;BI1856,"no","yes")</f>
        <v>#DIV/0!</v>
      </c>
      <c r="BJ1861" s="261" t="e">
        <f>IF((0.67*BJ1862)&gt;BJ1856,"no","yes")</f>
        <v>#DIV/0!</v>
      </c>
      <c r="BK1861" s="133"/>
      <c r="BL1861" s="261" t="e">
        <f>IF((0.67*BL1862)&gt;BL1856,"no","yes")</f>
        <v>#DIV/0!</v>
      </c>
      <c r="BM1861" s="261" t="e">
        <f>IF((0.67*BM1862)&gt;BM1856,"no","yes")</f>
        <v>#DIV/0!</v>
      </c>
      <c r="BN1861" s="122"/>
      <c r="BO1861" s="261" t="e">
        <f>IF((0.67*BO1862)&gt;BO1856,"no","yes")</f>
        <v>#DIV/0!</v>
      </c>
      <c r="BP1861" s="261" t="e">
        <f>IF((0.67*BP1862)&gt;BP1856,"no","yes")</f>
        <v>#DIV/0!</v>
      </c>
      <c r="BQ1861" s="122"/>
      <c r="BR1861" s="261" t="e">
        <f>IF((0.67*BR1862)&gt;BR1856,"no","yes")</f>
        <v>#DIV/0!</v>
      </c>
      <c r="BS1861" s="261" t="e">
        <f>IF((0.67*BS1862)&gt;BS1856,"no","yes")</f>
        <v>#DIV/0!</v>
      </c>
      <c r="BT1861" s="122"/>
      <c r="BU1861" s="261" t="e">
        <f>IF((0.67*BU1862)&gt;BU1856,"no","yes")</f>
        <v>#DIV/0!</v>
      </c>
      <c r="BV1861" s="261" t="e">
        <f>IF((0.67*BV1862)&gt;BV1856,"no","yes")</f>
        <v>#DIV/0!</v>
      </c>
      <c r="BW1861" s="122"/>
      <c r="BX1861" s="91"/>
    </row>
    <row r="1862" spans="1:76" s="55" customFormat="1" ht="14.25" x14ac:dyDescent="0.2">
      <c r="B1862" s="23"/>
      <c r="C1862" s="195"/>
      <c r="D1862" s="263"/>
      <c r="E1862" s="264"/>
      <c r="F1862" s="264"/>
      <c r="G1862" s="264"/>
      <c r="H1862" s="264"/>
      <c r="I1862" s="264"/>
      <c r="J1862" s="265"/>
      <c r="K1862" s="122"/>
      <c r="L1862" s="122"/>
      <c r="M1862" s="122"/>
      <c r="N1862" s="122"/>
      <c r="O1862" s="122"/>
      <c r="P1862" s="122"/>
      <c r="Q1862" s="311"/>
      <c r="R1862" s="389"/>
      <c r="S1862" s="118"/>
      <c r="T1862" s="118"/>
      <c r="U1862" s="274"/>
      <c r="V1862" s="275"/>
      <c r="W1862" s="276"/>
      <c r="Y1862" s="91"/>
      <c r="AO1862" s="91"/>
      <c r="AP1862" s="122"/>
      <c r="AQ1862" s="122"/>
      <c r="AR1862" s="122"/>
      <c r="AS1862" s="256" t="s">
        <v>157</v>
      </c>
      <c r="AT1862" s="261">
        <f>IF(AT1863&gt;1,_xlfn.STDEV.S(AT1836:AT1855),0)</f>
        <v>0</v>
      </c>
      <c r="AU1862" s="261">
        <f>IF(AU1863&gt;1,_xlfn.STDEV.S(AU1836:AU1855),0)</f>
        <v>0</v>
      </c>
      <c r="AV1862" s="122"/>
      <c r="AW1862" s="261">
        <f t="shared" ref="AW1862:AX1862" si="1261">IF(AW1863&gt;1,_xlfn.STDEV.S(AW1836:AW1855),0)</f>
        <v>0</v>
      </c>
      <c r="AX1862" s="261">
        <f t="shared" si="1261"/>
        <v>0</v>
      </c>
      <c r="AY1862" s="122"/>
      <c r="AZ1862" s="261">
        <f t="shared" ref="AZ1862:BA1862" si="1262">IF(AZ1863&gt;1,_xlfn.STDEV.S(AZ1836:AZ1855),0)</f>
        <v>0</v>
      </c>
      <c r="BA1862" s="261">
        <f t="shared" si="1262"/>
        <v>0</v>
      </c>
      <c r="BB1862" s="122"/>
      <c r="BC1862" s="261">
        <f t="shared" ref="BC1862:BD1862" si="1263">IF(BC1863&gt;1,_xlfn.STDEV.S(BC1836:BC1855),0)</f>
        <v>0</v>
      </c>
      <c r="BD1862" s="261">
        <f t="shared" si="1263"/>
        <v>0</v>
      </c>
      <c r="BE1862" s="122"/>
      <c r="BF1862" s="261">
        <f t="shared" ref="BF1862:BG1862" si="1264">IF(BF1863&gt;1,_xlfn.STDEV.S(BF1836:BF1855),0)</f>
        <v>0</v>
      </c>
      <c r="BG1862" s="261">
        <f t="shared" si="1264"/>
        <v>0</v>
      </c>
      <c r="BH1862" s="122"/>
      <c r="BI1862" s="261">
        <f t="shared" ref="BI1862:BJ1862" si="1265">IF(BI1863&gt;1,_xlfn.STDEV.S(BI1836:BI1855),0)</f>
        <v>0</v>
      </c>
      <c r="BJ1862" s="261">
        <f t="shared" si="1265"/>
        <v>0</v>
      </c>
      <c r="BK1862" s="122"/>
      <c r="BL1862" s="261">
        <f t="shared" ref="BL1862:BM1862" si="1266">IF(BL1863&gt;1,_xlfn.STDEV.S(BL1836:BL1855),0)</f>
        <v>0</v>
      </c>
      <c r="BM1862" s="261">
        <f t="shared" si="1266"/>
        <v>0</v>
      </c>
      <c r="BN1862" s="122"/>
      <c r="BO1862" s="261">
        <f t="shared" ref="BO1862:BP1862" si="1267">IF(BO1863&gt;1,_xlfn.STDEV.S(BO1836:BO1855),0)</f>
        <v>0</v>
      </c>
      <c r="BP1862" s="261">
        <f t="shared" si="1267"/>
        <v>0</v>
      </c>
      <c r="BQ1862" s="122"/>
      <c r="BR1862" s="261">
        <f t="shared" ref="BR1862:BS1862" si="1268">IF(BR1863&gt;1,_xlfn.STDEV.S(BR1836:BR1855),0)</f>
        <v>0</v>
      </c>
      <c r="BS1862" s="261">
        <f t="shared" si="1268"/>
        <v>0</v>
      </c>
      <c r="BT1862" s="122"/>
      <c r="BU1862" s="261">
        <f t="shared" ref="BU1862:BV1862" si="1269">IF(BU1863&gt;1,_xlfn.STDEV.S(BU1836:BU1855),0)</f>
        <v>0</v>
      </c>
      <c r="BV1862" s="261">
        <f t="shared" si="1269"/>
        <v>0</v>
      </c>
      <c r="BW1862" s="122"/>
      <c r="BX1862" s="91"/>
    </row>
    <row r="1863" spans="1:76" s="55" customFormat="1" x14ac:dyDescent="0.2">
      <c r="B1863" s="23"/>
      <c r="C1863" s="195"/>
      <c r="D1863" s="277"/>
      <c r="E1863" s="278"/>
      <c r="F1863" s="278"/>
      <c r="G1863" s="278"/>
      <c r="H1863" s="278"/>
      <c r="I1863" s="278"/>
      <c r="J1863" s="279"/>
      <c r="K1863" s="122"/>
      <c r="L1863" s="122"/>
      <c r="M1863" s="122"/>
      <c r="N1863" s="122"/>
      <c r="O1863" s="122"/>
      <c r="P1863" s="122"/>
      <c r="Q1863" s="311"/>
      <c r="R1863" s="396" t="s">
        <v>158</v>
      </c>
      <c r="S1863" s="118"/>
      <c r="T1863" s="118"/>
      <c r="U1863" s="281"/>
      <c r="V1863" s="282"/>
      <c r="W1863" s="283"/>
      <c r="Y1863" s="91"/>
      <c r="AO1863" s="91"/>
      <c r="AP1863" s="122"/>
      <c r="AQ1863" s="122"/>
      <c r="AR1863" s="122"/>
      <c r="AS1863" s="133" t="s">
        <v>159</v>
      </c>
      <c r="AT1863" s="284">
        <f>COUNT(AT1836:AT1855)</f>
        <v>0</v>
      </c>
      <c r="AU1863" s="284">
        <f>COUNT(AU1836:AU1855)</f>
        <v>0</v>
      </c>
      <c r="AV1863" s="122"/>
      <c r="AW1863" s="284">
        <f t="shared" ref="AW1863:AX1863" si="1270">COUNT(AW1836:AW1855)</f>
        <v>0</v>
      </c>
      <c r="AX1863" s="284">
        <f t="shared" si="1270"/>
        <v>0</v>
      </c>
      <c r="AY1863" s="122"/>
      <c r="AZ1863" s="284">
        <f t="shared" ref="AZ1863:BA1863" si="1271">COUNT(AZ1836:AZ1855)</f>
        <v>0</v>
      </c>
      <c r="BA1863" s="284">
        <f t="shared" si="1271"/>
        <v>0</v>
      </c>
      <c r="BB1863" s="122"/>
      <c r="BC1863" s="284">
        <f t="shared" ref="BC1863:BD1863" si="1272">COUNT(BC1836:BC1855)</f>
        <v>0</v>
      </c>
      <c r="BD1863" s="284">
        <f t="shared" si="1272"/>
        <v>0</v>
      </c>
      <c r="BE1863" s="122"/>
      <c r="BF1863" s="284">
        <f t="shared" ref="BF1863:BG1863" si="1273">COUNT(BF1836:BF1855)</f>
        <v>0</v>
      </c>
      <c r="BG1863" s="284">
        <f t="shared" si="1273"/>
        <v>0</v>
      </c>
      <c r="BH1863" s="122"/>
      <c r="BI1863" s="284">
        <f t="shared" ref="BI1863:BJ1863" si="1274">COUNT(BI1836:BI1855)</f>
        <v>0</v>
      </c>
      <c r="BJ1863" s="284">
        <f t="shared" si="1274"/>
        <v>0</v>
      </c>
      <c r="BK1863" s="122"/>
      <c r="BL1863" s="284">
        <f t="shared" ref="BL1863:BM1863" si="1275">COUNT(BL1836:BL1855)</f>
        <v>0</v>
      </c>
      <c r="BM1863" s="284">
        <f t="shared" si="1275"/>
        <v>0</v>
      </c>
      <c r="BN1863" s="122"/>
      <c r="BO1863" s="284">
        <f t="shared" ref="BO1863:BP1863" si="1276">COUNT(BO1836:BO1855)</f>
        <v>0</v>
      </c>
      <c r="BP1863" s="284">
        <f t="shared" si="1276"/>
        <v>0</v>
      </c>
      <c r="BQ1863" s="122"/>
      <c r="BR1863" s="284">
        <f t="shared" ref="BR1863:BS1863" si="1277">COUNT(BR1836:BR1855)</f>
        <v>0</v>
      </c>
      <c r="BS1863" s="284">
        <f t="shared" si="1277"/>
        <v>0</v>
      </c>
      <c r="BT1863" s="122"/>
      <c r="BU1863" s="284">
        <f t="shared" ref="BU1863:BV1863" si="1278">COUNT(BU1836:BU1855)</f>
        <v>0</v>
      </c>
      <c r="BV1863" s="284">
        <f t="shared" si="1278"/>
        <v>0</v>
      </c>
      <c r="BW1863" s="122"/>
      <c r="BX1863" s="91"/>
    </row>
    <row r="1864" spans="1:76" s="55" customFormat="1" ht="14.25" x14ac:dyDescent="0.2">
      <c r="B1864" s="23"/>
      <c r="C1864" s="195"/>
      <c r="D1864" s="122"/>
      <c r="E1864" s="122"/>
      <c r="F1864" s="122"/>
      <c r="G1864" s="122"/>
      <c r="H1864" s="122"/>
      <c r="I1864" s="122"/>
      <c r="J1864" s="122"/>
      <c r="K1864" s="122"/>
      <c r="L1864" s="122"/>
      <c r="M1864" s="122"/>
      <c r="N1864" s="122"/>
      <c r="O1864" s="122"/>
      <c r="P1864" s="122"/>
      <c r="Q1864" s="311"/>
      <c r="R1864" s="287" t="s">
        <v>149</v>
      </c>
      <c r="S1864" s="122"/>
      <c r="T1864" s="122"/>
      <c r="U1864" s="281"/>
      <c r="V1864" s="282"/>
      <c r="W1864" s="283"/>
      <c r="Y1864" s="91"/>
      <c r="AO1864" s="91"/>
      <c r="BX1864" s="91"/>
    </row>
    <row r="1865" spans="1:76" s="55" customFormat="1" ht="14.25" x14ac:dyDescent="0.2">
      <c r="B1865" s="23"/>
      <c r="C1865" s="195"/>
      <c r="D1865" s="122"/>
      <c r="E1865" s="122"/>
      <c r="F1865" s="122"/>
      <c r="G1865" s="122"/>
      <c r="H1865" s="122"/>
      <c r="I1865" s="122"/>
      <c r="J1865" s="122"/>
      <c r="K1865" s="122"/>
      <c r="L1865" s="122"/>
      <c r="M1865" s="122"/>
      <c r="N1865" s="122"/>
      <c r="O1865" s="122"/>
      <c r="P1865" s="122"/>
      <c r="Q1865" s="311"/>
      <c r="R1865" s="122"/>
      <c r="S1865" s="122"/>
      <c r="T1865" s="122"/>
      <c r="U1865" s="288"/>
      <c r="V1865" s="289"/>
      <c r="W1865" s="290"/>
      <c r="Y1865" s="91"/>
      <c r="AO1865" s="91"/>
      <c r="BX1865" s="91"/>
    </row>
    <row r="1866" spans="1:76" s="55" customFormat="1" ht="18" x14ac:dyDescent="0.25">
      <c r="A1866" s="270" t="e">
        <f ca="1">HYPERLINK("#"&amp;"'"&amp;A$1&amp;"'!a1","Back to top")</f>
        <v>#VALUE!</v>
      </c>
      <c r="B1866" s="271"/>
      <c r="C1866" s="122"/>
      <c r="Q1866" s="81"/>
      <c r="T1866" s="122"/>
      <c r="U1866" s="122"/>
      <c r="V1866" s="122"/>
      <c r="W1866" s="122"/>
      <c r="Y1866" s="91"/>
      <c r="AO1866" s="296"/>
      <c r="AP1866" s="345"/>
      <c r="AQ1866" s="345"/>
      <c r="AR1866" s="346"/>
      <c r="AS1866" s="346"/>
      <c r="AT1866" s="346"/>
      <c r="AU1866" s="346"/>
      <c r="AV1866" s="346"/>
      <c r="AW1866" s="346"/>
      <c r="AX1866" s="346"/>
      <c r="AY1866" s="346"/>
      <c r="AZ1866" s="346"/>
      <c r="BA1866" s="346"/>
      <c r="BB1866" s="346"/>
      <c r="BC1866" s="346"/>
      <c r="BD1866" s="346"/>
      <c r="BE1866" s="346"/>
      <c r="BF1866" s="346"/>
      <c r="BG1866" s="346"/>
      <c r="BH1866" s="346"/>
      <c r="BI1866" s="346"/>
      <c r="BJ1866" s="346"/>
      <c r="BK1866" s="346"/>
      <c r="BL1866" s="346"/>
      <c r="BM1866" s="346"/>
      <c r="BN1866" s="346"/>
      <c r="BO1866" s="346"/>
      <c r="BP1866" s="346"/>
      <c r="BQ1866" s="346"/>
      <c r="BR1866" s="346"/>
      <c r="BS1866" s="346"/>
      <c r="BT1866" s="346"/>
      <c r="BU1866" s="346"/>
      <c r="BV1866" s="346"/>
      <c r="BW1866" s="346"/>
      <c r="BX1866" s="296"/>
    </row>
    <row r="1867" spans="1:76" s="55" customFormat="1" ht="14.25" x14ac:dyDescent="0.2">
      <c r="B1867" s="23"/>
      <c r="Q1867" s="81"/>
      <c r="Y1867" s="91"/>
      <c r="AO1867" s="91"/>
      <c r="BX1867" s="91"/>
    </row>
    <row r="1868" spans="1:76" s="55" customFormat="1" ht="14.25" x14ac:dyDescent="0.2">
      <c r="B1868" s="23"/>
      <c r="Q1868" s="81"/>
      <c r="Y1868" s="91"/>
      <c r="AO1868" s="91"/>
      <c r="BX1868" s="91"/>
    </row>
    <row r="1869" spans="1:76" s="9" customFormat="1" ht="18" x14ac:dyDescent="0.25">
      <c r="A1869" s="188">
        <f>A1833+1</f>
        <v>34</v>
      </c>
      <c r="B1869" s="189"/>
      <c r="C1869" s="293" t="s">
        <v>777</v>
      </c>
      <c r="D1869" s="191"/>
      <c r="E1869" s="191"/>
      <c r="F1869" s="191"/>
      <c r="G1869" s="191"/>
      <c r="J1869" s="191"/>
      <c r="K1869" s="191"/>
      <c r="L1869" s="192"/>
      <c r="M1869" s="192"/>
      <c r="N1869" s="192"/>
      <c r="Q1869" s="193"/>
      <c r="R1869" s="194" t="s">
        <v>93</v>
      </c>
      <c r="S1869" s="194"/>
      <c r="T1869" s="194"/>
      <c r="U1869" s="194"/>
      <c r="AP1869" s="175">
        <f>A1869</f>
        <v>34</v>
      </c>
      <c r="AQ1869" s="175" t="str">
        <f>C1869</f>
        <v>VARIABLE34</v>
      </c>
    </row>
    <row r="1870" spans="1:76" s="55" customFormat="1" x14ac:dyDescent="0.25">
      <c r="A1870" s="195"/>
      <c r="B1870" s="196"/>
      <c r="C1870" s="195"/>
      <c r="D1870" s="120"/>
      <c r="E1870" s="120"/>
      <c r="F1870" s="120"/>
      <c r="G1870" s="120"/>
      <c r="J1870" s="120"/>
      <c r="K1870" s="120"/>
      <c r="L1870" s="122"/>
      <c r="M1870" s="122"/>
      <c r="N1870" s="122"/>
      <c r="Q1870" s="81"/>
      <c r="Y1870" s="91"/>
      <c r="AO1870" s="91"/>
      <c r="AP1870" s="28"/>
      <c r="AQ1870" s="28"/>
      <c r="AR1870" s="28"/>
      <c r="AS1870" s="28"/>
      <c r="AT1870" s="198" t="s">
        <v>171</v>
      </c>
      <c r="AU1870" s="198"/>
      <c r="AV1870" s="28"/>
      <c r="AW1870" s="198" t="s">
        <v>96</v>
      </c>
      <c r="AX1870" s="198"/>
      <c r="AY1870" s="28"/>
      <c r="AZ1870" s="198" t="s">
        <v>97</v>
      </c>
      <c r="BA1870" s="198"/>
      <c r="BB1870" s="28"/>
      <c r="BC1870" s="198" t="s">
        <v>98</v>
      </c>
      <c r="BD1870" s="198"/>
      <c r="BE1870" s="28"/>
      <c r="BF1870" s="198" t="s">
        <v>99</v>
      </c>
      <c r="BG1870" s="198"/>
      <c r="BH1870" s="28"/>
      <c r="BI1870" s="198" t="s">
        <v>100</v>
      </c>
      <c r="BJ1870" s="198"/>
      <c r="BK1870" s="28"/>
      <c r="BL1870" s="198" t="s">
        <v>101</v>
      </c>
      <c r="BM1870" s="198"/>
      <c r="BN1870" s="28"/>
      <c r="BO1870" s="198" t="s">
        <v>102</v>
      </c>
      <c r="BP1870" s="198"/>
      <c r="BQ1870" s="28"/>
      <c r="BR1870" s="198" t="s">
        <v>103</v>
      </c>
      <c r="BS1870" s="198"/>
      <c r="BT1870" s="28"/>
      <c r="BU1870" s="198" t="s">
        <v>104</v>
      </c>
      <c r="BV1870" s="198"/>
      <c r="BW1870" s="28"/>
      <c r="BX1870" s="91"/>
    </row>
    <row r="1871" spans="1:76" s="55" customFormat="1" ht="30.75" thickBot="1" x14ac:dyDescent="0.3">
      <c r="A1871" s="199" t="s">
        <v>105</v>
      </c>
      <c r="B1871" s="200" t="s">
        <v>106</v>
      </c>
      <c r="C1871" s="201" t="s">
        <v>107</v>
      </c>
      <c r="D1871" s="202" t="s">
        <v>108</v>
      </c>
      <c r="E1871" s="202" t="s">
        <v>109</v>
      </c>
      <c r="F1871" s="201" t="s">
        <v>110</v>
      </c>
      <c r="G1871" s="201" t="s">
        <v>111</v>
      </c>
      <c r="H1871" s="202" t="s">
        <v>112</v>
      </c>
      <c r="I1871" s="203" t="s">
        <v>113</v>
      </c>
      <c r="J1871" s="204" t="s">
        <v>114</v>
      </c>
      <c r="K1871" s="205" t="s">
        <v>115</v>
      </c>
      <c r="L1871" s="206" t="s">
        <v>116</v>
      </c>
      <c r="M1871" s="207" t="s">
        <v>117</v>
      </c>
      <c r="N1871" s="208" t="s">
        <v>118</v>
      </c>
      <c r="O1871" s="207" t="s">
        <v>119</v>
      </c>
      <c r="P1871" s="210"/>
      <c r="Q1871" s="211" t="s">
        <v>120</v>
      </c>
      <c r="R1871" s="212" t="s">
        <v>121</v>
      </c>
      <c r="S1871" s="212" t="s">
        <v>122</v>
      </c>
      <c r="T1871" s="212" t="s">
        <v>123</v>
      </c>
      <c r="U1871" s="213" t="s">
        <v>124</v>
      </c>
      <c r="V1871" s="210"/>
      <c r="W1871" s="210"/>
      <c r="Y1871" s="91"/>
      <c r="AO1871" s="91"/>
      <c r="AP1871" s="210"/>
      <c r="AQ1871" s="210"/>
      <c r="AR1871" s="213" t="s">
        <v>125</v>
      </c>
      <c r="AS1871" s="210"/>
      <c r="AT1871" s="215" t="s">
        <v>121</v>
      </c>
      <c r="AU1871" s="215" t="s">
        <v>122</v>
      </c>
      <c r="AV1871" s="210"/>
      <c r="AW1871" s="215" t="s">
        <v>121</v>
      </c>
      <c r="AX1871" s="215" t="s">
        <v>122</v>
      </c>
      <c r="AY1871" s="210"/>
      <c r="AZ1871" s="215" t="s">
        <v>121</v>
      </c>
      <c r="BA1871" s="215" t="s">
        <v>122</v>
      </c>
      <c r="BB1871" s="210"/>
      <c r="BC1871" s="215" t="s">
        <v>121</v>
      </c>
      <c r="BD1871" s="215" t="s">
        <v>122</v>
      </c>
      <c r="BE1871" s="210"/>
      <c r="BF1871" s="215" t="s">
        <v>121</v>
      </c>
      <c r="BG1871" s="215" t="s">
        <v>122</v>
      </c>
      <c r="BH1871" s="210"/>
      <c r="BI1871" s="215" t="s">
        <v>121</v>
      </c>
      <c r="BJ1871" s="215" t="s">
        <v>122</v>
      </c>
      <c r="BK1871" s="210"/>
      <c r="BL1871" s="215" t="s">
        <v>121</v>
      </c>
      <c r="BM1871" s="215" t="s">
        <v>122</v>
      </c>
      <c r="BN1871" s="210"/>
      <c r="BO1871" s="215" t="s">
        <v>121</v>
      </c>
      <c r="BP1871" s="215" t="s">
        <v>122</v>
      </c>
      <c r="BQ1871" s="210"/>
      <c r="BR1871" s="215" t="s">
        <v>121</v>
      </c>
      <c r="BS1871" s="215" t="s">
        <v>122</v>
      </c>
      <c r="BT1871" s="210"/>
      <c r="BU1871" s="215" t="s">
        <v>121</v>
      </c>
      <c r="BV1871" s="215" t="s">
        <v>122</v>
      </c>
      <c r="BW1871" s="210"/>
      <c r="BX1871" s="91"/>
    </row>
    <row r="1872" spans="1:76" s="55" customFormat="1" x14ac:dyDescent="0.25">
      <c r="A1872" s="195">
        <v>1</v>
      </c>
      <c r="B1872" s="216" t="str">
        <f t="shared" ref="B1872:B1873" si="1279">CONCATENATE(E1872,": ",C1872)</f>
        <v xml:space="preserve">: </v>
      </c>
      <c r="C1872" s="219"/>
      <c r="D1872" s="219"/>
      <c r="E1872" s="219"/>
      <c r="F1872" s="219"/>
      <c r="G1872" s="220"/>
      <c r="H1872" s="221"/>
      <c r="I1872" s="220"/>
      <c r="J1872" s="227"/>
      <c r="K1872" s="226"/>
      <c r="L1872" s="227"/>
      <c r="M1872" s="227"/>
      <c r="N1872" s="227"/>
      <c r="O1872" s="227"/>
      <c r="P1872" s="122"/>
      <c r="Q1872" s="228"/>
      <c r="R1872" s="231" t="str">
        <f>IF(Q1872="Y","",IF(AND(L1872="",J1872=""),"",IF(L1872="",J1872,L1872)))</f>
        <v/>
      </c>
      <c r="S1872" s="230" t="str">
        <f t="shared" ref="S1872:S1891" si="1280">IF(R1872="","",IF($R$1900="Y",T1872,IF(R1872&gt;=$R$1892-$AA$35*$R$1896,IF(R1872&lt;=$R$1892+$AA$35*$R$1896,R1872,""),"")))</f>
        <v/>
      </c>
      <c r="T1872" s="231" t="str">
        <f>IF(OR(Q1872="Y",IFERROR(R1872&gt;R1892+R1896*$AA$35,0),IFERROR(R1872&lt;R1892-R1896*$AA$35,0)),"",IFERROR(R1872*N1872,""))</f>
        <v/>
      </c>
      <c r="U1872" s="232" t="str">
        <f t="shared" ref="U1872:U1891" si="1281">IF(AND(M1872="",K1872=""),"",IF(M1872="",K1872,M1872))</f>
        <v/>
      </c>
      <c r="V1872" s="28"/>
      <c r="W1872" s="28"/>
      <c r="Y1872" s="91"/>
      <c r="AO1872" s="91"/>
      <c r="AP1872" s="28"/>
      <c r="AQ1872" s="28"/>
      <c r="AR1872" s="233" t="str">
        <f>$U1872</f>
        <v/>
      </c>
      <c r="AS1872" s="28"/>
      <c r="AT1872" s="304" t="str">
        <f>IF($E1872=$AT$47,R1872,"")</f>
        <v/>
      </c>
      <c r="AU1872" s="304" t="str">
        <f>IF($E1872=$AT$47,S1872,"")</f>
        <v/>
      </c>
      <c r="AV1872" s="28"/>
      <c r="AW1872" s="304" t="str">
        <f t="shared" ref="AW1872:AX1891" si="1282">IF($E1872=$AW$83,R1872,"")</f>
        <v/>
      </c>
      <c r="AX1872" s="304" t="str">
        <f t="shared" si="1282"/>
        <v/>
      </c>
      <c r="AY1872" s="28"/>
      <c r="AZ1872" s="304" t="str">
        <f t="shared" ref="AZ1872:BA1891" si="1283">IF($E1872=$AZ$83,R1872,"")</f>
        <v/>
      </c>
      <c r="BA1872" s="304" t="str">
        <f t="shared" si="1283"/>
        <v/>
      </c>
      <c r="BB1872" s="28"/>
      <c r="BC1872" s="304" t="str">
        <f t="shared" ref="BC1872:BD1891" si="1284">IF($E1872=$BC$83,R1872,"")</f>
        <v/>
      </c>
      <c r="BD1872" s="304" t="str">
        <f t="shared" si="1284"/>
        <v/>
      </c>
      <c r="BE1872" s="28"/>
      <c r="BF1872" s="304" t="str">
        <f t="shared" ref="BF1872:BG1891" si="1285">IF($E1872=$BF$83,R1872,"")</f>
        <v/>
      </c>
      <c r="BG1872" s="304" t="str">
        <f t="shared" si="1285"/>
        <v/>
      </c>
      <c r="BH1872" s="28"/>
      <c r="BI1872" s="304" t="str">
        <f t="shared" ref="BI1872:BJ1891" si="1286">IF($E1872=$BI$83,R1872,"")</f>
        <v/>
      </c>
      <c r="BJ1872" s="304" t="str">
        <f t="shared" si="1286"/>
        <v/>
      </c>
      <c r="BK1872" s="28"/>
      <c r="BL1872" s="304" t="str">
        <f t="shared" ref="BL1872:BM1891" si="1287">IF($E1872=$BL$83,R1872,"")</f>
        <v/>
      </c>
      <c r="BM1872" s="304" t="str">
        <f t="shared" si="1287"/>
        <v/>
      </c>
      <c r="BN1872" s="28"/>
      <c r="BO1872" s="304" t="str">
        <f t="shared" ref="BO1872:BP1891" si="1288">IF($E1872=$BO$83,R1872,"")</f>
        <v/>
      </c>
      <c r="BP1872" s="304" t="str">
        <f t="shared" si="1288"/>
        <v/>
      </c>
      <c r="BQ1872" s="28"/>
      <c r="BR1872" s="304" t="str">
        <f t="shared" ref="BR1872:BS1891" si="1289">IF($E1872=$BR$83,R1872,"")</f>
        <v/>
      </c>
      <c r="BS1872" s="304" t="str">
        <f t="shared" si="1289"/>
        <v/>
      </c>
      <c r="BT1872" s="28"/>
      <c r="BU1872" s="304" t="str">
        <f t="shared" ref="BU1872:BV1891" si="1290">IF($E1872=$BU$83,R1872,"")</f>
        <v/>
      </c>
      <c r="BV1872" s="304" t="str">
        <f t="shared" si="1290"/>
        <v/>
      </c>
      <c r="BW1872" s="28"/>
      <c r="BX1872" s="91"/>
    </row>
    <row r="1873" spans="1:76" s="55" customFormat="1" x14ac:dyDescent="0.25">
      <c r="A1873" s="195">
        <v>2</v>
      </c>
      <c r="B1873" s="216" t="str">
        <f t="shared" si="1279"/>
        <v xml:space="preserve">: </v>
      </c>
      <c r="C1873" s="219"/>
      <c r="D1873" s="219"/>
      <c r="E1873" s="219"/>
      <c r="F1873" s="219"/>
      <c r="G1873" s="220"/>
      <c r="H1873" s="221"/>
      <c r="I1873" s="220"/>
      <c r="J1873" s="227"/>
      <c r="K1873" s="226"/>
      <c r="L1873" s="227"/>
      <c r="M1873" s="227"/>
      <c r="N1873" s="227"/>
      <c r="O1873" s="227"/>
      <c r="P1873" s="122"/>
      <c r="Q1873" s="228"/>
      <c r="R1873" s="231" t="str">
        <f t="shared" ref="R1873:R1891" si="1291">IF(Q1873="Y","",IF(AND(L1873="",J1873=""),"",IF(L1873="",J1873,L1873)))</f>
        <v/>
      </c>
      <c r="S1873" s="230" t="str">
        <f t="shared" si="1280"/>
        <v/>
      </c>
      <c r="T1873" s="231" t="str">
        <f>IF(OR(Q1873="Y",IFERROR(R1873&gt;R1892+R1896*$AA$35,0),IFERROR(R1873&lt;R1892-R1896*$AA$35,0)),"",IFERROR(R1873*N1873,""))</f>
        <v/>
      </c>
      <c r="U1873" s="232" t="str">
        <f t="shared" si="1281"/>
        <v/>
      </c>
      <c r="V1873" s="28"/>
      <c r="W1873" s="28"/>
      <c r="Y1873" s="91"/>
      <c r="AO1873" s="91"/>
      <c r="AP1873" s="28"/>
      <c r="AQ1873" s="28"/>
      <c r="AR1873" s="237"/>
      <c r="AS1873" s="28"/>
      <c r="AT1873" s="304" t="str">
        <f t="shared" ref="AT1873:AU1891" si="1292">IF($E1873=$AT$47,R1873,"")</f>
        <v/>
      </c>
      <c r="AU1873" s="304" t="str">
        <f t="shared" si="1292"/>
        <v/>
      </c>
      <c r="AV1873" s="28"/>
      <c r="AW1873" s="304" t="str">
        <f t="shared" si="1282"/>
        <v/>
      </c>
      <c r="AX1873" s="304" t="str">
        <f t="shared" si="1282"/>
        <v/>
      </c>
      <c r="AY1873" s="28"/>
      <c r="AZ1873" s="304" t="str">
        <f t="shared" si="1283"/>
        <v/>
      </c>
      <c r="BA1873" s="304" t="str">
        <f t="shared" si="1283"/>
        <v/>
      </c>
      <c r="BB1873" s="28"/>
      <c r="BC1873" s="304" t="str">
        <f t="shared" si="1284"/>
        <v/>
      </c>
      <c r="BD1873" s="304" t="str">
        <f t="shared" si="1284"/>
        <v/>
      </c>
      <c r="BE1873" s="28"/>
      <c r="BF1873" s="304" t="str">
        <f t="shared" si="1285"/>
        <v/>
      </c>
      <c r="BG1873" s="304" t="str">
        <f t="shared" si="1285"/>
        <v/>
      </c>
      <c r="BH1873" s="28"/>
      <c r="BI1873" s="304" t="str">
        <f t="shared" si="1286"/>
        <v/>
      </c>
      <c r="BJ1873" s="304" t="str">
        <f t="shared" si="1286"/>
        <v/>
      </c>
      <c r="BK1873" s="28"/>
      <c r="BL1873" s="304" t="str">
        <f t="shared" si="1287"/>
        <v/>
      </c>
      <c r="BM1873" s="304" t="str">
        <f t="shared" si="1287"/>
        <v/>
      </c>
      <c r="BN1873" s="28"/>
      <c r="BO1873" s="304" t="str">
        <f t="shared" si="1288"/>
        <v/>
      </c>
      <c r="BP1873" s="304" t="str">
        <f t="shared" si="1288"/>
        <v/>
      </c>
      <c r="BQ1873" s="28"/>
      <c r="BR1873" s="304" t="str">
        <f t="shared" si="1289"/>
        <v/>
      </c>
      <c r="BS1873" s="304" t="str">
        <f t="shared" si="1289"/>
        <v/>
      </c>
      <c r="BT1873" s="28"/>
      <c r="BU1873" s="304" t="str">
        <f t="shared" si="1290"/>
        <v/>
      </c>
      <c r="BV1873" s="304" t="str">
        <f t="shared" si="1290"/>
        <v/>
      </c>
      <c r="BW1873" s="28"/>
      <c r="BX1873" s="91"/>
    </row>
    <row r="1874" spans="1:76" s="55" customFormat="1" x14ac:dyDescent="0.25">
      <c r="A1874" s="195">
        <v>3</v>
      </c>
      <c r="B1874" s="216" t="str">
        <f>CONCATENATE(E1874,": ",C1874)</f>
        <v xml:space="preserve">: </v>
      </c>
      <c r="C1874" s="221"/>
      <c r="D1874" s="221"/>
      <c r="E1874" s="221"/>
      <c r="F1874" s="221"/>
      <c r="G1874" s="240"/>
      <c r="H1874" s="221"/>
      <c r="I1874" s="240"/>
      <c r="J1874" s="241"/>
      <c r="K1874" s="226"/>
      <c r="L1874" s="227"/>
      <c r="M1874" s="227"/>
      <c r="N1874" s="227"/>
      <c r="O1874" s="227"/>
      <c r="P1874" s="122"/>
      <c r="Q1874" s="228"/>
      <c r="R1874" s="231" t="str">
        <f t="shared" si="1291"/>
        <v/>
      </c>
      <c r="S1874" s="230" t="str">
        <f t="shared" si="1280"/>
        <v/>
      </c>
      <c r="T1874" s="231" t="str">
        <f>IF(OR(Q1874="Y",IFERROR(R1874&gt;R1892+R1896*$AA$35,0),IFERROR(R1874&lt;R1892-R1896*$AA$35,0)),"",IFERROR(R1874*N1874,""))</f>
        <v/>
      </c>
      <c r="U1874" s="232" t="str">
        <f t="shared" si="1281"/>
        <v/>
      </c>
      <c r="V1874" s="28"/>
      <c r="W1874" s="28"/>
      <c r="Y1874" s="91"/>
      <c r="AO1874" s="91"/>
      <c r="AP1874" s="28"/>
      <c r="AQ1874" s="28"/>
      <c r="AR1874" s="237"/>
      <c r="AS1874" s="28"/>
      <c r="AT1874" s="304" t="str">
        <f t="shared" si="1292"/>
        <v/>
      </c>
      <c r="AU1874" s="304" t="str">
        <f t="shared" si="1292"/>
        <v/>
      </c>
      <c r="AV1874" s="28"/>
      <c r="AW1874" s="304" t="str">
        <f t="shared" si="1282"/>
        <v/>
      </c>
      <c r="AX1874" s="304" t="str">
        <f t="shared" si="1282"/>
        <v/>
      </c>
      <c r="AY1874" s="28"/>
      <c r="AZ1874" s="304" t="str">
        <f t="shared" si="1283"/>
        <v/>
      </c>
      <c r="BA1874" s="304" t="str">
        <f t="shared" si="1283"/>
        <v/>
      </c>
      <c r="BB1874" s="28"/>
      <c r="BC1874" s="304" t="str">
        <f t="shared" si="1284"/>
        <v/>
      </c>
      <c r="BD1874" s="304" t="str">
        <f t="shared" si="1284"/>
        <v/>
      </c>
      <c r="BE1874" s="28"/>
      <c r="BF1874" s="304" t="str">
        <f t="shared" si="1285"/>
        <v/>
      </c>
      <c r="BG1874" s="304" t="str">
        <f t="shared" si="1285"/>
        <v/>
      </c>
      <c r="BH1874" s="28"/>
      <c r="BI1874" s="304" t="str">
        <f t="shared" si="1286"/>
        <v/>
      </c>
      <c r="BJ1874" s="304" t="str">
        <f t="shared" si="1286"/>
        <v/>
      </c>
      <c r="BK1874" s="28"/>
      <c r="BL1874" s="304" t="str">
        <f t="shared" si="1287"/>
        <v/>
      </c>
      <c r="BM1874" s="304" t="str">
        <f t="shared" si="1287"/>
        <v/>
      </c>
      <c r="BN1874" s="28"/>
      <c r="BO1874" s="304" t="str">
        <f t="shared" si="1288"/>
        <v/>
      </c>
      <c r="BP1874" s="304" t="str">
        <f t="shared" si="1288"/>
        <v/>
      </c>
      <c r="BQ1874" s="28"/>
      <c r="BR1874" s="304" t="str">
        <f t="shared" si="1289"/>
        <v/>
      </c>
      <c r="BS1874" s="304" t="str">
        <f t="shared" si="1289"/>
        <v/>
      </c>
      <c r="BT1874" s="28"/>
      <c r="BU1874" s="304" t="str">
        <f t="shared" si="1290"/>
        <v/>
      </c>
      <c r="BV1874" s="304" t="str">
        <f t="shared" si="1290"/>
        <v/>
      </c>
      <c r="BW1874" s="28"/>
      <c r="BX1874" s="91"/>
    </row>
    <row r="1875" spans="1:76" s="55" customFormat="1" x14ac:dyDescent="0.25">
      <c r="A1875" s="195">
        <v>4</v>
      </c>
      <c r="B1875" s="216" t="str">
        <f t="shared" ref="B1875:B1891" si="1293">CONCATENATE(E1875,": ",C1875)</f>
        <v xml:space="preserve">: </v>
      </c>
      <c r="C1875" s="221"/>
      <c r="D1875" s="221"/>
      <c r="E1875" s="221"/>
      <c r="F1875" s="221"/>
      <c r="G1875" s="240"/>
      <c r="H1875" s="221"/>
      <c r="I1875" s="240"/>
      <c r="J1875" s="241"/>
      <c r="K1875" s="226"/>
      <c r="L1875" s="227"/>
      <c r="M1875" s="227"/>
      <c r="N1875" s="227"/>
      <c r="O1875" s="227"/>
      <c r="P1875" s="122"/>
      <c r="Q1875" s="228"/>
      <c r="R1875" s="231" t="str">
        <f t="shared" si="1291"/>
        <v/>
      </c>
      <c r="S1875" s="230" t="str">
        <f t="shared" si="1280"/>
        <v/>
      </c>
      <c r="T1875" s="231" t="str">
        <f>IF(OR(Q1875="Y",IFERROR(R1875&gt;R1892+R1896*$AA$35,0),IFERROR(R1875&lt;R1892-R1896*$AA$35,0)),"",IFERROR(R1875*N1875,""))</f>
        <v/>
      </c>
      <c r="U1875" s="232" t="str">
        <f t="shared" si="1281"/>
        <v/>
      </c>
      <c r="V1875" s="28"/>
      <c r="W1875" s="28"/>
      <c r="Y1875" s="91"/>
      <c r="AO1875" s="91"/>
      <c r="AP1875" s="28"/>
      <c r="AQ1875" s="28"/>
      <c r="AR1875" s="237"/>
      <c r="AS1875" s="28"/>
      <c r="AT1875" s="304" t="str">
        <f t="shared" si="1292"/>
        <v/>
      </c>
      <c r="AU1875" s="304" t="str">
        <f t="shared" si="1292"/>
        <v/>
      </c>
      <c r="AV1875" s="28"/>
      <c r="AW1875" s="304" t="str">
        <f t="shared" si="1282"/>
        <v/>
      </c>
      <c r="AX1875" s="304" t="str">
        <f t="shared" si="1282"/>
        <v/>
      </c>
      <c r="AY1875" s="28"/>
      <c r="AZ1875" s="304" t="str">
        <f t="shared" si="1283"/>
        <v/>
      </c>
      <c r="BA1875" s="304" t="str">
        <f t="shared" si="1283"/>
        <v/>
      </c>
      <c r="BB1875" s="28"/>
      <c r="BC1875" s="304" t="str">
        <f t="shared" si="1284"/>
        <v/>
      </c>
      <c r="BD1875" s="304" t="str">
        <f t="shared" si="1284"/>
        <v/>
      </c>
      <c r="BE1875" s="28"/>
      <c r="BF1875" s="304" t="str">
        <f t="shared" si="1285"/>
        <v/>
      </c>
      <c r="BG1875" s="304" t="str">
        <f t="shared" si="1285"/>
        <v/>
      </c>
      <c r="BH1875" s="28"/>
      <c r="BI1875" s="304" t="str">
        <f t="shared" si="1286"/>
        <v/>
      </c>
      <c r="BJ1875" s="304" t="str">
        <f t="shared" si="1286"/>
        <v/>
      </c>
      <c r="BK1875" s="28"/>
      <c r="BL1875" s="304" t="str">
        <f t="shared" si="1287"/>
        <v/>
      </c>
      <c r="BM1875" s="304" t="str">
        <f t="shared" si="1287"/>
        <v/>
      </c>
      <c r="BN1875" s="28"/>
      <c r="BO1875" s="304" t="str">
        <f t="shared" si="1288"/>
        <v/>
      </c>
      <c r="BP1875" s="304" t="str">
        <f t="shared" si="1288"/>
        <v/>
      </c>
      <c r="BQ1875" s="28"/>
      <c r="BR1875" s="304" t="str">
        <f t="shared" si="1289"/>
        <v/>
      </c>
      <c r="BS1875" s="304" t="str">
        <f t="shared" si="1289"/>
        <v/>
      </c>
      <c r="BT1875" s="28"/>
      <c r="BU1875" s="304" t="str">
        <f t="shared" si="1290"/>
        <v/>
      </c>
      <c r="BV1875" s="304" t="str">
        <f t="shared" si="1290"/>
        <v/>
      </c>
      <c r="BW1875" s="28"/>
      <c r="BX1875" s="91"/>
    </row>
    <row r="1876" spans="1:76" s="55" customFormat="1" x14ac:dyDescent="0.25">
      <c r="A1876" s="195">
        <v>5</v>
      </c>
      <c r="B1876" s="216" t="str">
        <f t="shared" si="1293"/>
        <v xml:space="preserve">: </v>
      </c>
      <c r="C1876" s="221"/>
      <c r="D1876" s="221"/>
      <c r="E1876" s="221"/>
      <c r="F1876" s="221"/>
      <c r="G1876" s="240"/>
      <c r="H1876" s="221"/>
      <c r="I1876" s="240"/>
      <c r="J1876" s="241"/>
      <c r="K1876" s="226"/>
      <c r="L1876" s="227"/>
      <c r="M1876" s="227"/>
      <c r="N1876" s="227"/>
      <c r="O1876" s="227"/>
      <c r="P1876" s="122"/>
      <c r="Q1876" s="228"/>
      <c r="R1876" s="231" t="str">
        <f t="shared" si="1291"/>
        <v/>
      </c>
      <c r="S1876" s="230" t="str">
        <f t="shared" si="1280"/>
        <v/>
      </c>
      <c r="T1876" s="231" t="str">
        <f>IF(OR(Q1876="Y",IFERROR(R1876&gt;R1892+R1896*$AA$35,0),IFERROR(R1876&lt;R1892-R1896*$AA$35,0)),"",IFERROR(R1876*N1876,""))</f>
        <v/>
      </c>
      <c r="U1876" s="232" t="str">
        <f t="shared" si="1281"/>
        <v/>
      </c>
      <c r="V1876" s="28"/>
      <c r="W1876" s="28"/>
      <c r="Y1876" s="91"/>
      <c r="AO1876" s="91"/>
      <c r="AP1876" s="28"/>
      <c r="AQ1876" s="28"/>
      <c r="AR1876" s="237"/>
      <c r="AS1876" s="28"/>
      <c r="AT1876" s="304" t="str">
        <f t="shared" si="1292"/>
        <v/>
      </c>
      <c r="AU1876" s="304" t="str">
        <f t="shared" si="1292"/>
        <v/>
      </c>
      <c r="AV1876" s="28"/>
      <c r="AW1876" s="304" t="str">
        <f t="shared" si="1282"/>
        <v/>
      </c>
      <c r="AX1876" s="304" t="str">
        <f t="shared" si="1282"/>
        <v/>
      </c>
      <c r="AY1876" s="28"/>
      <c r="AZ1876" s="304" t="str">
        <f t="shared" si="1283"/>
        <v/>
      </c>
      <c r="BA1876" s="304" t="str">
        <f t="shared" si="1283"/>
        <v/>
      </c>
      <c r="BB1876" s="28"/>
      <c r="BC1876" s="304" t="str">
        <f t="shared" si="1284"/>
        <v/>
      </c>
      <c r="BD1876" s="304" t="str">
        <f t="shared" si="1284"/>
        <v/>
      </c>
      <c r="BE1876" s="28"/>
      <c r="BF1876" s="304" t="str">
        <f t="shared" si="1285"/>
        <v/>
      </c>
      <c r="BG1876" s="304" t="str">
        <f t="shared" si="1285"/>
        <v/>
      </c>
      <c r="BH1876" s="28"/>
      <c r="BI1876" s="304" t="str">
        <f t="shared" si="1286"/>
        <v/>
      </c>
      <c r="BJ1876" s="304" t="str">
        <f t="shared" si="1286"/>
        <v/>
      </c>
      <c r="BK1876" s="28"/>
      <c r="BL1876" s="304" t="str">
        <f t="shared" si="1287"/>
        <v/>
      </c>
      <c r="BM1876" s="304" t="str">
        <f t="shared" si="1287"/>
        <v/>
      </c>
      <c r="BN1876" s="28"/>
      <c r="BO1876" s="304" t="str">
        <f t="shared" si="1288"/>
        <v/>
      </c>
      <c r="BP1876" s="304" t="str">
        <f t="shared" si="1288"/>
        <v/>
      </c>
      <c r="BQ1876" s="28"/>
      <c r="BR1876" s="304" t="str">
        <f t="shared" si="1289"/>
        <v/>
      </c>
      <c r="BS1876" s="304" t="str">
        <f t="shared" si="1289"/>
        <v/>
      </c>
      <c r="BT1876" s="28"/>
      <c r="BU1876" s="304" t="str">
        <f t="shared" si="1290"/>
        <v/>
      </c>
      <c r="BV1876" s="304" t="str">
        <f t="shared" si="1290"/>
        <v/>
      </c>
      <c r="BW1876" s="28"/>
      <c r="BX1876" s="91"/>
    </row>
    <row r="1877" spans="1:76" s="55" customFormat="1" x14ac:dyDescent="0.25">
      <c r="A1877" s="195">
        <v>6</v>
      </c>
      <c r="B1877" s="216" t="str">
        <f t="shared" si="1293"/>
        <v xml:space="preserve">: </v>
      </c>
      <c r="C1877" s="221"/>
      <c r="D1877" s="221"/>
      <c r="E1877" s="221"/>
      <c r="F1877" s="221"/>
      <c r="G1877" s="240"/>
      <c r="H1877" s="221"/>
      <c r="I1877" s="240"/>
      <c r="J1877" s="241"/>
      <c r="K1877" s="226"/>
      <c r="L1877" s="227"/>
      <c r="M1877" s="227"/>
      <c r="N1877" s="227"/>
      <c r="O1877" s="227"/>
      <c r="P1877" s="122"/>
      <c r="Q1877" s="228"/>
      <c r="R1877" s="231" t="str">
        <f t="shared" si="1291"/>
        <v/>
      </c>
      <c r="S1877" s="230" t="str">
        <f t="shared" si="1280"/>
        <v/>
      </c>
      <c r="T1877" s="231" t="str">
        <f>IF(OR(Q1877="Y",IFERROR(R1877&gt;R1892+R1896*$AA$35,0),IFERROR(R1877&lt;R1892-R1896*$AA$35,0)),"",IFERROR(R1877*N1877,""))</f>
        <v/>
      </c>
      <c r="U1877" s="232" t="str">
        <f t="shared" si="1281"/>
        <v/>
      </c>
      <c r="V1877" s="28"/>
      <c r="W1877" s="28"/>
      <c r="Y1877" s="91"/>
      <c r="AO1877" s="91"/>
      <c r="AP1877" s="28"/>
      <c r="AQ1877" s="28"/>
      <c r="AR1877" s="237"/>
      <c r="AS1877" s="28"/>
      <c r="AT1877" s="304" t="str">
        <f t="shared" si="1292"/>
        <v/>
      </c>
      <c r="AU1877" s="304" t="str">
        <f t="shared" si="1292"/>
        <v/>
      </c>
      <c r="AV1877" s="28"/>
      <c r="AW1877" s="304" t="str">
        <f t="shared" si="1282"/>
        <v/>
      </c>
      <c r="AX1877" s="304" t="str">
        <f t="shared" si="1282"/>
        <v/>
      </c>
      <c r="AY1877" s="28"/>
      <c r="AZ1877" s="304" t="str">
        <f t="shared" si="1283"/>
        <v/>
      </c>
      <c r="BA1877" s="304" t="str">
        <f t="shared" si="1283"/>
        <v/>
      </c>
      <c r="BB1877" s="28"/>
      <c r="BC1877" s="304" t="str">
        <f t="shared" si="1284"/>
        <v/>
      </c>
      <c r="BD1877" s="304" t="str">
        <f t="shared" si="1284"/>
        <v/>
      </c>
      <c r="BE1877" s="28"/>
      <c r="BF1877" s="304" t="str">
        <f t="shared" si="1285"/>
        <v/>
      </c>
      <c r="BG1877" s="304" t="str">
        <f t="shared" si="1285"/>
        <v/>
      </c>
      <c r="BH1877" s="28"/>
      <c r="BI1877" s="304" t="str">
        <f t="shared" si="1286"/>
        <v/>
      </c>
      <c r="BJ1877" s="304" t="str">
        <f t="shared" si="1286"/>
        <v/>
      </c>
      <c r="BK1877" s="28"/>
      <c r="BL1877" s="304" t="str">
        <f t="shared" si="1287"/>
        <v/>
      </c>
      <c r="BM1877" s="304" t="str">
        <f t="shared" si="1287"/>
        <v/>
      </c>
      <c r="BN1877" s="28"/>
      <c r="BO1877" s="304" t="str">
        <f t="shared" si="1288"/>
        <v/>
      </c>
      <c r="BP1877" s="304" t="str">
        <f t="shared" si="1288"/>
        <v/>
      </c>
      <c r="BQ1877" s="28"/>
      <c r="BR1877" s="304" t="str">
        <f t="shared" si="1289"/>
        <v/>
      </c>
      <c r="BS1877" s="304" t="str">
        <f t="shared" si="1289"/>
        <v/>
      </c>
      <c r="BT1877" s="28"/>
      <c r="BU1877" s="304" t="str">
        <f t="shared" si="1290"/>
        <v/>
      </c>
      <c r="BV1877" s="304" t="str">
        <f t="shared" si="1290"/>
        <v/>
      </c>
      <c r="BW1877" s="28"/>
      <c r="BX1877" s="91"/>
    </row>
    <row r="1878" spans="1:76" s="55" customFormat="1" x14ac:dyDescent="0.25">
      <c r="A1878" s="195">
        <v>7</v>
      </c>
      <c r="B1878" s="216" t="str">
        <f t="shared" si="1293"/>
        <v xml:space="preserve">: </v>
      </c>
      <c r="C1878" s="221"/>
      <c r="D1878" s="221"/>
      <c r="E1878" s="221"/>
      <c r="F1878" s="221"/>
      <c r="G1878" s="240"/>
      <c r="H1878" s="221"/>
      <c r="I1878" s="240"/>
      <c r="J1878" s="241"/>
      <c r="K1878" s="226"/>
      <c r="L1878" s="227"/>
      <c r="M1878" s="227"/>
      <c r="N1878" s="227"/>
      <c r="O1878" s="227"/>
      <c r="P1878" s="122"/>
      <c r="Q1878" s="228"/>
      <c r="R1878" s="231" t="str">
        <f t="shared" si="1291"/>
        <v/>
      </c>
      <c r="S1878" s="230" t="str">
        <f t="shared" si="1280"/>
        <v/>
      </c>
      <c r="T1878" s="231" t="str">
        <f>IF(OR(Q1878="Y",IFERROR(R1878&gt;R1892+R1896*$AA$35,0),IFERROR(R1878&lt;R1892-R1896*$AA$35,0)),"",IFERROR(R1878*N1878,""))</f>
        <v/>
      </c>
      <c r="U1878" s="232" t="str">
        <f t="shared" si="1281"/>
        <v/>
      </c>
      <c r="V1878" s="28"/>
      <c r="W1878" s="28"/>
      <c r="Y1878" s="91"/>
      <c r="AO1878" s="91"/>
      <c r="AP1878" s="28"/>
      <c r="AQ1878" s="28"/>
      <c r="AR1878" s="237"/>
      <c r="AS1878" s="28"/>
      <c r="AT1878" s="304" t="str">
        <f t="shared" si="1292"/>
        <v/>
      </c>
      <c r="AU1878" s="304" t="str">
        <f t="shared" si="1292"/>
        <v/>
      </c>
      <c r="AV1878" s="28"/>
      <c r="AW1878" s="304" t="str">
        <f t="shared" si="1282"/>
        <v/>
      </c>
      <c r="AX1878" s="304" t="str">
        <f t="shared" si="1282"/>
        <v/>
      </c>
      <c r="AY1878" s="28"/>
      <c r="AZ1878" s="304" t="str">
        <f t="shared" si="1283"/>
        <v/>
      </c>
      <c r="BA1878" s="304" t="str">
        <f t="shared" si="1283"/>
        <v/>
      </c>
      <c r="BB1878" s="28"/>
      <c r="BC1878" s="304" t="str">
        <f t="shared" si="1284"/>
        <v/>
      </c>
      <c r="BD1878" s="304" t="str">
        <f t="shared" si="1284"/>
        <v/>
      </c>
      <c r="BE1878" s="28"/>
      <c r="BF1878" s="304" t="str">
        <f t="shared" si="1285"/>
        <v/>
      </c>
      <c r="BG1878" s="304" t="str">
        <f t="shared" si="1285"/>
        <v/>
      </c>
      <c r="BH1878" s="28"/>
      <c r="BI1878" s="304" t="str">
        <f t="shared" si="1286"/>
        <v/>
      </c>
      <c r="BJ1878" s="304" t="str">
        <f t="shared" si="1286"/>
        <v/>
      </c>
      <c r="BK1878" s="28"/>
      <c r="BL1878" s="304" t="str">
        <f t="shared" si="1287"/>
        <v/>
      </c>
      <c r="BM1878" s="304" t="str">
        <f t="shared" si="1287"/>
        <v/>
      </c>
      <c r="BN1878" s="28"/>
      <c r="BO1878" s="304" t="str">
        <f t="shared" si="1288"/>
        <v/>
      </c>
      <c r="BP1878" s="304" t="str">
        <f t="shared" si="1288"/>
        <v/>
      </c>
      <c r="BQ1878" s="28"/>
      <c r="BR1878" s="304" t="str">
        <f t="shared" si="1289"/>
        <v/>
      </c>
      <c r="BS1878" s="304" t="str">
        <f t="shared" si="1289"/>
        <v/>
      </c>
      <c r="BT1878" s="28"/>
      <c r="BU1878" s="304" t="str">
        <f t="shared" si="1290"/>
        <v/>
      </c>
      <c r="BV1878" s="304" t="str">
        <f t="shared" si="1290"/>
        <v/>
      </c>
      <c r="BW1878" s="28"/>
      <c r="BX1878" s="91"/>
    </row>
    <row r="1879" spans="1:76" s="55" customFormat="1" x14ac:dyDescent="0.25">
      <c r="A1879" s="195">
        <v>8</v>
      </c>
      <c r="B1879" s="216" t="str">
        <f t="shared" si="1293"/>
        <v xml:space="preserve">: </v>
      </c>
      <c r="C1879" s="221"/>
      <c r="D1879" s="221"/>
      <c r="E1879" s="221"/>
      <c r="F1879" s="221"/>
      <c r="G1879" s="240"/>
      <c r="H1879" s="221"/>
      <c r="I1879" s="240"/>
      <c r="J1879" s="241"/>
      <c r="K1879" s="226"/>
      <c r="L1879" s="227"/>
      <c r="M1879" s="227"/>
      <c r="N1879" s="227"/>
      <c r="O1879" s="227"/>
      <c r="P1879" s="122"/>
      <c r="Q1879" s="228"/>
      <c r="R1879" s="231" t="str">
        <f t="shared" si="1291"/>
        <v/>
      </c>
      <c r="S1879" s="230" t="str">
        <f t="shared" si="1280"/>
        <v/>
      </c>
      <c r="T1879" s="231" t="str">
        <f>IF(OR(Q1879="Y",IFERROR(R1879&gt;R1892+R1896*$AA$35,0),IFERROR(R1879&lt;R1892-R1896*$AA$35,0)),"",IFERROR(R1879*N1879,""))</f>
        <v/>
      </c>
      <c r="U1879" s="232" t="str">
        <f t="shared" si="1281"/>
        <v/>
      </c>
      <c r="V1879" s="28"/>
      <c r="W1879" s="28"/>
      <c r="Y1879" s="91"/>
      <c r="AO1879" s="91"/>
      <c r="AP1879" s="28"/>
      <c r="AQ1879" s="28"/>
      <c r="AR1879" s="237"/>
      <c r="AS1879" s="28"/>
      <c r="AT1879" s="304" t="str">
        <f t="shared" si="1292"/>
        <v/>
      </c>
      <c r="AU1879" s="304" t="str">
        <f t="shared" si="1292"/>
        <v/>
      </c>
      <c r="AV1879" s="28"/>
      <c r="AW1879" s="304" t="str">
        <f t="shared" si="1282"/>
        <v/>
      </c>
      <c r="AX1879" s="304" t="str">
        <f t="shared" si="1282"/>
        <v/>
      </c>
      <c r="AY1879" s="28"/>
      <c r="AZ1879" s="304" t="str">
        <f t="shared" si="1283"/>
        <v/>
      </c>
      <c r="BA1879" s="304" t="str">
        <f t="shared" si="1283"/>
        <v/>
      </c>
      <c r="BB1879" s="28"/>
      <c r="BC1879" s="304" t="str">
        <f t="shared" si="1284"/>
        <v/>
      </c>
      <c r="BD1879" s="304" t="str">
        <f t="shared" si="1284"/>
        <v/>
      </c>
      <c r="BE1879" s="28"/>
      <c r="BF1879" s="304" t="str">
        <f t="shared" si="1285"/>
        <v/>
      </c>
      <c r="BG1879" s="304" t="str">
        <f t="shared" si="1285"/>
        <v/>
      </c>
      <c r="BH1879" s="28"/>
      <c r="BI1879" s="304" t="str">
        <f t="shared" si="1286"/>
        <v/>
      </c>
      <c r="BJ1879" s="304" t="str">
        <f t="shared" si="1286"/>
        <v/>
      </c>
      <c r="BK1879" s="28"/>
      <c r="BL1879" s="304" t="str">
        <f t="shared" si="1287"/>
        <v/>
      </c>
      <c r="BM1879" s="304" t="str">
        <f t="shared" si="1287"/>
        <v/>
      </c>
      <c r="BN1879" s="28"/>
      <c r="BO1879" s="304" t="str">
        <f t="shared" si="1288"/>
        <v/>
      </c>
      <c r="BP1879" s="304" t="str">
        <f t="shared" si="1288"/>
        <v/>
      </c>
      <c r="BQ1879" s="28"/>
      <c r="BR1879" s="304" t="str">
        <f t="shared" si="1289"/>
        <v/>
      </c>
      <c r="BS1879" s="304" t="str">
        <f t="shared" si="1289"/>
        <v/>
      </c>
      <c r="BT1879" s="28"/>
      <c r="BU1879" s="304" t="str">
        <f t="shared" si="1290"/>
        <v/>
      </c>
      <c r="BV1879" s="304" t="str">
        <f t="shared" si="1290"/>
        <v/>
      </c>
      <c r="BW1879" s="28"/>
      <c r="BX1879" s="91"/>
    </row>
    <row r="1880" spans="1:76" s="55" customFormat="1" x14ac:dyDescent="0.25">
      <c r="A1880" s="195">
        <v>9</v>
      </c>
      <c r="B1880" s="216" t="str">
        <f t="shared" si="1293"/>
        <v xml:space="preserve">: </v>
      </c>
      <c r="C1880" s="221"/>
      <c r="D1880" s="221"/>
      <c r="E1880" s="221"/>
      <c r="F1880" s="221"/>
      <c r="G1880" s="240"/>
      <c r="H1880" s="221"/>
      <c r="I1880" s="240"/>
      <c r="J1880" s="241"/>
      <c r="K1880" s="226"/>
      <c r="L1880" s="227"/>
      <c r="M1880" s="227"/>
      <c r="N1880" s="227"/>
      <c r="O1880" s="227"/>
      <c r="P1880" s="122"/>
      <c r="Q1880" s="228"/>
      <c r="R1880" s="231" t="str">
        <f t="shared" si="1291"/>
        <v/>
      </c>
      <c r="S1880" s="230" t="str">
        <f t="shared" si="1280"/>
        <v/>
      </c>
      <c r="T1880" s="231" t="str">
        <f>IF(OR(Q1880="Y",IFERROR(R1880&gt;R1892+R1896*$AA$35,0),IFERROR(R1880&lt;R1892-R1896*$AA$35,0)),"",IFERROR(R1880*N1880,""))</f>
        <v/>
      </c>
      <c r="U1880" s="232" t="str">
        <f t="shared" si="1281"/>
        <v/>
      </c>
      <c r="V1880" s="28"/>
      <c r="W1880" s="28"/>
      <c r="Y1880" s="91"/>
      <c r="AO1880" s="91"/>
      <c r="AP1880" s="28"/>
      <c r="AQ1880" s="28"/>
      <c r="AR1880" s="237"/>
      <c r="AS1880" s="28"/>
      <c r="AT1880" s="304" t="str">
        <f t="shared" si="1292"/>
        <v/>
      </c>
      <c r="AU1880" s="304" t="str">
        <f t="shared" si="1292"/>
        <v/>
      </c>
      <c r="AV1880" s="28"/>
      <c r="AW1880" s="304" t="str">
        <f t="shared" si="1282"/>
        <v/>
      </c>
      <c r="AX1880" s="304" t="str">
        <f t="shared" si="1282"/>
        <v/>
      </c>
      <c r="AY1880" s="28"/>
      <c r="AZ1880" s="304" t="str">
        <f t="shared" si="1283"/>
        <v/>
      </c>
      <c r="BA1880" s="304" t="str">
        <f t="shared" si="1283"/>
        <v/>
      </c>
      <c r="BB1880" s="28"/>
      <c r="BC1880" s="304" t="str">
        <f t="shared" si="1284"/>
        <v/>
      </c>
      <c r="BD1880" s="304" t="str">
        <f t="shared" si="1284"/>
        <v/>
      </c>
      <c r="BE1880" s="28"/>
      <c r="BF1880" s="304" t="str">
        <f t="shared" si="1285"/>
        <v/>
      </c>
      <c r="BG1880" s="304" t="str">
        <f t="shared" si="1285"/>
        <v/>
      </c>
      <c r="BH1880" s="28"/>
      <c r="BI1880" s="304" t="str">
        <f t="shared" si="1286"/>
        <v/>
      </c>
      <c r="BJ1880" s="304" t="str">
        <f t="shared" si="1286"/>
        <v/>
      </c>
      <c r="BK1880" s="28"/>
      <c r="BL1880" s="304" t="str">
        <f t="shared" si="1287"/>
        <v/>
      </c>
      <c r="BM1880" s="304" t="str">
        <f t="shared" si="1287"/>
        <v/>
      </c>
      <c r="BN1880" s="28"/>
      <c r="BO1880" s="304" t="str">
        <f t="shared" si="1288"/>
        <v/>
      </c>
      <c r="BP1880" s="304" t="str">
        <f t="shared" si="1288"/>
        <v/>
      </c>
      <c r="BQ1880" s="28"/>
      <c r="BR1880" s="304" t="str">
        <f t="shared" si="1289"/>
        <v/>
      </c>
      <c r="BS1880" s="304" t="str">
        <f t="shared" si="1289"/>
        <v/>
      </c>
      <c r="BT1880" s="28"/>
      <c r="BU1880" s="304" t="str">
        <f t="shared" si="1290"/>
        <v/>
      </c>
      <c r="BV1880" s="304" t="str">
        <f t="shared" si="1290"/>
        <v/>
      </c>
      <c r="BW1880" s="28"/>
      <c r="BX1880" s="91"/>
    </row>
    <row r="1881" spans="1:76" s="55" customFormat="1" x14ac:dyDescent="0.25">
      <c r="A1881" s="195">
        <v>10</v>
      </c>
      <c r="B1881" s="216" t="str">
        <f t="shared" si="1293"/>
        <v xml:space="preserve">: </v>
      </c>
      <c r="C1881" s="221"/>
      <c r="D1881" s="221"/>
      <c r="E1881" s="221"/>
      <c r="F1881" s="221"/>
      <c r="G1881" s="240"/>
      <c r="H1881" s="221"/>
      <c r="I1881" s="240"/>
      <c r="J1881" s="241"/>
      <c r="K1881" s="226"/>
      <c r="L1881" s="227"/>
      <c r="M1881" s="227"/>
      <c r="N1881" s="227"/>
      <c r="O1881" s="227"/>
      <c r="P1881" s="122"/>
      <c r="Q1881" s="228"/>
      <c r="R1881" s="231" t="str">
        <f t="shared" si="1291"/>
        <v/>
      </c>
      <c r="S1881" s="230" t="str">
        <f t="shared" si="1280"/>
        <v/>
      </c>
      <c r="T1881" s="231" t="str">
        <f>IF(OR(Q1881="Y",IFERROR(R1881&gt;R1892+R1896*$AA$35,0),IFERROR(R1881&lt;R1892-R1896*$AA$35,0)),"",IFERROR(R1881*N1881,""))</f>
        <v/>
      </c>
      <c r="U1881" s="232" t="str">
        <f t="shared" si="1281"/>
        <v/>
      </c>
      <c r="V1881" s="28"/>
      <c r="W1881" s="28"/>
      <c r="Y1881" s="91"/>
      <c r="AO1881" s="91"/>
      <c r="AP1881" s="28"/>
      <c r="AQ1881" s="28"/>
      <c r="AR1881" s="237"/>
      <c r="AS1881" s="28"/>
      <c r="AT1881" s="304" t="str">
        <f t="shared" si="1292"/>
        <v/>
      </c>
      <c r="AU1881" s="304" t="str">
        <f t="shared" si="1292"/>
        <v/>
      </c>
      <c r="AV1881" s="28"/>
      <c r="AW1881" s="304" t="str">
        <f t="shared" si="1282"/>
        <v/>
      </c>
      <c r="AX1881" s="304" t="str">
        <f t="shared" si="1282"/>
        <v/>
      </c>
      <c r="AY1881" s="28"/>
      <c r="AZ1881" s="304" t="str">
        <f t="shared" si="1283"/>
        <v/>
      </c>
      <c r="BA1881" s="304" t="str">
        <f t="shared" si="1283"/>
        <v/>
      </c>
      <c r="BB1881" s="28"/>
      <c r="BC1881" s="304" t="str">
        <f t="shared" si="1284"/>
        <v/>
      </c>
      <c r="BD1881" s="304" t="str">
        <f t="shared" si="1284"/>
        <v/>
      </c>
      <c r="BE1881" s="28"/>
      <c r="BF1881" s="304" t="str">
        <f t="shared" si="1285"/>
        <v/>
      </c>
      <c r="BG1881" s="304" t="str">
        <f t="shared" si="1285"/>
        <v/>
      </c>
      <c r="BH1881" s="28"/>
      <c r="BI1881" s="304" t="str">
        <f t="shared" si="1286"/>
        <v/>
      </c>
      <c r="BJ1881" s="304" t="str">
        <f t="shared" si="1286"/>
        <v/>
      </c>
      <c r="BK1881" s="28"/>
      <c r="BL1881" s="304" t="str">
        <f t="shared" si="1287"/>
        <v/>
      </c>
      <c r="BM1881" s="304" t="str">
        <f t="shared" si="1287"/>
        <v/>
      </c>
      <c r="BN1881" s="28"/>
      <c r="BO1881" s="304" t="str">
        <f t="shared" si="1288"/>
        <v/>
      </c>
      <c r="BP1881" s="304" t="str">
        <f t="shared" si="1288"/>
        <v/>
      </c>
      <c r="BQ1881" s="28"/>
      <c r="BR1881" s="304" t="str">
        <f t="shared" si="1289"/>
        <v/>
      </c>
      <c r="BS1881" s="304" t="str">
        <f t="shared" si="1289"/>
        <v/>
      </c>
      <c r="BT1881" s="28"/>
      <c r="BU1881" s="304" t="str">
        <f t="shared" si="1290"/>
        <v/>
      </c>
      <c r="BV1881" s="304" t="str">
        <f t="shared" si="1290"/>
        <v/>
      </c>
      <c r="BW1881" s="28"/>
      <c r="BX1881" s="91"/>
    </row>
    <row r="1882" spans="1:76" s="55" customFormat="1" x14ac:dyDescent="0.25">
      <c r="A1882" s="195">
        <v>11</v>
      </c>
      <c r="B1882" s="216" t="str">
        <f t="shared" si="1293"/>
        <v xml:space="preserve">: </v>
      </c>
      <c r="C1882" s="221"/>
      <c r="D1882" s="221"/>
      <c r="E1882" s="221"/>
      <c r="F1882" s="221"/>
      <c r="G1882" s="240"/>
      <c r="H1882" s="221"/>
      <c r="I1882" s="240"/>
      <c r="J1882" s="241"/>
      <c r="K1882" s="226"/>
      <c r="L1882" s="227"/>
      <c r="M1882" s="227"/>
      <c r="N1882" s="227"/>
      <c r="O1882" s="227"/>
      <c r="P1882" s="122"/>
      <c r="Q1882" s="228"/>
      <c r="R1882" s="231" t="str">
        <f t="shared" si="1291"/>
        <v/>
      </c>
      <c r="S1882" s="230" t="str">
        <f t="shared" si="1280"/>
        <v/>
      </c>
      <c r="T1882" s="231" t="str">
        <f>IF(OR(Q1882="Y",IFERROR(R1882&gt;R1892+R1896*$AA$35,0),IFERROR(R1882&lt;R1892-R1896*$AA$35,0)),"",IFERROR(R1882*N1882,""))</f>
        <v/>
      </c>
      <c r="U1882" s="232" t="str">
        <f t="shared" si="1281"/>
        <v/>
      </c>
      <c r="V1882" s="28"/>
      <c r="W1882" s="28"/>
      <c r="Y1882" s="91"/>
      <c r="AO1882" s="91"/>
      <c r="AP1882" s="28"/>
      <c r="AQ1882" s="28"/>
      <c r="AR1882" s="237"/>
      <c r="AS1882" s="28"/>
      <c r="AT1882" s="304" t="str">
        <f t="shared" si="1292"/>
        <v/>
      </c>
      <c r="AU1882" s="304" t="str">
        <f t="shared" si="1292"/>
        <v/>
      </c>
      <c r="AV1882" s="28"/>
      <c r="AW1882" s="304" t="str">
        <f t="shared" si="1282"/>
        <v/>
      </c>
      <c r="AX1882" s="304" t="str">
        <f t="shared" si="1282"/>
        <v/>
      </c>
      <c r="AY1882" s="28"/>
      <c r="AZ1882" s="304" t="str">
        <f t="shared" si="1283"/>
        <v/>
      </c>
      <c r="BA1882" s="304" t="str">
        <f t="shared" si="1283"/>
        <v/>
      </c>
      <c r="BB1882" s="28"/>
      <c r="BC1882" s="304" t="str">
        <f t="shared" si="1284"/>
        <v/>
      </c>
      <c r="BD1882" s="304" t="str">
        <f t="shared" si="1284"/>
        <v/>
      </c>
      <c r="BE1882" s="28"/>
      <c r="BF1882" s="304" t="str">
        <f t="shared" si="1285"/>
        <v/>
      </c>
      <c r="BG1882" s="304" t="str">
        <f t="shared" si="1285"/>
        <v/>
      </c>
      <c r="BH1882" s="28"/>
      <c r="BI1882" s="304" t="str">
        <f t="shared" si="1286"/>
        <v/>
      </c>
      <c r="BJ1882" s="304" t="str">
        <f t="shared" si="1286"/>
        <v/>
      </c>
      <c r="BK1882" s="28"/>
      <c r="BL1882" s="304" t="str">
        <f t="shared" si="1287"/>
        <v/>
      </c>
      <c r="BM1882" s="304" t="str">
        <f t="shared" si="1287"/>
        <v/>
      </c>
      <c r="BN1882" s="28"/>
      <c r="BO1882" s="304" t="str">
        <f t="shared" si="1288"/>
        <v/>
      </c>
      <c r="BP1882" s="304" t="str">
        <f t="shared" si="1288"/>
        <v/>
      </c>
      <c r="BQ1882" s="28"/>
      <c r="BR1882" s="304" t="str">
        <f t="shared" si="1289"/>
        <v/>
      </c>
      <c r="BS1882" s="304" t="str">
        <f t="shared" si="1289"/>
        <v/>
      </c>
      <c r="BT1882" s="28"/>
      <c r="BU1882" s="304" t="str">
        <f t="shared" si="1290"/>
        <v/>
      </c>
      <c r="BV1882" s="304" t="str">
        <f t="shared" si="1290"/>
        <v/>
      </c>
      <c r="BW1882" s="28"/>
      <c r="BX1882" s="91"/>
    </row>
    <row r="1883" spans="1:76" s="55" customFormat="1" x14ac:dyDescent="0.25">
      <c r="A1883" s="195">
        <v>12</v>
      </c>
      <c r="B1883" s="216" t="str">
        <f t="shared" si="1293"/>
        <v xml:space="preserve">: </v>
      </c>
      <c r="C1883" s="221"/>
      <c r="D1883" s="221"/>
      <c r="E1883" s="221"/>
      <c r="F1883" s="221"/>
      <c r="G1883" s="240"/>
      <c r="H1883" s="221"/>
      <c r="I1883" s="240"/>
      <c r="J1883" s="241"/>
      <c r="K1883" s="226"/>
      <c r="L1883" s="227"/>
      <c r="M1883" s="227"/>
      <c r="N1883" s="227"/>
      <c r="O1883" s="227"/>
      <c r="P1883" s="122"/>
      <c r="Q1883" s="228"/>
      <c r="R1883" s="231" t="str">
        <f t="shared" si="1291"/>
        <v/>
      </c>
      <c r="S1883" s="230" t="str">
        <f t="shared" si="1280"/>
        <v/>
      </c>
      <c r="T1883" s="231" t="str">
        <f>IF(OR(Q1883="Y",IFERROR(R1883&gt;R1892+R1896*$AA$35,0),IFERROR(R1883&lt;R1892-R1896*$AA$35,0)),"",IFERROR(R1883*N1883,""))</f>
        <v/>
      </c>
      <c r="U1883" s="232" t="str">
        <f t="shared" si="1281"/>
        <v/>
      </c>
      <c r="V1883" s="28"/>
      <c r="W1883" s="28"/>
      <c r="Y1883" s="91"/>
      <c r="AO1883" s="91"/>
      <c r="AP1883" s="28"/>
      <c r="AQ1883" s="28"/>
      <c r="AR1883" s="237"/>
      <c r="AS1883" s="28"/>
      <c r="AT1883" s="304" t="str">
        <f t="shared" si="1292"/>
        <v/>
      </c>
      <c r="AU1883" s="304" t="str">
        <f t="shared" si="1292"/>
        <v/>
      </c>
      <c r="AV1883" s="28"/>
      <c r="AW1883" s="304" t="str">
        <f t="shared" si="1282"/>
        <v/>
      </c>
      <c r="AX1883" s="304" t="str">
        <f t="shared" si="1282"/>
        <v/>
      </c>
      <c r="AY1883" s="28"/>
      <c r="AZ1883" s="304" t="str">
        <f t="shared" si="1283"/>
        <v/>
      </c>
      <c r="BA1883" s="304" t="str">
        <f t="shared" si="1283"/>
        <v/>
      </c>
      <c r="BB1883" s="28"/>
      <c r="BC1883" s="304" t="str">
        <f t="shared" si="1284"/>
        <v/>
      </c>
      <c r="BD1883" s="304" t="str">
        <f t="shared" si="1284"/>
        <v/>
      </c>
      <c r="BE1883" s="28"/>
      <c r="BF1883" s="304" t="str">
        <f t="shared" si="1285"/>
        <v/>
      </c>
      <c r="BG1883" s="304" t="str">
        <f t="shared" si="1285"/>
        <v/>
      </c>
      <c r="BH1883" s="28"/>
      <c r="BI1883" s="304" t="str">
        <f t="shared" si="1286"/>
        <v/>
      </c>
      <c r="BJ1883" s="304" t="str">
        <f t="shared" si="1286"/>
        <v/>
      </c>
      <c r="BK1883" s="28"/>
      <c r="BL1883" s="304" t="str">
        <f t="shared" si="1287"/>
        <v/>
      </c>
      <c r="BM1883" s="304" t="str">
        <f t="shared" si="1287"/>
        <v/>
      </c>
      <c r="BN1883" s="28"/>
      <c r="BO1883" s="304" t="str">
        <f t="shared" si="1288"/>
        <v/>
      </c>
      <c r="BP1883" s="304" t="str">
        <f t="shared" si="1288"/>
        <v/>
      </c>
      <c r="BQ1883" s="28"/>
      <c r="BR1883" s="304" t="str">
        <f t="shared" si="1289"/>
        <v/>
      </c>
      <c r="BS1883" s="304" t="str">
        <f t="shared" si="1289"/>
        <v/>
      </c>
      <c r="BT1883" s="28"/>
      <c r="BU1883" s="304" t="str">
        <f t="shared" si="1290"/>
        <v/>
      </c>
      <c r="BV1883" s="304" t="str">
        <f t="shared" si="1290"/>
        <v/>
      </c>
      <c r="BW1883" s="28"/>
      <c r="BX1883" s="91"/>
    </row>
    <row r="1884" spans="1:76" s="55" customFormat="1" x14ac:dyDescent="0.25">
      <c r="A1884" s="195">
        <v>13</v>
      </c>
      <c r="B1884" s="216" t="str">
        <f t="shared" si="1293"/>
        <v xml:space="preserve">: </v>
      </c>
      <c r="C1884" s="221"/>
      <c r="D1884" s="221"/>
      <c r="E1884" s="221"/>
      <c r="F1884" s="221"/>
      <c r="G1884" s="240"/>
      <c r="H1884" s="221"/>
      <c r="I1884" s="240"/>
      <c r="J1884" s="241"/>
      <c r="K1884" s="226"/>
      <c r="L1884" s="227"/>
      <c r="M1884" s="227"/>
      <c r="N1884" s="227"/>
      <c r="O1884" s="227"/>
      <c r="P1884" s="122"/>
      <c r="Q1884" s="228"/>
      <c r="R1884" s="231" t="str">
        <f t="shared" si="1291"/>
        <v/>
      </c>
      <c r="S1884" s="230" t="str">
        <f t="shared" si="1280"/>
        <v/>
      </c>
      <c r="T1884" s="231" t="str">
        <f>IF(OR(Q1884="Y",IFERROR(R1884&gt;R1892+R1896*$AA$35,0),IFERROR(R1884&lt;R1892-R1896*$AA$35,0)),"",IFERROR(R1884*N1884,""))</f>
        <v/>
      </c>
      <c r="U1884" s="232" t="str">
        <f t="shared" si="1281"/>
        <v/>
      </c>
      <c r="V1884" s="28"/>
      <c r="W1884" s="28"/>
      <c r="Y1884" s="91"/>
      <c r="AO1884" s="91"/>
      <c r="AP1884" s="28"/>
      <c r="AQ1884" s="28"/>
      <c r="AR1884" s="237"/>
      <c r="AS1884" s="28"/>
      <c r="AT1884" s="304" t="str">
        <f t="shared" si="1292"/>
        <v/>
      </c>
      <c r="AU1884" s="304" t="str">
        <f t="shared" si="1292"/>
        <v/>
      </c>
      <c r="AV1884" s="28"/>
      <c r="AW1884" s="304" t="str">
        <f t="shared" si="1282"/>
        <v/>
      </c>
      <c r="AX1884" s="304" t="str">
        <f t="shared" si="1282"/>
        <v/>
      </c>
      <c r="AY1884" s="28"/>
      <c r="AZ1884" s="304" t="str">
        <f t="shared" si="1283"/>
        <v/>
      </c>
      <c r="BA1884" s="304" t="str">
        <f t="shared" si="1283"/>
        <v/>
      </c>
      <c r="BB1884" s="28"/>
      <c r="BC1884" s="304" t="str">
        <f t="shared" si="1284"/>
        <v/>
      </c>
      <c r="BD1884" s="304" t="str">
        <f t="shared" si="1284"/>
        <v/>
      </c>
      <c r="BE1884" s="28"/>
      <c r="BF1884" s="304" t="str">
        <f t="shared" si="1285"/>
        <v/>
      </c>
      <c r="BG1884" s="304" t="str">
        <f t="shared" si="1285"/>
        <v/>
      </c>
      <c r="BH1884" s="28"/>
      <c r="BI1884" s="304" t="str">
        <f t="shared" si="1286"/>
        <v/>
      </c>
      <c r="BJ1884" s="304" t="str">
        <f t="shared" si="1286"/>
        <v/>
      </c>
      <c r="BK1884" s="28"/>
      <c r="BL1884" s="304" t="str">
        <f t="shared" si="1287"/>
        <v/>
      </c>
      <c r="BM1884" s="304" t="str">
        <f t="shared" si="1287"/>
        <v/>
      </c>
      <c r="BN1884" s="28"/>
      <c r="BO1884" s="304" t="str">
        <f t="shared" si="1288"/>
        <v/>
      </c>
      <c r="BP1884" s="304" t="str">
        <f t="shared" si="1288"/>
        <v/>
      </c>
      <c r="BQ1884" s="28"/>
      <c r="BR1884" s="304" t="str">
        <f t="shared" si="1289"/>
        <v/>
      </c>
      <c r="BS1884" s="304" t="str">
        <f t="shared" si="1289"/>
        <v/>
      </c>
      <c r="BT1884" s="28"/>
      <c r="BU1884" s="304" t="str">
        <f t="shared" si="1290"/>
        <v/>
      </c>
      <c r="BV1884" s="304" t="str">
        <f t="shared" si="1290"/>
        <v/>
      </c>
      <c r="BW1884" s="28"/>
      <c r="BX1884" s="91"/>
    </row>
    <row r="1885" spans="1:76" s="55" customFormat="1" x14ac:dyDescent="0.25">
      <c r="A1885" s="195">
        <v>14</v>
      </c>
      <c r="B1885" s="216" t="str">
        <f t="shared" si="1293"/>
        <v xml:space="preserve">: </v>
      </c>
      <c r="C1885" s="221"/>
      <c r="D1885" s="221"/>
      <c r="E1885" s="221"/>
      <c r="F1885" s="221"/>
      <c r="G1885" s="240"/>
      <c r="H1885" s="221"/>
      <c r="I1885" s="240"/>
      <c r="J1885" s="241"/>
      <c r="K1885" s="226"/>
      <c r="L1885" s="227"/>
      <c r="M1885" s="227"/>
      <c r="N1885" s="227"/>
      <c r="O1885" s="227"/>
      <c r="P1885" s="122"/>
      <c r="Q1885" s="228"/>
      <c r="R1885" s="231" t="str">
        <f t="shared" si="1291"/>
        <v/>
      </c>
      <c r="S1885" s="230" t="str">
        <f t="shared" si="1280"/>
        <v/>
      </c>
      <c r="T1885" s="231" t="str">
        <f>IF(OR(Q1885="Y",IFERROR(R1885&gt;R1892+R1896*$AA$35,0),IFERROR(R1885&lt;R1892-R1896*$AA$35,0)),"",IFERROR(R1885*N1885,""))</f>
        <v/>
      </c>
      <c r="U1885" s="232" t="str">
        <f t="shared" si="1281"/>
        <v/>
      </c>
      <c r="V1885" s="28"/>
      <c r="W1885" s="28"/>
      <c r="Y1885" s="91"/>
      <c r="AO1885" s="91"/>
      <c r="AP1885" s="28"/>
      <c r="AQ1885" s="28"/>
      <c r="AR1885" s="237"/>
      <c r="AS1885" s="28"/>
      <c r="AT1885" s="304" t="str">
        <f t="shared" si="1292"/>
        <v/>
      </c>
      <c r="AU1885" s="304" t="str">
        <f t="shared" si="1292"/>
        <v/>
      </c>
      <c r="AV1885" s="28"/>
      <c r="AW1885" s="304" t="str">
        <f t="shared" si="1282"/>
        <v/>
      </c>
      <c r="AX1885" s="304" t="str">
        <f t="shared" si="1282"/>
        <v/>
      </c>
      <c r="AY1885" s="28"/>
      <c r="AZ1885" s="304" t="str">
        <f t="shared" si="1283"/>
        <v/>
      </c>
      <c r="BA1885" s="304" t="str">
        <f t="shared" si="1283"/>
        <v/>
      </c>
      <c r="BB1885" s="28"/>
      <c r="BC1885" s="304" t="str">
        <f t="shared" si="1284"/>
        <v/>
      </c>
      <c r="BD1885" s="304" t="str">
        <f t="shared" si="1284"/>
        <v/>
      </c>
      <c r="BE1885" s="28"/>
      <c r="BF1885" s="304" t="str">
        <f t="shared" si="1285"/>
        <v/>
      </c>
      <c r="BG1885" s="304" t="str">
        <f t="shared" si="1285"/>
        <v/>
      </c>
      <c r="BH1885" s="28"/>
      <c r="BI1885" s="304" t="str">
        <f t="shared" si="1286"/>
        <v/>
      </c>
      <c r="BJ1885" s="304" t="str">
        <f t="shared" si="1286"/>
        <v/>
      </c>
      <c r="BK1885" s="28"/>
      <c r="BL1885" s="304" t="str">
        <f t="shared" si="1287"/>
        <v/>
      </c>
      <c r="BM1885" s="304" t="str">
        <f t="shared" si="1287"/>
        <v/>
      </c>
      <c r="BN1885" s="28"/>
      <c r="BO1885" s="304" t="str">
        <f t="shared" si="1288"/>
        <v/>
      </c>
      <c r="BP1885" s="304" t="str">
        <f t="shared" si="1288"/>
        <v/>
      </c>
      <c r="BQ1885" s="28"/>
      <c r="BR1885" s="304" t="str">
        <f t="shared" si="1289"/>
        <v/>
      </c>
      <c r="BS1885" s="304" t="str">
        <f t="shared" si="1289"/>
        <v/>
      </c>
      <c r="BT1885" s="28"/>
      <c r="BU1885" s="304" t="str">
        <f t="shared" si="1290"/>
        <v/>
      </c>
      <c r="BV1885" s="304" t="str">
        <f t="shared" si="1290"/>
        <v/>
      </c>
      <c r="BW1885" s="28"/>
      <c r="BX1885" s="91"/>
    </row>
    <row r="1886" spans="1:76" s="55" customFormat="1" x14ac:dyDescent="0.25">
      <c r="A1886" s="195">
        <v>15</v>
      </c>
      <c r="B1886" s="216" t="str">
        <f t="shared" si="1293"/>
        <v xml:space="preserve">: </v>
      </c>
      <c r="C1886" s="221"/>
      <c r="D1886" s="221"/>
      <c r="E1886" s="221"/>
      <c r="F1886" s="221"/>
      <c r="G1886" s="240"/>
      <c r="H1886" s="221"/>
      <c r="I1886" s="240"/>
      <c r="J1886" s="241"/>
      <c r="K1886" s="226"/>
      <c r="L1886" s="227"/>
      <c r="M1886" s="227"/>
      <c r="N1886" s="227"/>
      <c r="O1886" s="227"/>
      <c r="P1886" s="122"/>
      <c r="Q1886" s="228"/>
      <c r="R1886" s="231" t="str">
        <f t="shared" si="1291"/>
        <v/>
      </c>
      <c r="S1886" s="230" t="str">
        <f t="shared" si="1280"/>
        <v/>
      </c>
      <c r="T1886" s="231" t="str">
        <f>IF(OR(Q1886="Y",IFERROR(R1886&gt;R1892+R1896*$AA$35,0),IFERROR(R1886&lt;R1892-R1896*$AA$35,0)),"",IFERROR(R1886*N1886,""))</f>
        <v/>
      </c>
      <c r="U1886" s="232" t="str">
        <f t="shared" si="1281"/>
        <v/>
      </c>
      <c r="V1886" s="28"/>
      <c r="W1886" s="28"/>
      <c r="Y1886" s="91"/>
      <c r="AO1886" s="91"/>
      <c r="AP1886" s="28"/>
      <c r="AQ1886" s="28"/>
      <c r="AR1886" s="237"/>
      <c r="AS1886" s="28"/>
      <c r="AT1886" s="304" t="str">
        <f t="shared" si="1292"/>
        <v/>
      </c>
      <c r="AU1886" s="304" t="str">
        <f t="shared" si="1292"/>
        <v/>
      </c>
      <c r="AV1886" s="28"/>
      <c r="AW1886" s="304" t="str">
        <f t="shared" si="1282"/>
        <v/>
      </c>
      <c r="AX1886" s="304" t="str">
        <f t="shared" si="1282"/>
        <v/>
      </c>
      <c r="AY1886" s="28"/>
      <c r="AZ1886" s="304" t="str">
        <f t="shared" si="1283"/>
        <v/>
      </c>
      <c r="BA1886" s="304" t="str">
        <f t="shared" si="1283"/>
        <v/>
      </c>
      <c r="BB1886" s="28"/>
      <c r="BC1886" s="304" t="str">
        <f t="shared" si="1284"/>
        <v/>
      </c>
      <c r="BD1886" s="304" t="str">
        <f t="shared" si="1284"/>
        <v/>
      </c>
      <c r="BE1886" s="28"/>
      <c r="BF1886" s="304" t="str">
        <f t="shared" si="1285"/>
        <v/>
      </c>
      <c r="BG1886" s="304" t="str">
        <f t="shared" si="1285"/>
        <v/>
      </c>
      <c r="BH1886" s="28"/>
      <c r="BI1886" s="304" t="str">
        <f t="shared" si="1286"/>
        <v/>
      </c>
      <c r="BJ1886" s="304" t="str">
        <f t="shared" si="1286"/>
        <v/>
      </c>
      <c r="BK1886" s="28"/>
      <c r="BL1886" s="304" t="str">
        <f t="shared" si="1287"/>
        <v/>
      </c>
      <c r="BM1886" s="304" t="str">
        <f t="shared" si="1287"/>
        <v/>
      </c>
      <c r="BN1886" s="28"/>
      <c r="BO1886" s="304" t="str">
        <f t="shared" si="1288"/>
        <v/>
      </c>
      <c r="BP1886" s="304" t="str">
        <f t="shared" si="1288"/>
        <v/>
      </c>
      <c r="BQ1886" s="28"/>
      <c r="BR1886" s="304" t="str">
        <f t="shared" si="1289"/>
        <v/>
      </c>
      <c r="BS1886" s="304" t="str">
        <f t="shared" si="1289"/>
        <v/>
      </c>
      <c r="BT1886" s="28"/>
      <c r="BU1886" s="304" t="str">
        <f t="shared" si="1290"/>
        <v/>
      </c>
      <c r="BV1886" s="304" t="str">
        <f t="shared" si="1290"/>
        <v/>
      </c>
      <c r="BW1886" s="28"/>
      <c r="BX1886" s="91"/>
    </row>
    <row r="1887" spans="1:76" s="55" customFormat="1" x14ac:dyDescent="0.25">
      <c r="A1887" s="195">
        <v>16</v>
      </c>
      <c r="B1887" s="216" t="str">
        <f t="shared" si="1293"/>
        <v xml:space="preserve">: </v>
      </c>
      <c r="C1887" s="221"/>
      <c r="D1887" s="221"/>
      <c r="E1887" s="221"/>
      <c r="F1887" s="221"/>
      <c r="G1887" s="240"/>
      <c r="H1887" s="221"/>
      <c r="I1887" s="240"/>
      <c r="J1887" s="241"/>
      <c r="K1887" s="226"/>
      <c r="L1887" s="227"/>
      <c r="M1887" s="227"/>
      <c r="N1887" s="227"/>
      <c r="O1887" s="227"/>
      <c r="P1887" s="122"/>
      <c r="Q1887" s="228"/>
      <c r="R1887" s="231" t="str">
        <f t="shared" si="1291"/>
        <v/>
      </c>
      <c r="S1887" s="230" t="str">
        <f t="shared" si="1280"/>
        <v/>
      </c>
      <c r="T1887" s="231" t="str">
        <f>IF(OR(Q1887="Y",IFERROR(R1887&gt;R1892+R1896*$AA$35,0),IFERROR(R1887&lt;R1892-R1896*$AA$35,0)),"",IFERROR(R1887*N1887,""))</f>
        <v/>
      </c>
      <c r="U1887" s="232" t="str">
        <f t="shared" si="1281"/>
        <v/>
      </c>
      <c r="V1887" s="28"/>
      <c r="W1887" s="28"/>
      <c r="Y1887" s="91"/>
      <c r="AO1887" s="91"/>
      <c r="AP1887" s="28"/>
      <c r="AQ1887" s="28"/>
      <c r="AR1887" s="237"/>
      <c r="AS1887" s="28"/>
      <c r="AT1887" s="304" t="str">
        <f t="shared" si="1292"/>
        <v/>
      </c>
      <c r="AU1887" s="304" t="str">
        <f t="shared" si="1292"/>
        <v/>
      </c>
      <c r="AV1887" s="28"/>
      <c r="AW1887" s="304" t="str">
        <f t="shared" si="1282"/>
        <v/>
      </c>
      <c r="AX1887" s="304" t="str">
        <f t="shared" si="1282"/>
        <v/>
      </c>
      <c r="AY1887" s="28"/>
      <c r="AZ1887" s="304" t="str">
        <f t="shared" si="1283"/>
        <v/>
      </c>
      <c r="BA1887" s="304" t="str">
        <f t="shared" si="1283"/>
        <v/>
      </c>
      <c r="BB1887" s="28"/>
      <c r="BC1887" s="304" t="str">
        <f t="shared" si="1284"/>
        <v/>
      </c>
      <c r="BD1887" s="304" t="str">
        <f t="shared" si="1284"/>
        <v/>
      </c>
      <c r="BE1887" s="28"/>
      <c r="BF1887" s="304" t="str">
        <f t="shared" si="1285"/>
        <v/>
      </c>
      <c r="BG1887" s="304" t="str">
        <f t="shared" si="1285"/>
        <v/>
      </c>
      <c r="BH1887" s="28"/>
      <c r="BI1887" s="304" t="str">
        <f t="shared" si="1286"/>
        <v/>
      </c>
      <c r="BJ1887" s="304" t="str">
        <f t="shared" si="1286"/>
        <v/>
      </c>
      <c r="BK1887" s="28"/>
      <c r="BL1887" s="304" t="str">
        <f t="shared" si="1287"/>
        <v/>
      </c>
      <c r="BM1887" s="304" t="str">
        <f t="shared" si="1287"/>
        <v/>
      </c>
      <c r="BN1887" s="28"/>
      <c r="BO1887" s="304" t="str">
        <f t="shared" si="1288"/>
        <v/>
      </c>
      <c r="BP1887" s="304" t="str">
        <f t="shared" si="1288"/>
        <v/>
      </c>
      <c r="BQ1887" s="28"/>
      <c r="BR1887" s="304" t="str">
        <f t="shared" si="1289"/>
        <v/>
      </c>
      <c r="BS1887" s="304" t="str">
        <f t="shared" si="1289"/>
        <v/>
      </c>
      <c r="BT1887" s="28"/>
      <c r="BU1887" s="304" t="str">
        <f t="shared" si="1290"/>
        <v/>
      </c>
      <c r="BV1887" s="304" t="str">
        <f t="shared" si="1290"/>
        <v/>
      </c>
      <c r="BW1887" s="28"/>
      <c r="BX1887" s="91"/>
    </row>
    <row r="1888" spans="1:76" s="55" customFormat="1" x14ac:dyDescent="0.25">
      <c r="A1888" s="195">
        <v>17</v>
      </c>
      <c r="B1888" s="216" t="str">
        <f t="shared" si="1293"/>
        <v xml:space="preserve">: </v>
      </c>
      <c r="C1888" s="221"/>
      <c r="D1888" s="221"/>
      <c r="E1888" s="221"/>
      <c r="F1888" s="221"/>
      <c r="G1888" s="240"/>
      <c r="H1888" s="221"/>
      <c r="I1888" s="240"/>
      <c r="J1888" s="241"/>
      <c r="K1888" s="226"/>
      <c r="L1888" s="227"/>
      <c r="M1888" s="227"/>
      <c r="N1888" s="227"/>
      <c r="O1888" s="227"/>
      <c r="P1888" s="122"/>
      <c r="Q1888" s="228"/>
      <c r="R1888" s="231" t="str">
        <f t="shared" si="1291"/>
        <v/>
      </c>
      <c r="S1888" s="230" t="str">
        <f t="shared" si="1280"/>
        <v/>
      </c>
      <c r="T1888" s="231" t="str">
        <f>IF(OR(Q1888="Y",IFERROR(R1888&gt;R1892+R1896*$AA$35,0),IFERROR(R1888&lt;R1892-R1896*$AA$35,0)),"",IFERROR(R1888*N1888,""))</f>
        <v/>
      </c>
      <c r="U1888" s="232" t="str">
        <f t="shared" si="1281"/>
        <v/>
      </c>
      <c r="V1888" s="28"/>
      <c r="W1888" s="28"/>
      <c r="Y1888" s="91"/>
      <c r="AO1888" s="91"/>
      <c r="AP1888" s="28"/>
      <c r="AQ1888" s="28"/>
      <c r="AR1888" s="237"/>
      <c r="AS1888" s="28"/>
      <c r="AT1888" s="304" t="str">
        <f t="shared" si="1292"/>
        <v/>
      </c>
      <c r="AU1888" s="304" t="str">
        <f t="shared" si="1292"/>
        <v/>
      </c>
      <c r="AV1888" s="28"/>
      <c r="AW1888" s="304" t="str">
        <f t="shared" si="1282"/>
        <v/>
      </c>
      <c r="AX1888" s="304" t="str">
        <f t="shared" si="1282"/>
        <v/>
      </c>
      <c r="AY1888" s="28"/>
      <c r="AZ1888" s="304" t="str">
        <f t="shared" si="1283"/>
        <v/>
      </c>
      <c r="BA1888" s="304" t="str">
        <f t="shared" si="1283"/>
        <v/>
      </c>
      <c r="BB1888" s="28"/>
      <c r="BC1888" s="304" t="str">
        <f t="shared" si="1284"/>
        <v/>
      </c>
      <c r="BD1888" s="304" t="str">
        <f t="shared" si="1284"/>
        <v/>
      </c>
      <c r="BE1888" s="28"/>
      <c r="BF1888" s="304" t="str">
        <f t="shared" si="1285"/>
        <v/>
      </c>
      <c r="BG1888" s="304" t="str">
        <f t="shared" si="1285"/>
        <v/>
      </c>
      <c r="BH1888" s="28"/>
      <c r="BI1888" s="304" t="str">
        <f t="shared" si="1286"/>
        <v/>
      </c>
      <c r="BJ1888" s="304" t="str">
        <f t="shared" si="1286"/>
        <v/>
      </c>
      <c r="BK1888" s="28"/>
      <c r="BL1888" s="304" t="str">
        <f t="shared" si="1287"/>
        <v/>
      </c>
      <c r="BM1888" s="304" t="str">
        <f t="shared" si="1287"/>
        <v/>
      </c>
      <c r="BN1888" s="28"/>
      <c r="BO1888" s="304" t="str">
        <f t="shared" si="1288"/>
        <v/>
      </c>
      <c r="BP1888" s="304" t="str">
        <f t="shared" si="1288"/>
        <v/>
      </c>
      <c r="BQ1888" s="28"/>
      <c r="BR1888" s="304" t="str">
        <f t="shared" si="1289"/>
        <v/>
      </c>
      <c r="BS1888" s="304" t="str">
        <f t="shared" si="1289"/>
        <v/>
      </c>
      <c r="BT1888" s="28"/>
      <c r="BU1888" s="304" t="str">
        <f t="shared" si="1290"/>
        <v/>
      </c>
      <c r="BV1888" s="304" t="str">
        <f t="shared" si="1290"/>
        <v/>
      </c>
      <c r="BW1888" s="28"/>
      <c r="BX1888" s="91"/>
    </row>
    <row r="1889" spans="1:76" s="55" customFormat="1" x14ac:dyDescent="0.25">
      <c r="A1889" s="195">
        <v>18</v>
      </c>
      <c r="B1889" s="216" t="str">
        <f t="shared" si="1293"/>
        <v xml:space="preserve">: </v>
      </c>
      <c r="C1889" s="221"/>
      <c r="D1889" s="221"/>
      <c r="E1889" s="221"/>
      <c r="F1889" s="221"/>
      <c r="G1889" s="240"/>
      <c r="H1889" s="221"/>
      <c r="I1889" s="240"/>
      <c r="J1889" s="241"/>
      <c r="K1889" s="226"/>
      <c r="L1889" s="227"/>
      <c r="M1889" s="227"/>
      <c r="N1889" s="227"/>
      <c r="O1889" s="227"/>
      <c r="P1889" s="122"/>
      <c r="Q1889" s="228"/>
      <c r="R1889" s="231" t="str">
        <f t="shared" si="1291"/>
        <v/>
      </c>
      <c r="S1889" s="230" t="str">
        <f t="shared" si="1280"/>
        <v/>
      </c>
      <c r="T1889" s="231" t="str">
        <f>IF(OR(Q1889="Y",IFERROR(R1889&gt;R1892+R1896*$AA$35,0),IFERROR(R1889&lt;R1892-R1896*$AA$35,0)),"",IFERROR(R1889*N1889,""))</f>
        <v/>
      </c>
      <c r="U1889" s="232" t="str">
        <f t="shared" si="1281"/>
        <v/>
      </c>
      <c r="V1889" s="28"/>
      <c r="W1889" s="28"/>
      <c r="Y1889" s="91"/>
      <c r="AO1889" s="91"/>
      <c r="AP1889" s="28"/>
      <c r="AQ1889" s="28"/>
      <c r="AR1889" s="237"/>
      <c r="AS1889" s="28"/>
      <c r="AT1889" s="304" t="str">
        <f t="shared" si="1292"/>
        <v/>
      </c>
      <c r="AU1889" s="304" t="str">
        <f t="shared" si="1292"/>
        <v/>
      </c>
      <c r="AV1889" s="28"/>
      <c r="AW1889" s="304" t="str">
        <f t="shared" si="1282"/>
        <v/>
      </c>
      <c r="AX1889" s="304" t="str">
        <f t="shared" si="1282"/>
        <v/>
      </c>
      <c r="AY1889" s="28"/>
      <c r="AZ1889" s="304" t="str">
        <f t="shared" si="1283"/>
        <v/>
      </c>
      <c r="BA1889" s="304" t="str">
        <f t="shared" si="1283"/>
        <v/>
      </c>
      <c r="BB1889" s="28"/>
      <c r="BC1889" s="304" t="str">
        <f t="shared" si="1284"/>
        <v/>
      </c>
      <c r="BD1889" s="304" t="str">
        <f t="shared" si="1284"/>
        <v/>
      </c>
      <c r="BE1889" s="28"/>
      <c r="BF1889" s="304" t="str">
        <f t="shared" si="1285"/>
        <v/>
      </c>
      <c r="BG1889" s="304" t="str">
        <f t="shared" si="1285"/>
        <v/>
      </c>
      <c r="BH1889" s="28"/>
      <c r="BI1889" s="304" t="str">
        <f t="shared" si="1286"/>
        <v/>
      </c>
      <c r="BJ1889" s="304" t="str">
        <f t="shared" si="1286"/>
        <v/>
      </c>
      <c r="BK1889" s="28"/>
      <c r="BL1889" s="304" t="str">
        <f t="shared" si="1287"/>
        <v/>
      </c>
      <c r="BM1889" s="304" t="str">
        <f t="shared" si="1287"/>
        <v/>
      </c>
      <c r="BN1889" s="28"/>
      <c r="BO1889" s="304" t="str">
        <f t="shared" si="1288"/>
        <v/>
      </c>
      <c r="BP1889" s="304" t="str">
        <f t="shared" si="1288"/>
        <v/>
      </c>
      <c r="BQ1889" s="28"/>
      <c r="BR1889" s="304" t="str">
        <f t="shared" si="1289"/>
        <v/>
      </c>
      <c r="BS1889" s="304" t="str">
        <f t="shared" si="1289"/>
        <v/>
      </c>
      <c r="BT1889" s="28"/>
      <c r="BU1889" s="304" t="str">
        <f t="shared" si="1290"/>
        <v/>
      </c>
      <c r="BV1889" s="304" t="str">
        <f t="shared" si="1290"/>
        <v/>
      </c>
      <c r="BW1889" s="28"/>
      <c r="BX1889" s="91"/>
    </row>
    <row r="1890" spans="1:76" s="55" customFormat="1" x14ac:dyDescent="0.25">
      <c r="A1890" s="195">
        <v>19</v>
      </c>
      <c r="B1890" s="216" t="str">
        <f t="shared" si="1293"/>
        <v xml:space="preserve">: </v>
      </c>
      <c r="C1890" s="221"/>
      <c r="D1890" s="221"/>
      <c r="E1890" s="221"/>
      <c r="F1890" s="221"/>
      <c r="G1890" s="240"/>
      <c r="H1890" s="221"/>
      <c r="I1890" s="240"/>
      <c r="J1890" s="241"/>
      <c r="K1890" s="241"/>
      <c r="L1890" s="227"/>
      <c r="M1890" s="227"/>
      <c r="N1890" s="227"/>
      <c r="O1890" s="227"/>
      <c r="P1890" s="122"/>
      <c r="Q1890" s="228"/>
      <c r="R1890" s="231" t="str">
        <f t="shared" si="1291"/>
        <v/>
      </c>
      <c r="S1890" s="230" t="str">
        <f t="shared" si="1280"/>
        <v/>
      </c>
      <c r="T1890" s="231" t="str">
        <f>IF(OR(Q1890="Y",IFERROR(R1890&gt;R1892+R1896*$AA$35,0),IFERROR(R1890&lt;R1892-R1896*$AA$35,0)),"",IFERROR(R1890*N1890,""))</f>
        <v/>
      </c>
      <c r="U1890" s="232" t="str">
        <f t="shared" si="1281"/>
        <v/>
      </c>
      <c r="V1890" s="28"/>
      <c r="W1890" s="28"/>
      <c r="Y1890" s="91"/>
      <c r="AO1890" s="91"/>
      <c r="AP1890" s="28"/>
      <c r="AQ1890" s="28"/>
      <c r="AR1890" s="237"/>
      <c r="AS1890" s="28"/>
      <c r="AT1890" s="304" t="str">
        <f t="shared" si="1292"/>
        <v/>
      </c>
      <c r="AU1890" s="304" t="str">
        <f t="shared" si="1292"/>
        <v/>
      </c>
      <c r="AV1890" s="28"/>
      <c r="AW1890" s="304" t="str">
        <f t="shared" si="1282"/>
        <v/>
      </c>
      <c r="AX1890" s="304" t="str">
        <f t="shared" si="1282"/>
        <v/>
      </c>
      <c r="AY1890" s="28"/>
      <c r="AZ1890" s="304" t="str">
        <f t="shared" si="1283"/>
        <v/>
      </c>
      <c r="BA1890" s="304" t="str">
        <f t="shared" si="1283"/>
        <v/>
      </c>
      <c r="BB1890" s="28"/>
      <c r="BC1890" s="304" t="str">
        <f t="shared" si="1284"/>
        <v/>
      </c>
      <c r="BD1890" s="304" t="str">
        <f t="shared" si="1284"/>
        <v/>
      </c>
      <c r="BE1890" s="28"/>
      <c r="BF1890" s="304" t="str">
        <f t="shared" si="1285"/>
        <v/>
      </c>
      <c r="BG1890" s="304" t="str">
        <f t="shared" si="1285"/>
        <v/>
      </c>
      <c r="BH1890" s="28"/>
      <c r="BI1890" s="304" t="str">
        <f t="shared" si="1286"/>
        <v/>
      </c>
      <c r="BJ1890" s="304" t="str">
        <f t="shared" si="1286"/>
        <v/>
      </c>
      <c r="BK1890" s="28"/>
      <c r="BL1890" s="304" t="str">
        <f t="shared" si="1287"/>
        <v/>
      </c>
      <c r="BM1890" s="304" t="str">
        <f t="shared" si="1287"/>
        <v/>
      </c>
      <c r="BN1890" s="28"/>
      <c r="BO1890" s="304" t="str">
        <f t="shared" si="1288"/>
        <v/>
      </c>
      <c r="BP1890" s="304" t="str">
        <f t="shared" si="1288"/>
        <v/>
      </c>
      <c r="BQ1890" s="28"/>
      <c r="BR1890" s="304" t="str">
        <f t="shared" si="1289"/>
        <v/>
      </c>
      <c r="BS1890" s="304" t="str">
        <f t="shared" si="1289"/>
        <v/>
      </c>
      <c r="BT1890" s="28"/>
      <c r="BU1890" s="304" t="str">
        <f t="shared" si="1290"/>
        <v/>
      </c>
      <c r="BV1890" s="304" t="str">
        <f t="shared" si="1290"/>
        <v/>
      </c>
      <c r="BW1890" s="28"/>
      <c r="BX1890" s="91"/>
    </row>
    <row r="1891" spans="1:76" s="55" customFormat="1" x14ac:dyDescent="0.25">
      <c r="A1891" s="195">
        <v>20</v>
      </c>
      <c r="B1891" s="216" t="str">
        <f t="shared" si="1293"/>
        <v xml:space="preserve">: </v>
      </c>
      <c r="C1891" s="221"/>
      <c r="D1891" s="221"/>
      <c r="E1891" s="221"/>
      <c r="F1891" s="221"/>
      <c r="G1891" s="240"/>
      <c r="H1891" s="221"/>
      <c r="I1891" s="240"/>
      <c r="J1891" s="241"/>
      <c r="K1891" s="241"/>
      <c r="L1891" s="227"/>
      <c r="M1891" s="227"/>
      <c r="N1891" s="227"/>
      <c r="O1891" s="227"/>
      <c r="P1891" s="122"/>
      <c r="Q1891" s="228"/>
      <c r="R1891" s="231" t="str">
        <f t="shared" si="1291"/>
        <v/>
      </c>
      <c r="S1891" s="230" t="str">
        <f t="shared" si="1280"/>
        <v/>
      </c>
      <c r="T1891" s="231" t="str">
        <f>IF(OR(Q1891="Y",IFERROR(R1891&gt;R1892+R1896*$AA$35,0),IFERROR(R1891&lt;R1892-R1896*$AA$35,0)),"",IFERROR(R1891*N1891,""))</f>
        <v/>
      </c>
      <c r="U1891" s="232" t="str">
        <f t="shared" si="1281"/>
        <v/>
      </c>
      <c r="V1891" s="28"/>
      <c r="W1891" s="28"/>
      <c r="Y1891" s="91"/>
      <c r="AO1891" s="91"/>
      <c r="AP1891" s="28"/>
      <c r="AQ1891" s="28"/>
      <c r="AR1891" s="237"/>
      <c r="AS1891" s="28"/>
      <c r="AT1891" s="304" t="str">
        <f t="shared" si="1292"/>
        <v/>
      </c>
      <c r="AU1891" s="304" t="str">
        <f t="shared" si="1292"/>
        <v/>
      </c>
      <c r="AV1891" s="28"/>
      <c r="AW1891" s="304" t="str">
        <f t="shared" si="1282"/>
        <v/>
      </c>
      <c r="AX1891" s="304" t="str">
        <f t="shared" si="1282"/>
        <v/>
      </c>
      <c r="AY1891" s="28"/>
      <c r="AZ1891" s="304" t="str">
        <f t="shared" si="1283"/>
        <v/>
      </c>
      <c r="BA1891" s="304" t="str">
        <f t="shared" si="1283"/>
        <v/>
      </c>
      <c r="BB1891" s="28"/>
      <c r="BC1891" s="304" t="str">
        <f t="shared" si="1284"/>
        <v/>
      </c>
      <c r="BD1891" s="304" t="str">
        <f t="shared" si="1284"/>
        <v/>
      </c>
      <c r="BE1891" s="28"/>
      <c r="BF1891" s="304" t="str">
        <f t="shared" si="1285"/>
        <v/>
      </c>
      <c r="BG1891" s="304" t="str">
        <f t="shared" si="1285"/>
        <v/>
      </c>
      <c r="BH1891" s="28"/>
      <c r="BI1891" s="304" t="str">
        <f t="shared" si="1286"/>
        <v/>
      </c>
      <c r="BJ1891" s="304" t="str">
        <f t="shared" si="1286"/>
        <v/>
      </c>
      <c r="BK1891" s="28"/>
      <c r="BL1891" s="304" t="str">
        <f t="shared" si="1287"/>
        <v/>
      </c>
      <c r="BM1891" s="304" t="str">
        <f t="shared" si="1287"/>
        <v/>
      </c>
      <c r="BN1891" s="28"/>
      <c r="BO1891" s="304" t="str">
        <f t="shared" si="1288"/>
        <v/>
      </c>
      <c r="BP1891" s="304" t="str">
        <f t="shared" si="1288"/>
        <v/>
      </c>
      <c r="BQ1891" s="28"/>
      <c r="BR1891" s="304" t="str">
        <f t="shared" si="1289"/>
        <v/>
      </c>
      <c r="BS1891" s="304" t="str">
        <f t="shared" si="1289"/>
        <v/>
      </c>
      <c r="BT1891" s="28"/>
      <c r="BU1891" s="304" t="str">
        <f t="shared" si="1290"/>
        <v/>
      </c>
      <c r="BV1891" s="304" t="str">
        <f t="shared" si="1290"/>
        <v/>
      </c>
      <c r="BW1891" s="28"/>
      <c r="BX1891" s="91"/>
    </row>
    <row r="1892" spans="1:76" s="55" customFormat="1" x14ac:dyDescent="0.25">
      <c r="A1892" s="195"/>
      <c r="B1892" s="244" t="s">
        <v>163</v>
      </c>
      <c r="C1892" s="199"/>
      <c r="D1892" s="199"/>
      <c r="E1892" s="199"/>
      <c r="F1892" s="199"/>
      <c r="H1892" s="28"/>
      <c r="I1892" s="245"/>
      <c r="J1892" s="122"/>
      <c r="K1892" s="122"/>
      <c r="L1892" s="122" t="s">
        <v>134</v>
      </c>
      <c r="M1892" s="122"/>
      <c r="N1892" s="122"/>
      <c r="O1892" s="122"/>
      <c r="P1892" s="122"/>
      <c r="Q1892" s="305" t="s">
        <v>136</v>
      </c>
      <c r="R1892" s="246" t="e">
        <f>AVERAGE(R1872:R1891)</f>
        <v>#DIV/0!</v>
      </c>
      <c r="S1892" s="247" t="e">
        <f>IF(R1900="Y",SUM(S1872:S1891)/SUMPRODUCT(N1872:N1891,--ISNUMBER(S1872:S1891)),AVERAGE(S1872:S1891))</f>
        <v>#DIV/0!</v>
      </c>
      <c r="T1892" s="248" t="e">
        <f>SUM(T1872:T1891)/SUMPRODUCT(N1872:N1891,--ISNUMBER(T1872:T1891))</f>
        <v>#DIV/0!</v>
      </c>
      <c r="U1892" s="28"/>
      <c r="V1892" s="28"/>
      <c r="W1892" s="28"/>
      <c r="Y1892" s="249"/>
      <c r="AO1892" s="91"/>
      <c r="AP1892" s="28"/>
      <c r="AQ1892" s="28"/>
      <c r="AR1892" s="28"/>
      <c r="AS1892" s="245" t="s">
        <v>136</v>
      </c>
      <c r="AT1892" s="307" t="e">
        <f>AVERAGE(AT1872:AT1891)</f>
        <v>#DIV/0!</v>
      </c>
      <c r="AU1892" s="307" t="e">
        <f>SUM(AU1872:AU1891)/COUNTIF(AU1872:AU1891,"&gt;0")</f>
        <v>#DIV/0!</v>
      </c>
      <c r="AV1892" s="245"/>
      <c r="AW1892" s="307" t="e">
        <f>AVERAGE(AW1872:AW1891)</f>
        <v>#DIV/0!</v>
      </c>
      <c r="AX1892" s="307" t="e">
        <f>SUM(AX1872:AX1891)/COUNTIF(AX1872:AX1891,"&gt;0")</f>
        <v>#DIV/0!</v>
      </c>
      <c r="AY1892" s="28"/>
      <c r="AZ1892" s="307" t="e">
        <f>AVERAGE(AZ1872:AZ1891)</f>
        <v>#DIV/0!</v>
      </c>
      <c r="BA1892" s="307" t="e">
        <f>SUM(BA1872:BA1891)/COUNTIF(BA1872:BA1891,"&gt;0")</f>
        <v>#DIV/0!</v>
      </c>
      <c r="BB1892" s="28"/>
      <c r="BC1892" s="307" t="e">
        <f>AVERAGE(BC1872:BC1891)</f>
        <v>#DIV/0!</v>
      </c>
      <c r="BD1892" s="307" t="e">
        <f>SUM(BD1872:BD1891)/COUNTIF(BD1872:BD1891,"&gt;0")</f>
        <v>#DIV/0!</v>
      </c>
      <c r="BE1892" s="28"/>
      <c r="BF1892" s="307" t="e">
        <f>AVERAGE(BF1872:BF1891)</f>
        <v>#DIV/0!</v>
      </c>
      <c r="BG1892" s="307" t="e">
        <f>SUM(BG1872:BG1891)/COUNTIF(BG1872:BG1891,"&gt;0")</f>
        <v>#DIV/0!</v>
      </c>
      <c r="BH1892" s="28"/>
      <c r="BI1892" s="307" t="e">
        <f>AVERAGE(BI1872:BI1891)</f>
        <v>#DIV/0!</v>
      </c>
      <c r="BJ1892" s="307" t="e">
        <f>SUM(BJ1872:BJ1891)/COUNTIF(BJ1872:BJ1891,"&gt;0")</f>
        <v>#DIV/0!</v>
      </c>
      <c r="BK1892" s="245"/>
      <c r="BL1892" s="307" t="e">
        <f>AVERAGE(BL1872:BL1891)</f>
        <v>#DIV/0!</v>
      </c>
      <c r="BM1892" s="307" t="e">
        <f>SUM(BM1872:BM1891)/COUNTIF(BM1872:BM1891,"&gt;0")</f>
        <v>#DIV/0!</v>
      </c>
      <c r="BN1892" s="28"/>
      <c r="BO1892" s="307" t="e">
        <f>AVERAGE(BO1872:BO1891)</f>
        <v>#DIV/0!</v>
      </c>
      <c r="BP1892" s="307" t="e">
        <f>SUM(BP1872:BP1891)/COUNTIF(BP1872:BP1891,"&gt;0")</f>
        <v>#DIV/0!</v>
      </c>
      <c r="BQ1892" s="28"/>
      <c r="BR1892" s="307" t="e">
        <f>AVERAGE(BR1872:BR1891)</f>
        <v>#DIV/0!</v>
      </c>
      <c r="BS1892" s="307" t="e">
        <f>SUM(BS1872:BS1891)/COUNTIF(BS1872:BS1891,"&gt;0")</f>
        <v>#DIV/0!</v>
      </c>
      <c r="BT1892" s="28"/>
      <c r="BU1892" s="307" t="e">
        <f>AVERAGE(BU1872:BU1891)</f>
        <v>#DIV/0!</v>
      </c>
      <c r="BV1892" s="307" t="e">
        <f>SUM(BV1872:BV1891)/COUNTIF(BV1872:BV1891,"&gt;0")</f>
        <v>#DIV/0!</v>
      </c>
      <c r="BW1892" s="28"/>
      <c r="BX1892" s="91"/>
    </row>
    <row r="1893" spans="1:76" s="55" customFormat="1" x14ac:dyDescent="0.25">
      <c r="A1893" s="195"/>
      <c r="B1893" s="244" t="s">
        <v>164</v>
      </c>
      <c r="C1893" s="199" t="s">
        <v>139</v>
      </c>
      <c r="D1893" s="252"/>
      <c r="E1893" s="253"/>
      <c r="F1893" s="253"/>
      <c r="G1893" s="253"/>
      <c r="H1893" s="253"/>
      <c r="I1893" s="253"/>
      <c r="J1893" s="254"/>
      <c r="K1893" s="122"/>
      <c r="L1893" s="122"/>
      <c r="M1893" s="122"/>
      <c r="N1893" s="122"/>
      <c r="O1893" s="122"/>
      <c r="P1893" s="122"/>
      <c r="Q1893" s="306" t="s">
        <v>144</v>
      </c>
      <c r="R1893" s="257" t="e">
        <f>R1892+U1893*R1896</f>
        <v>#DIV/0!</v>
      </c>
      <c r="S1893" s="257" t="e">
        <f>S1892+U1893*S1896</f>
        <v>#DIV/0!</v>
      </c>
      <c r="T1893" s="257" t="e">
        <f>T1892+U1893*T1896</f>
        <v>#DIV/0!</v>
      </c>
      <c r="U1893" s="258">
        <v>1</v>
      </c>
      <c r="V1893" s="122" t="s">
        <v>142</v>
      </c>
      <c r="W1893" s="28"/>
      <c r="X1893" s="259" t="s">
        <v>143</v>
      </c>
      <c r="Y1893" s="260"/>
      <c r="AO1893" s="91"/>
      <c r="AP1893" s="28"/>
      <c r="AQ1893" s="28"/>
      <c r="AR1893" s="28"/>
      <c r="AS1893" s="256" t="s">
        <v>144</v>
      </c>
      <c r="AT1893" s="261" t="e">
        <f>AT1892+(AT1898*AT1895)</f>
        <v>#DIV/0!</v>
      </c>
      <c r="AU1893" s="261" t="e">
        <f>AU1892+(AU1898*AT1895)</f>
        <v>#DIV/0!</v>
      </c>
      <c r="AV1893" s="256"/>
      <c r="AW1893" s="261" t="e">
        <f>AW1892+(AW1898*AW1895)</f>
        <v>#DIV/0!</v>
      </c>
      <c r="AX1893" s="261" t="e">
        <f>AX1892+(AX1898*AW1895)</f>
        <v>#DIV/0!</v>
      </c>
      <c r="AY1893" s="28"/>
      <c r="AZ1893" s="261" t="e">
        <f>AZ1892+(AZ1898*AZ1895)</f>
        <v>#DIV/0!</v>
      </c>
      <c r="BA1893" s="261" t="e">
        <f>BA1892+(BA1898*AZ1895)</f>
        <v>#DIV/0!</v>
      </c>
      <c r="BB1893" s="28"/>
      <c r="BC1893" s="261" t="e">
        <f>BC1892+(BC1898*BC1895)</f>
        <v>#DIV/0!</v>
      </c>
      <c r="BD1893" s="261" t="e">
        <f>BD1892+(BD1898*BC1895)</f>
        <v>#DIV/0!</v>
      </c>
      <c r="BE1893" s="28"/>
      <c r="BF1893" s="261" t="e">
        <f>BF1892+(BF1898*BF1895)</f>
        <v>#DIV/0!</v>
      </c>
      <c r="BG1893" s="261" t="e">
        <f>BG1892+(BG1898*BF1895)</f>
        <v>#DIV/0!</v>
      </c>
      <c r="BH1893" s="28"/>
      <c r="BI1893" s="261" t="e">
        <f>BI1892+(BI1898*BI1895)</f>
        <v>#DIV/0!</v>
      </c>
      <c r="BJ1893" s="261" t="e">
        <f>BJ1892+(BJ1898*BI1895)</f>
        <v>#DIV/0!</v>
      </c>
      <c r="BK1893" s="256"/>
      <c r="BL1893" s="261" t="e">
        <f>BL1892+(BL1898*BL1895)</f>
        <v>#DIV/0!</v>
      </c>
      <c r="BM1893" s="261" t="e">
        <f>BM1892+(BM1898*BL1895)</f>
        <v>#DIV/0!</v>
      </c>
      <c r="BN1893" s="28"/>
      <c r="BO1893" s="261" t="e">
        <f>BO1892+(BO1898*BO1895)</f>
        <v>#DIV/0!</v>
      </c>
      <c r="BP1893" s="261" t="e">
        <f>BP1892+(BP1898*BO1895)</f>
        <v>#DIV/0!</v>
      </c>
      <c r="BQ1893" s="28"/>
      <c r="BR1893" s="261" t="e">
        <f>BR1892+(BR1898*BR1895)</f>
        <v>#DIV/0!</v>
      </c>
      <c r="BS1893" s="261" t="e">
        <f>BS1892+(BS1898*BR1895)</f>
        <v>#DIV/0!</v>
      </c>
      <c r="BT1893" s="28"/>
      <c r="BU1893" s="261" t="e">
        <f>BU1892+(BU1898*BU1895)</f>
        <v>#DIV/0!</v>
      </c>
      <c r="BV1893" s="261" t="e">
        <f>BV1892+(BV1898*BU1895)</f>
        <v>#DIV/0!</v>
      </c>
      <c r="BW1893" s="28"/>
      <c r="BX1893" s="91"/>
    </row>
    <row r="1894" spans="1:76" s="55" customFormat="1" x14ac:dyDescent="0.25">
      <c r="A1894" s="195"/>
      <c r="B1894" s="244" t="s">
        <v>165</v>
      </c>
      <c r="C1894" s="195"/>
      <c r="D1894" s="263"/>
      <c r="E1894" s="264"/>
      <c r="F1894" s="264"/>
      <c r="G1894" s="264"/>
      <c r="H1894" s="264"/>
      <c r="I1894" s="264"/>
      <c r="J1894" s="265"/>
      <c r="K1894" s="28"/>
      <c r="L1894" s="28"/>
      <c r="M1894" s="122"/>
      <c r="N1894" s="122"/>
      <c r="O1894" s="122"/>
      <c r="P1894" s="122"/>
      <c r="Q1894" s="306" t="s">
        <v>150</v>
      </c>
      <c r="R1894" s="257" t="e">
        <f>IF($X1894="Y",MIN(R1872:R1891),R1892-$U1894*R1896)</f>
        <v>#DIV/0!</v>
      </c>
      <c r="S1894" s="257" t="e">
        <f>IF($X1894="Y",MIN(S1872:S1891),S1892-$U1894*S1896)</f>
        <v>#DIV/0!</v>
      </c>
      <c r="T1894" s="257" t="e">
        <f>IF($X1894="Y",MIN(T1872:T1891),T1892-$U1894*T1896)</f>
        <v>#DIV/0!</v>
      </c>
      <c r="U1894" s="258">
        <v>1</v>
      </c>
      <c r="V1894" s="122" t="s">
        <v>148</v>
      </c>
      <c r="W1894" s="28"/>
      <c r="X1894" s="266" t="s">
        <v>149</v>
      </c>
      <c r="Y1894" s="260"/>
      <c r="AO1894" s="91"/>
      <c r="AP1894" s="28"/>
      <c r="AQ1894" s="28"/>
      <c r="AR1894" s="28"/>
      <c r="AS1894" s="256" t="s">
        <v>150</v>
      </c>
      <c r="AT1894" s="261" t="e">
        <f>AT1892-(AT1898*AT1896)</f>
        <v>#DIV/0!</v>
      </c>
      <c r="AU1894" s="261" t="e">
        <f>AU1892-(AU1898*AT1896)</f>
        <v>#DIV/0!</v>
      </c>
      <c r="AV1894" s="256"/>
      <c r="AW1894" s="261" t="e">
        <f>AW1892-(AW1898*AW1896)</f>
        <v>#DIV/0!</v>
      </c>
      <c r="AX1894" s="261" t="e">
        <f>AX1892-(AX1898*AW1896)</f>
        <v>#DIV/0!</v>
      </c>
      <c r="AY1894" s="28"/>
      <c r="AZ1894" s="261" t="e">
        <f>AZ1892-(AZ1898*AZ1896)</f>
        <v>#DIV/0!</v>
      </c>
      <c r="BA1894" s="261" t="e">
        <f>BA1892-(BA1898*AZ1896)</f>
        <v>#DIV/0!</v>
      </c>
      <c r="BB1894" s="28"/>
      <c r="BC1894" s="261" t="e">
        <f>BC1892-(BC1898*BC1896)</f>
        <v>#DIV/0!</v>
      </c>
      <c r="BD1894" s="261" t="e">
        <f>BD1892-(BD1898*BC1896)</f>
        <v>#DIV/0!</v>
      </c>
      <c r="BE1894" s="28"/>
      <c r="BF1894" s="261" t="e">
        <f>BF1892-(BF1898*BF1896)</f>
        <v>#DIV/0!</v>
      </c>
      <c r="BG1894" s="261" t="e">
        <f>BG1892-(BG1898*BF1896)</f>
        <v>#DIV/0!</v>
      </c>
      <c r="BH1894" s="28"/>
      <c r="BI1894" s="261" t="e">
        <f>BI1892-(BI1898*BI1896)</f>
        <v>#DIV/0!</v>
      </c>
      <c r="BJ1894" s="261" t="e">
        <f>BJ1892-(BJ1898*BI1896)</f>
        <v>#DIV/0!</v>
      </c>
      <c r="BK1894" s="256"/>
      <c r="BL1894" s="261" t="e">
        <f>BL1892-(BL1898*BL1896)</f>
        <v>#DIV/0!</v>
      </c>
      <c r="BM1894" s="261" t="e">
        <f>BM1892-(BM1898*BL1896)</f>
        <v>#DIV/0!</v>
      </c>
      <c r="BN1894" s="28"/>
      <c r="BO1894" s="261" t="e">
        <f>BO1892-(BO1898*BO1896)</f>
        <v>#DIV/0!</v>
      </c>
      <c r="BP1894" s="261" t="e">
        <f>BP1892-(BP1898*BO1896)</f>
        <v>#DIV/0!</v>
      </c>
      <c r="BQ1894" s="28"/>
      <c r="BR1894" s="261" t="e">
        <f>BR1892-(BR1898*BR1896)</f>
        <v>#DIV/0!</v>
      </c>
      <c r="BS1894" s="261" t="e">
        <f>BS1892-(BS1898*BR1896)</f>
        <v>#DIV/0!</v>
      </c>
      <c r="BT1894" s="28"/>
      <c r="BU1894" s="261" t="e">
        <f>BU1892-(BU1898*BU1896)</f>
        <v>#DIV/0!</v>
      </c>
      <c r="BV1894" s="261" t="e">
        <f>BV1892-(BV1898*BU1896)</f>
        <v>#DIV/0!</v>
      </c>
      <c r="BW1894" s="28"/>
      <c r="BX1894" s="91"/>
    </row>
    <row r="1895" spans="1:76" s="55" customFormat="1" ht="14.25" x14ac:dyDescent="0.2">
      <c r="A1895" s="195"/>
      <c r="B1895" s="196"/>
      <c r="C1895" s="195"/>
      <c r="D1895" s="263"/>
      <c r="E1895" s="264"/>
      <c r="F1895" s="264"/>
      <c r="G1895" s="264"/>
      <c r="H1895" s="264"/>
      <c r="I1895" s="264"/>
      <c r="J1895" s="265"/>
      <c r="K1895" s="122"/>
      <c r="L1895" s="122"/>
      <c r="M1895" s="122"/>
      <c r="N1895" s="122"/>
      <c r="O1895" s="122"/>
      <c r="P1895" s="122"/>
      <c r="Q1895" s="306" t="s">
        <v>151</v>
      </c>
      <c r="R1895" s="257" t="e">
        <f>IF((0.67*R1896)&gt;R1892,"no","yes")</f>
        <v>#DIV/0!</v>
      </c>
      <c r="S1895" s="257" t="e">
        <f>IF((0.67*S1896)&gt;S1892,"no","yes")</f>
        <v>#DIV/0!</v>
      </c>
      <c r="T1895" s="257" t="e">
        <f>IF((0.67*T1896)&gt;T1892,"no","yes")</f>
        <v>#DIV/0!</v>
      </c>
      <c r="U1895" s="122"/>
      <c r="V1895" s="122"/>
      <c r="W1895" s="122"/>
      <c r="Y1895" s="260"/>
      <c r="AO1895" s="91"/>
      <c r="AP1895" s="122"/>
      <c r="AQ1895" s="122"/>
      <c r="AR1895" s="267" t="s">
        <v>152</v>
      </c>
      <c r="AS1895" s="268"/>
      <c r="AT1895" s="258">
        <v>1</v>
      </c>
      <c r="AU1895" s="122"/>
      <c r="AV1895" s="308"/>
      <c r="AW1895" s="258">
        <v>1</v>
      </c>
      <c r="AX1895" s="122"/>
      <c r="AY1895" s="122"/>
      <c r="AZ1895" s="258">
        <v>1</v>
      </c>
      <c r="BA1895" s="122"/>
      <c r="BB1895" s="122"/>
      <c r="BC1895" s="258">
        <v>1</v>
      </c>
      <c r="BD1895" s="122"/>
      <c r="BE1895" s="122"/>
      <c r="BF1895" s="258">
        <v>1</v>
      </c>
      <c r="BG1895" s="122"/>
      <c r="BH1895" s="122"/>
      <c r="BI1895" s="258">
        <v>1</v>
      </c>
      <c r="BJ1895" s="122"/>
      <c r="BK1895" s="256"/>
      <c r="BL1895" s="258">
        <v>1</v>
      </c>
      <c r="BM1895" s="122"/>
      <c r="BN1895" s="122"/>
      <c r="BO1895" s="258">
        <v>1</v>
      </c>
      <c r="BP1895" s="122"/>
      <c r="BQ1895" s="122"/>
      <c r="BR1895" s="258">
        <v>1</v>
      </c>
      <c r="BS1895" s="122"/>
      <c r="BT1895" s="122"/>
      <c r="BU1895" s="258">
        <v>1</v>
      </c>
      <c r="BV1895" s="122"/>
      <c r="BW1895" s="122"/>
      <c r="BX1895" s="91"/>
    </row>
    <row r="1896" spans="1:76" s="55" customFormat="1" ht="28.5" x14ac:dyDescent="0.2">
      <c r="A1896" s="195"/>
      <c r="B1896" s="196"/>
      <c r="C1896" s="195"/>
      <c r="D1896" s="263"/>
      <c r="E1896" s="264"/>
      <c r="F1896" s="264"/>
      <c r="G1896" s="264"/>
      <c r="H1896" s="264"/>
      <c r="I1896" s="264"/>
      <c r="J1896" s="265"/>
      <c r="K1896" s="122"/>
      <c r="L1896" s="122"/>
      <c r="M1896" s="122"/>
      <c r="N1896" s="122"/>
      <c r="O1896" s="122"/>
      <c r="P1896" s="122"/>
      <c r="Q1896" s="306" t="s">
        <v>157</v>
      </c>
      <c r="R1896" s="257">
        <f>IF(COUNT(R1872:R1891)&gt;1,_xlfn.STDEV.S(R1872:R1891),0)</f>
        <v>0</v>
      </c>
      <c r="S1896" s="257" t="e">
        <f t="array" ref="S1896">IF(R1900="Y",SQRT(SUM(IFERROR(N1872:N1891*(R1872:R1891-(S1892))^2,0))/((COUNT(S1872:S1891)-1)/COUNT(S1872:S1891)*SUMPRODUCT(N1872:N1891,--ISNUMBER(S1872:S1891)))),_xlfn.STDEV.S(S1872:S1891))</f>
        <v>#DIV/0!</v>
      </c>
      <c r="T1896" s="257" t="e">
        <f t="array" ref="T1896">SQRT(SUM(IFERROR(N1872:N1891*(R1872:R1891-(T1892))^2,0))/((COUNT(T1872:T1891)-1)/COUNT(T1872:T1891)*SUMPRODUCT(N1872:N1891,--ISNUMBER(T1872:T1891))))</f>
        <v>#DIV/0!</v>
      </c>
      <c r="U1896" s="122"/>
      <c r="V1896" s="122"/>
      <c r="W1896" s="122"/>
      <c r="Y1896" s="260"/>
      <c r="AO1896" s="91"/>
      <c r="AP1896" s="122"/>
      <c r="AQ1896" s="122"/>
      <c r="AR1896" s="267"/>
      <c r="AS1896" s="268"/>
      <c r="AT1896" s="258">
        <v>1</v>
      </c>
      <c r="AU1896" s="122"/>
      <c r="AV1896" s="308"/>
      <c r="AW1896" s="258">
        <v>1</v>
      </c>
      <c r="AX1896" s="122"/>
      <c r="AY1896" s="122"/>
      <c r="AZ1896" s="258">
        <v>1</v>
      </c>
      <c r="BA1896" s="122"/>
      <c r="BB1896" s="122"/>
      <c r="BC1896" s="258">
        <v>1</v>
      </c>
      <c r="BD1896" s="122"/>
      <c r="BE1896" s="122"/>
      <c r="BF1896" s="258">
        <v>1</v>
      </c>
      <c r="BG1896" s="122"/>
      <c r="BH1896" s="122"/>
      <c r="BI1896" s="258">
        <v>1</v>
      </c>
      <c r="BJ1896" s="122"/>
      <c r="BK1896" s="256"/>
      <c r="BL1896" s="258">
        <v>1</v>
      </c>
      <c r="BM1896" s="122"/>
      <c r="BN1896" s="122"/>
      <c r="BO1896" s="258">
        <v>1</v>
      </c>
      <c r="BP1896" s="122"/>
      <c r="BQ1896" s="122"/>
      <c r="BR1896" s="258">
        <v>1</v>
      </c>
      <c r="BS1896" s="122"/>
      <c r="BT1896" s="122"/>
      <c r="BU1896" s="258">
        <v>1</v>
      </c>
      <c r="BV1896" s="122"/>
      <c r="BW1896" s="122"/>
      <c r="BX1896" s="91"/>
    </row>
    <row r="1897" spans="1:76" s="55" customFormat="1" ht="15" customHeight="1" x14ac:dyDescent="0.25">
      <c r="A1897" s="122"/>
      <c r="B1897" s="118"/>
      <c r="C1897" s="195"/>
      <c r="D1897" s="263"/>
      <c r="E1897" s="264"/>
      <c r="F1897" s="264"/>
      <c r="G1897" s="264"/>
      <c r="H1897" s="264"/>
      <c r="I1897" s="264"/>
      <c r="J1897" s="265"/>
      <c r="K1897" s="122"/>
      <c r="L1897" s="122"/>
      <c r="M1897" s="122"/>
      <c r="N1897" s="122"/>
      <c r="O1897" s="122"/>
      <c r="P1897" s="122"/>
      <c r="Q1897" s="309" t="s">
        <v>159</v>
      </c>
      <c r="R1897" s="310">
        <f>COUNT(R1872:R1891)</f>
        <v>0</v>
      </c>
      <c r="S1897" s="310">
        <f>COUNT(S1872:S1891)</f>
        <v>0</v>
      </c>
      <c r="T1897" s="118"/>
      <c r="U1897" s="273" t="s">
        <v>155</v>
      </c>
      <c r="V1897" s="122"/>
      <c r="W1897" s="122"/>
      <c r="Y1897" s="91"/>
      <c r="AO1897" s="91"/>
      <c r="AP1897" s="122"/>
      <c r="AQ1897" s="122"/>
      <c r="AR1897" s="122"/>
      <c r="AS1897" s="256" t="s">
        <v>151</v>
      </c>
      <c r="AT1897" s="261" t="e">
        <f>IF((0.67*AT1898)&gt;AT1892,"no","yes")</f>
        <v>#DIV/0!</v>
      </c>
      <c r="AU1897" s="261" t="e">
        <f>IF((0.67*AU1898)&gt;AU1892,"no","yes")</f>
        <v>#DIV/0!</v>
      </c>
      <c r="AV1897" s="256"/>
      <c r="AW1897" s="261" t="e">
        <f>IF((0.67*AW1898)&gt;AW1892,"no","yes")</f>
        <v>#DIV/0!</v>
      </c>
      <c r="AX1897" s="261" t="e">
        <f>IF((0.67*AX1898)&gt;AX1892,"no","yes")</f>
        <v>#DIV/0!</v>
      </c>
      <c r="AY1897" s="122"/>
      <c r="AZ1897" s="261" t="e">
        <f>IF((0.67*AZ1898)&gt;AZ1892,"no","yes")</f>
        <v>#DIV/0!</v>
      </c>
      <c r="BA1897" s="261" t="e">
        <f>IF((0.67*BA1898)&gt;BA1892,"no","yes")</f>
        <v>#DIV/0!</v>
      </c>
      <c r="BB1897" s="122"/>
      <c r="BC1897" s="261" t="e">
        <f>IF((0.67*BC1898)&gt;BC1892,"no","yes")</f>
        <v>#DIV/0!</v>
      </c>
      <c r="BD1897" s="261" t="e">
        <f>IF((0.67*BD1898)&gt;BD1892,"no","yes")</f>
        <v>#DIV/0!</v>
      </c>
      <c r="BE1897" s="122"/>
      <c r="BF1897" s="261" t="e">
        <f>IF((0.67*BF1898)&gt;BF1892,"no","yes")</f>
        <v>#DIV/0!</v>
      </c>
      <c r="BG1897" s="261" t="e">
        <f>IF((0.67*BG1898)&gt;BG1892,"no","yes")</f>
        <v>#DIV/0!</v>
      </c>
      <c r="BH1897" s="122"/>
      <c r="BI1897" s="261" t="e">
        <f>IF((0.67*BI1898)&gt;BI1892,"no","yes")</f>
        <v>#DIV/0!</v>
      </c>
      <c r="BJ1897" s="261" t="e">
        <f>IF((0.67*BJ1898)&gt;BJ1892,"no","yes")</f>
        <v>#DIV/0!</v>
      </c>
      <c r="BK1897" s="133"/>
      <c r="BL1897" s="261" t="e">
        <f>IF((0.67*BL1898)&gt;BL1892,"no","yes")</f>
        <v>#DIV/0!</v>
      </c>
      <c r="BM1897" s="261" t="e">
        <f>IF((0.67*BM1898)&gt;BM1892,"no","yes")</f>
        <v>#DIV/0!</v>
      </c>
      <c r="BN1897" s="122"/>
      <c r="BO1897" s="261" t="e">
        <f>IF((0.67*BO1898)&gt;BO1892,"no","yes")</f>
        <v>#DIV/0!</v>
      </c>
      <c r="BP1897" s="261" t="e">
        <f>IF((0.67*BP1898)&gt;BP1892,"no","yes")</f>
        <v>#DIV/0!</v>
      </c>
      <c r="BQ1897" s="122"/>
      <c r="BR1897" s="261" t="e">
        <f>IF((0.67*BR1898)&gt;BR1892,"no","yes")</f>
        <v>#DIV/0!</v>
      </c>
      <c r="BS1897" s="261" t="e">
        <f>IF((0.67*BS1898)&gt;BS1892,"no","yes")</f>
        <v>#DIV/0!</v>
      </c>
      <c r="BT1897" s="122"/>
      <c r="BU1897" s="261" t="e">
        <f>IF((0.67*BU1898)&gt;BU1892,"no","yes")</f>
        <v>#DIV/0!</v>
      </c>
      <c r="BV1897" s="261" t="e">
        <f>IF((0.67*BV1898)&gt;BV1892,"no","yes")</f>
        <v>#DIV/0!</v>
      </c>
      <c r="BW1897" s="122"/>
      <c r="BX1897" s="91"/>
    </row>
    <row r="1898" spans="1:76" s="55" customFormat="1" ht="14.25" x14ac:dyDescent="0.2">
      <c r="B1898" s="23"/>
      <c r="C1898" s="195"/>
      <c r="D1898" s="263"/>
      <c r="E1898" s="264"/>
      <c r="F1898" s="264"/>
      <c r="G1898" s="264"/>
      <c r="H1898" s="264"/>
      <c r="I1898" s="264"/>
      <c r="J1898" s="265"/>
      <c r="K1898" s="122"/>
      <c r="L1898" s="122"/>
      <c r="M1898" s="122"/>
      <c r="N1898" s="122"/>
      <c r="O1898" s="122"/>
      <c r="P1898" s="122"/>
      <c r="Q1898" s="311"/>
      <c r="R1898" s="389"/>
      <c r="S1898" s="118"/>
      <c r="T1898" s="118"/>
      <c r="U1898" s="274"/>
      <c r="V1898" s="275"/>
      <c r="W1898" s="276"/>
      <c r="Y1898" s="91"/>
      <c r="AO1898" s="91"/>
      <c r="AP1898" s="122"/>
      <c r="AQ1898" s="122"/>
      <c r="AR1898" s="122"/>
      <c r="AS1898" s="256" t="s">
        <v>157</v>
      </c>
      <c r="AT1898" s="261">
        <f>IF(AT1899&gt;1,_xlfn.STDEV.S(AT1872:AT1891),0)</f>
        <v>0</v>
      </c>
      <c r="AU1898" s="261">
        <f>IF(AU1899&gt;1,_xlfn.STDEV.S(AU1872:AU1891),0)</f>
        <v>0</v>
      </c>
      <c r="AV1898" s="122"/>
      <c r="AW1898" s="261">
        <f t="shared" ref="AW1898:AX1898" si="1294">IF(AW1899&gt;1,_xlfn.STDEV.S(AW1872:AW1891),0)</f>
        <v>0</v>
      </c>
      <c r="AX1898" s="261">
        <f t="shared" si="1294"/>
        <v>0</v>
      </c>
      <c r="AY1898" s="122"/>
      <c r="AZ1898" s="261">
        <f t="shared" ref="AZ1898:BA1898" si="1295">IF(AZ1899&gt;1,_xlfn.STDEV.S(AZ1872:AZ1891),0)</f>
        <v>0</v>
      </c>
      <c r="BA1898" s="261">
        <f t="shared" si="1295"/>
        <v>0</v>
      </c>
      <c r="BB1898" s="122"/>
      <c r="BC1898" s="261">
        <f t="shared" ref="BC1898:BD1898" si="1296">IF(BC1899&gt;1,_xlfn.STDEV.S(BC1872:BC1891),0)</f>
        <v>0</v>
      </c>
      <c r="BD1898" s="261">
        <f t="shared" si="1296"/>
        <v>0</v>
      </c>
      <c r="BE1898" s="122"/>
      <c r="BF1898" s="261">
        <f t="shared" ref="BF1898:BG1898" si="1297">IF(BF1899&gt;1,_xlfn.STDEV.S(BF1872:BF1891),0)</f>
        <v>0</v>
      </c>
      <c r="BG1898" s="261">
        <f t="shared" si="1297"/>
        <v>0</v>
      </c>
      <c r="BH1898" s="122"/>
      <c r="BI1898" s="261">
        <f t="shared" ref="BI1898:BJ1898" si="1298">IF(BI1899&gt;1,_xlfn.STDEV.S(BI1872:BI1891),0)</f>
        <v>0</v>
      </c>
      <c r="BJ1898" s="261">
        <f t="shared" si="1298"/>
        <v>0</v>
      </c>
      <c r="BK1898" s="122"/>
      <c r="BL1898" s="261">
        <f t="shared" ref="BL1898:BM1898" si="1299">IF(BL1899&gt;1,_xlfn.STDEV.S(BL1872:BL1891),0)</f>
        <v>0</v>
      </c>
      <c r="BM1898" s="261">
        <f t="shared" si="1299"/>
        <v>0</v>
      </c>
      <c r="BN1898" s="122"/>
      <c r="BO1898" s="261">
        <f t="shared" ref="BO1898:BP1898" si="1300">IF(BO1899&gt;1,_xlfn.STDEV.S(BO1872:BO1891),0)</f>
        <v>0</v>
      </c>
      <c r="BP1898" s="261">
        <f t="shared" si="1300"/>
        <v>0</v>
      </c>
      <c r="BQ1898" s="122"/>
      <c r="BR1898" s="261">
        <f t="shared" ref="BR1898:BS1898" si="1301">IF(BR1899&gt;1,_xlfn.STDEV.S(BR1872:BR1891),0)</f>
        <v>0</v>
      </c>
      <c r="BS1898" s="261">
        <f t="shared" si="1301"/>
        <v>0</v>
      </c>
      <c r="BT1898" s="122"/>
      <c r="BU1898" s="261">
        <f t="shared" ref="BU1898:BV1898" si="1302">IF(BU1899&gt;1,_xlfn.STDEV.S(BU1872:BU1891),0)</f>
        <v>0</v>
      </c>
      <c r="BV1898" s="261">
        <f t="shared" si="1302"/>
        <v>0</v>
      </c>
      <c r="BW1898" s="122"/>
      <c r="BX1898" s="91"/>
    </row>
    <row r="1899" spans="1:76" s="55" customFormat="1" x14ac:dyDescent="0.2">
      <c r="A1899" s="270" t="e">
        <f ca="1">HYPERLINK("#"&amp;"'"&amp;A$1&amp;"'!a1","Back to top")</f>
        <v>#VALUE!</v>
      </c>
      <c r="B1899" s="271"/>
      <c r="C1899" s="122"/>
      <c r="D1899" s="277"/>
      <c r="E1899" s="278"/>
      <c r="F1899" s="278"/>
      <c r="G1899" s="278"/>
      <c r="H1899" s="278"/>
      <c r="I1899" s="278"/>
      <c r="J1899" s="279"/>
      <c r="Q1899" s="81"/>
      <c r="R1899" s="362" t="s">
        <v>158</v>
      </c>
      <c r="T1899" s="122"/>
      <c r="U1899" s="281"/>
      <c r="V1899" s="282"/>
      <c r="W1899" s="283"/>
      <c r="Y1899" s="91"/>
      <c r="AO1899" s="91"/>
      <c r="AP1899" s="122"/>
      <c r="AQ1899" s="122"/>
      <c r="AR1899" s="122"/>
      <c r="AS1899" s="133" t="s">
        <v>159</v>
      </c>
      <c r="AT1899" s="284">
        <f>COUNT(AT1872:AT1891)</f>
        <v>0</v>
      </c>
      <c r="AU1899" s="284">
        <f>COUNT(AU1872:AU1891)</f>
        <v>0</v>
      </c>
      <c r="AV1899" s="122"/>
      <c r="AW1899" s="284">
        <f t="shared" ref="AW1899:AX1899" si="1303">COUNT(AW1872:AW1891)</f>
        <v>0</v>
      </c>
      <c r="AX1899" s="284">
        <f t="shared" si="1303"/>
        <v>0</v>
      </c>
      <c r="AY1899" s="122"/>
      <c r="AZ1899" s="284">
        <f t="shared" ref="AZ1899:BA1899" si="1304">COUNT(AZ1872:AZ1891)</f>
        <v>0</v>
      </c>
      <c r="BA1899" s="284">
        <f t="shared" si="1304"/>
        <v>0</v>
      </c>
      <c r="BB1899" s="122"/>
      <c r="BC1899" s="284">
        <f t="shared" ref="BC1899:BD1899" si="1305">COUNT(BC1872:BC1891)</f>
        <v>0</v>
      </c>
      <c r="BD1899" s="284">
        <f t="shared" si="1305"/>
        <v>0</v>
      </c>
      <c r="BE1899" s="122"/>
      <c r="BF1899" s="284">
        <f t="shared" ref="BF1899:BG1899" si="1306">COUNT(BF1872:BF1891)</f>
        <v>0</v>
      </c>
      <c r="BG1899" s="284">
        <f t="shared" si="1306"/>
        <v>0</v>
      </c>
      <c r="BH1899" s="122"/>
      <c r="BI1899" s="284">
        <f t="shared" ref="BI1899:BJ1899" si="1307">COUNT(BI1872:BI1891)</f>
        <v>0</v>
      </c>
      <c r="BJ1899" s="284">
        <f t="shared" si="1307"/>
        <v>0</v>
      </c>
      <c r="BK1899" s="122"/>
      <c r="BL1899" s="284">
        <f t="shared" ref="BL1899:BM1899" si="1308">COUNT(BL1872:BL1891)</f>
        <v>0</v>
      </c>
      <c r="BM1899" s="284">
        <f t="shared" si="1308"/>
        <v>0</v>
      </c>
      <c r="BN1899" s="122"/>
      <c r="BO1899" s="284">
        <f t="shared" ref="BO1899:BP1899" si="1309">COUNT(BO1872:BO1891)</f>
        <v>0</v>
      </c>
      <c r="BP1899" s="284">
        <f t="shared" si="1309"/>
        <v>0</v>
      </c>
      <c r="BQ1899" s="122"/>
      <c r="BR1899" s="284">
        <f t="shared" ref="BR1899:BS1899" si="1310">COUNT(BR1872:BR1891)</f>
        <v>0</v>
      </c>
      <c r="BS1899" s="284">
        <f t="shared" si="1310"/>
        <v>0</v>
      </c>
      <c r="BT1899" s="122"/>
      <c r="BU1899" s="284">
        <f t="shared" ref="BU1899:BV1899" si="1311">COUNT(BU1872:BU1891)</f>
        <v>0</v>
      </c>
      <c r="BV1899" s="284">
        <f t="shared" si="1311"/>
        <v>0</v>
      </c>
      <c r="BW1899" s="122"/>
      <c r="BX1899" s="91"/>
    </row>
    <row r="1900" spans="1:76" s="55" customFormat="1" ht="14.25" x14ac:dyDescent="0.2">
      <c r="A1900" s="270"/>
      <c r="B1900" s="271"/>
      <c r="C1900" s="122"/>
      <c r="D1900" s="314"/>
      <c r="E1900" s="314"/>
      <c r="F1900" s="314"/>
      <c r="G1900" s="314"/>
      <c r="H1900" s="314"/>
      <c r="I1900" s="314"/>
      <c r="J1900" s="314"/>
      <c r="Q1900" s="81"/>
      <c r="R1900" s="287" t="s">
        <v>149</v>
      </c>
      <c r="T1900" s="122"/>
      <c r="U1900" s="281"/>
      <c r="V1900" s="282"/>
      <c r="W1900" s="283"/>
      <c r="Y1900" s="91"/>
      <c r="AO1900" s="91"/>
      <c r="BX1900" s="91"/>
    </row>
    <row r="1901" spans="1:76" s="55" customFormat="1" ht="14.25" x14ac:dyDescent="0.2">
      <c r="A1901" s="270"/>
      <c r="B1901" s="271"/>
      <c r="C1901" s="122"/>
      <c r="D1901" s="314"/>
      <c r="E1901" s="314"/>
      <c r="F1901" s="314"/>
      <c r="G1901" s="314"/>
      <c r="H1901" s="314"/>
      <c r="I1901" s="314"/>
      <c r="J1901" s="314"/>
      <c r="Q1901" s="81"/>
      <c r="T1901" s="122"/>
      <c r="U1901" s="288"/>
      <c r="V1901" s="289"/>
      <c r="W1901" s="290"/>
      <c r="Y1901" s="91"/>
      <c r="AO1901" s="91"/>
      <c r="BX1901" s="91"/>
    </row>
    <row r="1902" spans="1:76" s="55" customFormat="1" ht="18" x14ac:dyDescent="0.25">
      <c r="B1902" s="23"/>
      <c r="Q1902" s="81"/>
      <c r="T1902" s="122"/>
      <c r="U1902" s="122"/>
      <c r="V1902" s="122"/>
      <c r="W1902" s="122"/>
      <c r="Y1902" s="91"/>
      <c r="AO1902" s="296"/>
      <c r="AP1902" s="345"/>
      <c r="AQ1902" s="345"/>
      <c r="AR1902" s="346"/>
      <c r="AS1902" s="346"/>
      <c r="AT1902" s="346"/>
      <c r="AU1902" s="346"/>
      <c r="AV1902" s="346"/>
      <c r="AW1902" s="346"/>
      <c r="AX1902" s="346"/>
      <c r="AY1902" s="346"/>
      <c r="AZ1902" s="346"/>
      <c r="BA1902" s="346"/>
      <c r="BB1902" s="346"/>
      <c r="BC1902" s="346"/>
      <c r="BD1902" s="346"/>
      <c r="BE1902" s="346"/>
      <c r="BF1902" s="346"/>
      <c r="BG1902" s="346"/>
      <c r="BH1902" s="346"/>
      <c r="BI1902" s="346"/>
      <c r="BJ1902" s="346"/>
      <c r="BK1902" s="346"/>
      <c r="BL1902" s="346"/>
      <c r="BM1902" s="346"/>
      <c r="BN1902" s="346"/>
      <c r="BO1902" s="346"/>
      <c r="BP1902" s="346"/>
      <c r="BQ1902" s="346"/>
      <c r="BR1902" s="346"/>
      <c r="BS1902" s="346"/>
      <c r="BT1902" s="346"/>
      <c r="BU1902" s="346"/>
      <c r="BV1902" s="346"/>
      <c r="BW1902" s="346"/>
      <c r="BX1902" s="296"/>
    </row>
    <row r="1903" spans="1:76" s="9" customFormat="1" ht="18" x14ac:dyDescent="0.25">
      <c r="A1903" s="188">
        <f>A1869+1</f>
        <v>35</v>
      </c>
      <c r="B1903" s="189"/>
      <c r="C1903" s="293" t="s">
        <v>778</v>
      </c>
      <c r="D1903" s="191"/>
      <c r="E1903" s="191"/>
      <c r="F1903" s="191"/>
      <c r="G1903" s="191"/>
      <c r="J1903" s="191"/>
      <c r="K1903" s="191"/>
      <c r="L1903" s="192"/>
      <c r="M1903" s="192"/>
      <c r="N1903" s="192"/>
      <c r="Q1903" s="193"/>
      <c r="R1903" s="194" t="s">
        <v>93</v>
      </c>
      <c r="S1903" s="194"/>
      <c r="T1903" s="194"/>
      <c r="U1903" s="194"/>
      <c r="AP1903" s="175">
        <f>A1903</f>
        <v>35</v>
      </c>
      <c r="AQ1903" s="175" t="str">
        <f>C1903</f>
        <v>VARIABLE35</v>
      </c>
    </row>
    <row r="1904" spans="1:76" s="55" customFormat="1" x14ac:dyDescent="0.25">
      <c r="A1904" s="195"/>
      <c r="B1904" s="196"/>
      <c r="C1904" s="195"/>
      <c r="D1904" s="120"/>
      <c r="E1904" s="120"/>
      <c r="F1904" s="120"/>
      <c r="G1904" s="120"/>
      <c r="J1904" s="120"/>
      <c r="K1904" s="120"/>
      <c r="L1904" s="122"/>
      <c r="M1904" s="122"/>
      <c r="N1904" s="122"/>
      <c r="Q1904" s="81"/>
      <c r="Y1904" s="91"/>
      <c r="AO1904" s="91"/>
      <c r="AP1904" s="28"/>
      <c r="AQ1904" s="28"/>
      <c r="AR1904" s="28"/>
      <c r="AS1904" s="28"/>
      <c r="AT1904" s="198" t="s">
        <v>171</v>
      </c>
      <c r="AU1904" s="198"/>
      <c r="AV1904" s="28"/>
      <c r="AW1904" s="198" t="s">
        <v>96</v>
      </c>
      <c r="AX1904" s="198"/>
      <c r="AY1904" s="28"/>
      <c r="AZ1904" s="198" t="s">
        <v>97</v>
      </c>
      <c r="BA1904" s="198"/>
      <c r="BB1904" s="28"/>
      <c r="BC1904" s="198" t="s">
        <v>98</v>
      </c>
      <c r="BD1904" s="198"/>
      <c r="BE1904" s="28"/>
      <c r="BF1904" s="198" t="s">
        <v>99</v>
      </c>
      <c r="BG1904" s="198"/>
      <c r="BH1904" s="28"/>
      <c r="BI1904" s="198" t="s">
        <v>100</v>
      </c>
      <c r="BJ1904" s="198"/>
      <c r="BK1904" s="28"/>
      <c r="BL1904" s="198" t="s">
        <v>101</v>
      </c>
      <c r="BM1904" s="198"/>
      <c r="BN1904" s="28"/>
      <c r="BO1904" s="198" t="s">
        <v>102</v>
      </c>
      <c r="BP1904" s="198"/>
      <c r="BQ1904" s="28"/>
      <c r="BR1904" s="198" t="s">
        <v>103</v>
      </c>
      <c r="BS1904" s="198"/>
      <c r="BT1904" s="28"/>
      <c r="BU1904" s="198" t="s">
        <v>104</v>
      </c>
      <c r="BV1904" s="198"/>
      <c r="BW1904" s="28"/>
      <c r="BX1904" s="91"/>
    </row>
    <row r="1905" spans="1:76" s="55" customFormat="1" ht="30.75" thickBot="1" x14ac:dyDescent="0.3">
      <c r="A1905" s="199" t="s">
        <v>105</v>
      </c>
      <c r="B1905" s="200" t="s">
        <v>106</v>
      </c>
      <c r="C1905" s="201" t="s">
        <v>107</v>
      </c>
      <c r="D1905" s="202" t="s">
        <v>108</v>
      </c>
      <c r="E1905" s="202" t="s">
        <v>109</v>
      </c>
      <c r="F1905" s="201" t="s">
        <v>110</v>
      </c>
      <c r="G1905" s="201" t="s">
        <v>111</v>
      </c>
      <c r="H1905" s="202" t="s">
        <v>112</v>
      </c>
      <c r="I1905" s="203" t="s">
        <v>113</v>
      </c>
      <c r="J1905" s="204" t="s">
        <v>114</v>
      </c>
      <c r="K1905" s="205" t="s">
        <v>115</v>
      </c>
      <c r="L1905" s="206" t="s">
        <v>116</v>
      </c>
      <c r="M1905" s="207" t="s">
        <v>117</v>
      </c>
      <c r="N1905" s="208" t="s">
        <v>118</v>
      </c>
      <c r="O1905" s="207" t="s">
        <v>119</v>
      </c>
      <c r="P1905" s="210"/>
      <c r="Q1905" s="211" t="s">
        <v>120</v>
      </c>
      <c r="R1905" s="212" t="s">
        <v>121</v>
      </c>
      <c r="S1905" s="212" t="s">
        <v>122</v>
      </c>
      <c r="T1905" s="212" t="s">
        <v>123</v>
      </c>
      <c r="U1905" s="213" t="s">
        <v>124</v>
      </c>
      <c r="V1905" s="210"/>
      <c r="W1905" s="210"/>
      <c r="Y1905" s="91"/>
      <c r="AO1905" s="91"/>
      <c r="AP1905" s="210"/>
      <c r="AQ1905" s="210"/>
      <c r="AR1905" s="213" t="s">
        <v>125</v>
      </c>
      <c r="AS1905" s="210"/>
      <c r="AT1905" s="215" t="s">
        <v>121</v>
      </c>
      <c r="AU1905" s="215" t="s">
        <v>122</v>
      </c>
      <c r="AV1905" s="210"/>
      <c r="AW1905" s="215" t="s">
        <v>121</v>
      </c>
      <c r="AX1905" s="215" t="s">
        <v>122</v>
      </c>
      <c r="AY1905" s="210"/>
      <c r="AZ1905" s="215" t="s">
        <v>121</v>
      </c>
      <c r="BA1905" s="215" t="s">
        <v>122</v>
      </c>
      <c r="BB1905" s="210"/>
      <c r="BC1905" s="215" t="s">
        <v>121</v>
      </c>
      <c r="BD1905" s="215" t="s">
        <v>122</v>
      </c>
      <c r="BE1905" s="210"/>
      <c r="BF1905" s="215" t="s">
        <v>121</v>
      </c>
      <c r="BG1905" s="215" t="s">
        <v>122</v>
      </c>
      <c r="BH1905" s="210"/>
      <c r="BI1905" s="215" t="s">
        <v>121</v>
      </c>
      <c r="BJ1905" s="215" t="s">
        <v>122</v>
      </c>
      <c r="BK1905" s="210"/>
      <c r="BL1905" s="215" t="s">
        <v>121</v>
      </c>
      <c r="BM1905" s="215" t="s">
        <v>122</v>
      </c>
      <c r="BN1905" s="210"/>
      <c r="BO1905" s="215" t="s">
        <v>121</v>
      </c>
      <c r="BP1905" s="215" t="s">
        <v>122</v>
      </c>
      <c r="BQ1905" s="210"/>
      <c r="BR1905" s="215" t="s">
        <v>121</v>
      </c>
      <c r="BS1905" s="215" t="s">
        <v>122</v>
      </c>
      <c r="BT1905" s="210"/>
      <c r="BU1905" s="215" t="s">
        <v>121</v>
      </c>
      <c r="BV1905" s="215" t="s">
        <v>122</v>
      </c>
      <c r="BW1905" s="210"/>
      <c r="BX1905" s="91"/>
    </row>
    <row r="1906" spans="1:76" s="55" customFormat="1" x14ac:dyDescent="0.25">
      <c r="A1906" s="195">
        <v>1</v>
      </c>
      <c r="B1906" s="216" t="str">
        <f t="shared" ref="B1906:B1925" si="1312">CONCATENATE(E1906,": ",C1906)</f>
        <v xml:space="preserve">: </v>
      </c>
      <c r="C1906" s="219"/>
      <c r="D1906" s="219"/>
      <c r="E1906" s="219"/>
      <c r="F1906" s="219"/>
      <c r="G1906" s="220"/>
      <c r="H1906" s="221"/>
      <c r="I1906" s="220"/>
      <c r="J1906" s="227"/>
      <c r="K1906" s="226"/>
      <c r="L1906" s="227"/>
      <c r="M1906" s="227"/>
      <c r="N1906" s="227"/>
      <c r="O1906" s="227"/>
      <c r="P1906" s="122"/>
      <c r="Q1906" s="228"/>
      <c r="R1906" s="231" t="str">
        <f>IF(Q1906="Y","",IF(AND(L1906="",J1906=""),"",IF(L1906="",J1906,L1906)))</f>
        <v/>
      </c>
      <c r="S1906" s="230" t="str">
        <f t="shared" ref="S1906:S1925" si="1313">IF(R1906="","",IF($R$1934="Y",T1906,IF(R1906&gt;=$R$1926-$AA$35*$R$1930,IF(R1906&lt;=$R$1926+$AA$35*$R$1930,R1906,""),"")))</f>
        <v/>
      </c>
      <c r="T1906" s="231" t="str">
        <f>IF(OR(Q1906="Y",IFERROR(R1906&gt;R1926+R1930*$AA$35,0),IFERROR(R1906&lt;R1926-R1930*$AA$35,0)),"",IFERROR(R1906*N1906,""))</f>
        <v/>
      </c>
      <c r="U1906" s="232" t="str">
        <f t="shared" ref="U1906:U1925" si="1314">IF(AND(M1906="",K1906=""),"",IF(M1906="",K1906,M1906))</f>
        <v/>
      </c>
      <c r="V1906" s="28"/>
      <c r="W1906" s="28"/>
      <c r="Y1906" s="91"/>
      <c r="AO1906" s="91"/>
      <c r="AP1906" s="28"/>
      <c r="AQ1906" s="28"/>
      <c r="AR1906" s="233" t="str">
        <f>$U1906</f>
        <v/>
      </c>
      <c r="AS1906" s="28"/>
      <c r="AT1906" s="304" t="str">
        <f t="shared" ref="AT1906:AU1925" si="1315">IF($E1906=$AT$47,R1906,"")</f>
        <v/>
      </c>
      <c r="AU1906" s="304" t="str">
        <f t="shared" si="1315"/>
        <v/>
      </c>
      <c r="AV1906" s="28"/>
      <c r="AW1906" s="304" t="str">
        <f t="shared" ref="AW1906:AX1925" si="1316">IF($E1906=$AW$83,R1906,"")</f>
        <v/>
      </c>
      <c r="AX1906" s="304" t="str">
        <f t="shared" si="1316"/>
        <v/>
      </c>
      <c r="AY1906" s="28"/>
      <c r="AZ1906" s="304" t="str">
        <f t="shared" ref="AZ1906:BA1925" si="1317">IF($E1906=$AZ$83,R1906,"")</f>
        <v/>
      </c>
      <c r="BA1906" s="304" t="str">
        <f t="shared" si="1317"/>
        <v/>
      </c>
      <c r="BB1906" s="28"/>
      <c r="BC1906" s="304" t="str">
        <f t="shared" ref="BC1906:BD1925" si="1318">IF($E1906=$BC$83,R1906,"")</f>
        <v/>
      </c>
      <c r="BD1906" s="304" t="str">
        <f t="shared" si="1318"/>
        <v/>
      </c>
      <c r="BE1906" s="28"/>
      <c r="BF1906" s="304" t="str">
        <f t="shared" ref="BF1906:BG1925" si="1319">IF($E1906=$BF$83,R1906,"")</f>
        <v/>
      </c>
      <c r="BG1906" s="304" t="str">
        <f t="shared" si="1319"/>
        <v/>
      </c>
      <c r="BH1906" s="28"/>
      <c r="BI1906" s="304" t="str">
        <f t="shared" ref="BI1906:BJ1925" si="1320">IF($E1906=$BI$83,R1906,"")</f>
        <v/>
      </c>
      <c r="BJ1906" s="304" t="str">
        <f t="shared" si="1320"/>
        <v/>
      </c>
      <c r="BK1906" s="28"/>
      <c r="BL1906" s="304" t="str">
        <f t="shared" ref="BL1906:BM1925" si="1321">IF($E1906=$BL$83,R1906,"")</f>
        <v/>
      </c>
      <c r="BM1906" s="304" t="str">
        <f t="shared" si="1321"/>
        <v/>
      </c>
      <c r="BN1906" s="28"/>
      <c r="BO1906" s="304" t="str">
        <f t="shared" ref="BO1906:BP1925" si="1322">IF($E1906=$BO$83,R1906,"")</f>
        <v/>
      </c>
      <c r="BP1906" s="304" t="str">
        <f t="shared" si="1322"/>
        <v/>
      </c>
      <c r="BQ1906" s="28"/>
      <c r="BR1906" s="304" t="str">
        <f t="shared" ref="BR1906:BS1925" si="1323">IF($E1906=$BR$83,R1906,"")</f>
        <v/>
      </c>
      <c r="BS1906" s="304" t="str">
        <f t="shared" si="1323"/>
        <v/>
      </c>
      <c r="BT1906" s="28"/>
      <c r="BU1906" s="304" t="str">
        <f t="shared" ref="BU1906:BV1925" si="1324">IF($E1906=$BU$83,R1906,"")</f>
        <v/>
      </c>
      <c r="BV1906" s="304" t="str">
        <f t="shared" si="1324"/>
        <v/>
      </c>
      <c r="BW1906" s="28"/>
      <c r="BX1906" s="91"/>
    </row>
    <row r="1907" spans="1:76" s="55" customFormat="1" x14ac:dyDescent="0.25">
      <c r="A1907" s="195">
        <v>2</v>
      </c>
      <c r="B1907" s="216" t="str">
        <f t="shared" si="1312"/>
        <v xml:space="preserve">: </v>
      </c>
      <c r="C1907" s="219"/>
      <c r="D1907" s="219"/>
      <c r="E1907" s="219"/>
      <c r="F1907" s="219"/>
      <c r="G1907" s="220"/>
      <c r="H1907" s="221"/>
      <c r="I1907" s="220"/>
      <c r="J1907" s="227"/>
      <c r="K1907" s="227"/>
      <c r="L1907" s="227"/>
      <c r="M1907" s="227"/>
      <c r="N1907" s="227"/>
      <c r="O1907" s="227"/>
      <c r="P1907" s="122"/>
      <c r="Q1907" s="228"/>
      <c r="R1907" s="231" t="str">
        <f t="shared" ref="R1907:R1925" si="1325">IF(Q1907="Y","",IF(AND(L1907="",J1907=""),"",IF(L1907="",J1907,L1907)))</f>
        <v/>
      </c>
      <c r="S1907" s="230" t="str">
        <f t="shared" si="1313"/>
        <v/>
      </c>
      <c r="T1907" s="231" t="str">
        <f>IF(OR(Q1907="Y",IFERROR(R1907&gt;R1926+R1930*$AA$35,0),IFERROR(R1907&lt;R1926-R1930*$AA$35,0)),"",IFERROR(R1907*N1907,""))</f>
        <v/>
      </c>
      <c r="U1907" s="232" t="str">
        <f t="shared" si="1314"/>
        <v/>
      </c>
      <c r="V1907" s="28"/>
      <c r="W1907" s="28"/>
      <c r="Y1907" s="91"/>
      <c r="AO1907" s="91"/>
      <c r="AP1907" s="28"/>
      <c r="AQ1907" s="28"/>
      <c r="AR1907" s="237"/>
      <c r="AS1907" s="28"/>
      <c r="AT1907" s="304" t="str">
        <f t="shared" si="1315"/>
        <v/>
      </c>
      <c r="AU1907" s="304" t="str">
        <f t="shared" si="1315"/>
        <v/>
      </c>
      <c r="AV1907" s="28"/>
      <c r="AW1907" s="304" t="str">
        <f t="shared" si="1316"/>
        <v/>
      </c>
      <c r="AX1907" s="304" t="str">
        <f t="shared" si="1316"/>
        <v/>
      </c>
      <c r="AY1907" s="28"/>
      <c r="AZ1907" s="304" t="str">
        <f t="shared" si="1317"/>
        <v/>
      </c>
      <c r="BA1907" s="304" t="str">
        <f t="shared" si="1317"/>
        <v/>
      </c>
      <c r="BB1907" s="28"/>
      <c r="BC1907" s="304" t="str">
        <f t="shared" si="1318"/>
        <v/>
      </c>
      <c r="BD1907" s="304" t="str">
        <f t="shared" si="1318"/>
        <v/>
      </c>
      <c r="BE1907" s="28"/>
      <c r="BF1907" s="304" t="str">
        <f t="shared" si="1319"/>
        <v/>
      </c>
      <c r="BG1907" s="304" t="str">
        <f t="shared" si="1319"/>
        <v/>
      </c>
      <c r="BH1907" s="28"/>
      <c r="BI1907" s="304" t="str">
        <f t="shared" si="1320"/>
        <v/>
      </c>
      <c r="BJ1907" s="304" t="str">
        <f t="shared" si="1320"/>
        <v/>
      </c>
      <c r="BK1907" s="28"/>
      <c r="BL1907" s="304" t="str">
        <f t="shared" si="1321"/>
        <v/>
      </c>
      <c r="BM1907" s="304" t="str">
        <f t="shared" si="1321"/>
        <v/>
      </c>
      <c r="BN1907" s="28"/>
      <c r="BO1907" s="304" t="str">
        <f t="shared" si="1322"/>
        <v/>
      </c>
      <c r="BP1907" s="304" t="str">
        <f t="shared" si="1322"/>
        <v/>
      </c>
      <c r="BQ1907" s="28"/>
      <c r="BR1907" s="304" t="str">
        <f t="shared" si="1323"/>
        <v/>
      </c>
      <c r="BS1907" s="304" t="str">
        <f t="shared" si="1323"/>
        <v/>
      </c>
      <c r="BT1907" s="28"/>
      <c r="BU1907" s="304" t="str">
        <f t="shared" si="1324"/>
        <v/>
      </c>
      <c r="BV1907" s="304" t="str">
        <f t="shared" si="1324"/>
        <v/>
      </c>
      <c r="BW1907" s="28"/>
      <c r="BX1907" s="91"/>
    </row>
    <row r="1908" spans="1:76" s="55" customFormat="1" x14ac:dyDescent="0.25">
      <c r="A1908" s="195">
        <v>3</v>
      </c>
      <c r="B1908" s="216" t="str">
        <f t="shared" si="1312"/>
        <v xml:space="preserve">: </v>
      </c>
      <c r="C1908" s="221"/>
      <c r="D1908" s="221"/>
      <c r="E1908" s="221"/>
      <c r="F1908" s="221"/>
      <c r="G1908" s="240"/>
      <c r="H1908" s="221"/>
      <c r="I1908" s="240"/>
      <c r="J1908" s="241"/>
      <c r="K1908" s="241"/>
      <c r="L1908" s="227"/>
      <c r="M1908" s="227"/>
      <c r="N1908" s="227"/>
      <c r="O1908" s="227"/>
      <c r="P1908" s="122"/>
      <c r="Q1908" s="228"/>
      <c r="R1908" s="231" t="str">
        <f t="shared" si="1325"/>
        <v/>
      </c>
      <c r="S1908" s="230" t="str">
        <f t="shared" si="1313"/>
        <v/>
      </c>
      <c r="T1908" s="231" t="str">
        <f>IF(OR(Q1908="Y",IFERROR(R1908&gt;R1926+R1930*$AA$35,0),IFERROR(R1908&lt;R1926-R1930*$AA$35,0)),"",IFERROR(R1908*N1908,""))</f>
        <v/>
      </c>
      <c r="U1908" s="232" t="str">
        <f t="shared" si="1314"/>
        <v/>
      </c>
      <c r="V1908" s="28"/>
      <c r="W1908" s="28"/>
      <c r="Y1908" s="91"/>
      <c r="AO1908" s="91"/>
      <c r="AP1908" s="28"/>
      <c r="AQ1908" s="28"/>
      <c r="AR1908" s="237"/>
      <c r="AS1908" s="28"/>
      <c r="AT1908" s="304" t="str">
        <f t="shared" si="1315"/>
        <v/>
      </c>
      <c r="AU1908" s="304" t="str">
        <f t="shared" si="1315"/>
        <v/>
      </c>
      <c r="AV1908" s="28"/>
      <c r="AW1908" s="304" t="str">
        <f t="shared" si="1316"/>
        <v/>
      </c>
      <c r="AX1908" s="304" t="str">
        <f t="shared" si="1316"/>
        <v/>
      </c>
      <c r="AY1908" s="28"/>
      <c r="AZ1908" s="304" t="str">
        <f t="shared" si="1317"/>
        <v/>
      </c>
      <c r="BA1908" s="304" t="str">
        <f t="shared" si="1317"/>
        <v/>
      </c>
      <c r="BB1908" s="28"/>
      <c r="BC1908" s="304" t="str">
        <f t="shared" si="1318"/>
        <v/>
      </c>
      <c r="BD1908" s="304" t="str">
        <f t="shared" si="1318"/>
        <v/>
      </c>
      <c r="BE1908" s="28"/>
      <c r="BF1908" s="304" t="str">
        <f t="shared" si="1319"/>
        <v/>
      </c>
      <c r="BG1908" s="304" t="str">
        <f t="shared" si="1319"/>
        <v/>
      </c>
      <c r="BH1908" s="28"/>
      <c r="BI1908" s="304" t="str">
        <f t="shared" si="1320"/>
        <v/>
      </c>
      <c r="BJ1908" s="304" t="str">
        <f t="shared" si="1320"/>
        <v/>
      </c>
      <c r="BK1908" s="28"/>
      <c r="BL1908" s="304" t="str">
        <f t="shared" si="1321"/>
        <v/>
      </c>
      <c r="BM1908" s="304" t="str">
        <f t="shared" si="1321"/>
        <v/>
      </c>
      <c r="BN1908" s="28"/>
      <c r="BO1908" s="304" t="str">
        <f t="shared" si="1322"/>
        <v/>
      </c>
      <c r="BP1908" s="304" t="str">
        <f t="shared" si="1322"/>
        <v/>
      </c>
      <c r="BQ1908" s="28"/>
      <c r="BR1908" s="304" t="str">
        <f t="shared" si="1323"/>
        <v/>
      </c>
      <c r="BS1908" s="304" t="str">
        <f t="shared" si="1323"/>
        <v/>
      </c>
      <c r="BT1908" s="28"/>
      <c r="BU1908" s="304" t="str">
        <f t="shared" si="1324"/>
        <v/>
      </c>
      <c r="BV1908" s="304" t="str">
        <f t="shared" si="1324"/>
        <v/>
      </c>
      <c r="BW1908" s="28"/>
      <c r="BX1908" s="91"/>
    </row>
    <row r="1909" spans="1:76" s="55" customFormat="1" x14ac:dyDescent="0.25">
      <c r="A1909" s="195">
        <v>4</v>
      </c>
      <c r="B1909" s="216" t="str">
        <f t="shared" si="1312"/>
        <v xml:space="preserve">: </v>
      </c>
      <c r="C1909" s="221"/>
      <c r="D1909" s="221"/>
      <c r="E1909" s="221"/>
      <c r="F1909" s="221"/>
      <c r="G1909" s="240"/>
      <c r="H1909" s="221"/>
      <c r="I1909" s="240"/>
      <c r="J1909" s="241"/>
      <c r="K1909" s="241"/>
      <c r="L1909" s="227"/>
      <c r="M1909" s="227"/>
      <c r="N1909" s="227"/>
      <c r="O1909" s="227"/>
      <c r="P1909" s="122"/>
      <c r="Q1909" s="228"/>
      <c r="R1909" s="231" t="str">
        <f t="shared" si="1325"/>
        <v/>
      </c>
      <c r="S1909" s="230" t="str">
        <f t="shared" si="1313"/>
        <v/>
      </c>
      <c r="T1909" s="231" t="str">
        <f>IF(OR(Q1909="Y",IFERROR(R1909&gt;R1926+R1930*$AA$35,0),IFERROR(R1909&lt;R1926-R1930*$AA$35,0)),"",IFERROR(R1909*N1909,""))</f>
        <v/>
      </c>
      <c r="U1909" s="232" t="str">
        <f t="shared" si="1314"/>
        <v/>
      </c>
      <c r="V1909" s="28"/>
      <c r="W1909" s="28"/>
      <c r="Y1909" s="91"/>
      <c r="AO1909" s="91"/>
      <c r="AP1909" s="28"/>
      <c r="AQ1909" s="28"/>
      <c r="AR1909" s="237"/>
      <c r="AS1909" s="28"/>
      <c r="AT1909" s="304" t="str">
        <f t="shared" si="1315"/>
        <v/>
      </c>
      <c r="AU1909" s="304" t="str">
        <f t="shared" si="1315"/>
        <v/>
      </c>
      <c r="AV1909" s="28"/>
      <c r="AW1909" s="304" t="str">
        <f t="shared" si="1316"/>
        <v/>
      </c>
      <c r="AX1909" s="304" t="str">
        <f t="shared" si="1316"/>
        <v/>
      </c>
      <c r="AY1909" s="28"/>
      <c r="AZ1909" s="304" t="str">
        <f t="shared" si="1317"/>
        <v/>
      </c>
      <c r="BA1909" s="304" t="str">
        <f t="shared" si="1317"/>
        <v/>
      </c>
      <c r="BB1909" s="28"/>
      <c r="BC1909" s="304" t="str">
        <f t="shared" si="1318"/>
        <v/>
      </c>
      <c r="BD1909" s="304" t="str">
        <f t="shared" si="1318"/>
        <v/>
      </c>
      <c r="BE1909" s="28"/>
      <c r="BF1909" s="304" t="str">
        <f t="shared" si="1319"/>
        <v/>
      </c>
      <c r="BG1909" s="304" t="str">
        <f t="shared" si="1319"/>
        <v/>
      </c>
      <c r="BH1909" s="28"/>
      <c r="BI1909" s="304" t="str">
        <f t="shared" si="1320"/>
        <v/>
      </c>
      <c r="BJ1909" s="304" t="str">
        <f t="shared" si="1320"/>
        <v/>
      </c>
      <c r="BK1909" s="28"/>
      <c r="BL1909" s="304" t="str">
        <f t="shared" si="1321"/>
        <v/>
      </c>
      <c r="BM1909" s="304" t="str">
        <f t="shared" si="1321"/>
        <v/>
      </c>
      <c r="BN1909" s="28"/>
      <c r="BO1909" s="304" t="str">
        <f t="shared" si="1322"/>
        <v/>
      </c>
      <c r="BP1909" s="304" t="str">
        <f t="shared" si="1322"/>
        <v/>
      </c>
      <c r="BQ1909" s="28"/>
      <c r="BR1909" s="304" t="str">
        <f t="shared" si="1323"/>
        <v/>
      </c>
      <c r="BS1909" s="304" t="str">
        <f t="shared" si="1323"/>
        <v/>
      </c>
      <c r="BT1909" s="28"/>
      <c r="BU1909" s="304" t="str">
        <f t="shared" si="1324"/>
        <v/>
      </c>
      <c r="BV1909" s="304" t="str">
        <f t="shared" si="1324"/>
        <v/>
      </c>
      <c r="BW1909" s="28"/>
      <c r="BX1909" s="91"/>
    </row>
    <row r="1910" spans="1:76" s="55" customFormat="1" x14ac:dyDescent="0.25">
      <c r="A1910" s="195">
        <v>5</v>
      </c>
      <c r="B1910" s="216" t="str">
        <f t="shared" si="1312"/>
        <v xml:space="preserve">: </v>
      </c>
      <c r="C1910" s="221"/>
      <c r="D1910" s="221"/>
      <c r="E1910" s="221"/>
      <c r="F1910" s="221"/>
      <c r="G1910" s="240"/>
      <c r="H1910" s="221"/>
      <c r="I1910" s="240"/>
      <c r="J1910" s="241"/>
      <c r="K1910" s="241"/>
      <c r="L1910" s="227"/>
      <c r="M1910" s="227"/>
      <c r="N1910" s="227"/>
      <c r="O1910" s="227"/>
      <c r="P1910" s="122"/>
      <c r="Q1910" s="228"/>
      <c r="R1910" s="231" t="str">
        <f t="shared" si="1325"/>
        <v/>
      </c>
      <c r="S1910" s="230" t="str">
        <f t="shared" si="1313"/>
        <v/>
      </c>
      <c r="T1910" s="231" t="str">
        <f>IF(OR(Q1910="Y",IFERROR(R1910&gt;R1926+R1930*$AA$35,0),IFERROR(R1910&lt;R1926-R1930*$AA$35,0)),"",IFERROR(R1910*N1910,""))</f>
        <v/>
      </c>
      <c r="U1910" s="232" t="str">
        <f t="shared" si="1314"/>
        <v/>
      </c>
      <c r="V1910" s="28"/>
      <c r="W1910" s="28"/>
      <c r="Y1910" s="91"/>
      <c r="AO1910" s="91"/>
      <c r="AP1910" s="28"/>
      <c r="AQ1910" s="28"/>
      <c r="AR1910" s="237"/>
      <c r="AS1910" s="28"/>
      <c r="AT1910" s="304" t="str">
        <f t="shared" si="1315"/>
        <v/>
      </c>
      <c r="AU1910" s="304" t="str">
        <f t="shared" si="1315"/>
        <v/>
      </c>
      <c r="AV1910" s="28"/>
      <c r="AW1910" s="304" t="str">
        <f t="shared" si="1316"/>
        <v/>
      </c>
      <c r="AX1910" s="304" t="str">
        <f t="shared" si="1316"/>
        <v/>
      </c>
      <c r="AY1910" s="28"/>
      <c r="AZ1910" s="304" t="str">
        <f t="shared" si="1317"/>
        <v/>
      </c>
      <c r="BA1910" s="304" t="str">
        <f t="shared" si="1317"/>
        <v/>
      </c>
      <c r="BB1910" s="28"/>
      <c r="BC1910" s="304" t="str">
        <f t="shared" si="1318"/>
        <v/>
      </c>
      <c r="BD1910" s="304" t="str">
        <f t="shared" si="1318"/>
        <v/>
      </c>
      <c r="BE1910" s="28"/>
      <c r="BF1910" s="304" t="str">
        <f t="shared" si="1319"/>
        <v/>
      </c>
      <c r="BG1910" s="304" t="str">
        <f t="shared" si="1319"/>
        <v/>
      </c>
      <c r="BH1910" s="28"/>
      <c r="BI1910" s="304" t="str">
        <f t="shared" si="1320"/>
        <v/>
      </c>
      <c r="BJ1910" s="304" t="str">
        <f t="shared" si="1320"/>
        <v/>
      </c>
      <c r="BK1910" s="28"/>
      <c r="BL1910" s="304" t="str">
        <f t="shared" si="1321"/>
        <v/>
      </c>
      <c r="BM1910" s="304" t="str">
        <f t="shared" si="1321"/>
        <v/>
      </c>
      <c r="BN1910" s="28"/>
      <c r="BO1910" s="304" t="str">
        <f t="shared" si="1322"/>
        <v/>
      </c>
      <c r="BP1910" s="304" t="str">
        <f t="shared" si="1322"/>
        <v/>
      </c>
      <c r="BQ1910" s="28"/>
      <c r="BR1910" s="304" t="str">
        <f t="shared" si="1323"/>
        <v/>
      </c>
      <c r="BS1910" s="304" t="str">
        <f t="shared" si="1323"/>
        <v/>
      </c>
      <c r="BT1910" s="28"/>
      <c r="BU1910" s="304" t="str">
        <f t="shared" si="1324"/>
        <v/>
      </c>
      <c r="BV1910" s="304" t="str">
        <f t="shared" si="1324"/>
        <v/>
      </c>
      <c r="BW1910" s="28"/>
      <c r="BX1910" s="91"/>
    </row>
    <row r="1911" spans="1:76" s="55" customFormat="1" x14ac:dyDescent="0.25">
      <c r="A1911" s="195">
        <v>6</v>
      </c>
      <c r="B1911" s="216" t="str">
        <f t="shared" si="1312"/>
        <v xml:space="preserve">: </v>
      </c>
      <c r="C1911" s="221"/>
      <c r="D1911" s="221"/>
      <c r="E1911" s="221"/>
      <c r="F1911" s="221"/>
      <c r="G1911" s="240"/>
      <c r="H1911" s="221"/>
      <c r="I1911" s="240"/>
      <c r="J1911" s="241"/>
      <c r="K1911" s="241"/>
      <c r="L1911" s="227"/>
      <c r="M1911" s="227"/>
      <c r="N1911" s="227"/>
      <c r="O1911" s="227"/>
      <c r="P1911" s="122"/>
      <c r="Q1911" s="228"/>
      <c r="R1911" s="231" t="str">
        <f t="shared" si="1325"/>
        <v/>
      </c>
      <c r="S1911" s="230" t="str">
        <f t="shared" si="1313"/>
        <v/>
      </c>
      <c r="T1911" s="231" t="str">
        <f>IF(OR(Q1911="Y",IFERROR(R1911&gt;R1926+R1930*$AA$35,0),IFERROR(R1911&lt;R1926-R1930*$AA$35,0)),"",IFERROR(R1911*N1911,""))</f>
        <v/>
      </c>
      <c r="U1911" s="232" t="str">
        <f t="shared" si="1314"/>
        <v/>
      </c>
      <c r="V1911" s="28"/>
      <c r="W1911" s="28"/>
      <c r="Y1911" s="91"/>
      <c r="AO1911" s="91"/>
      <c r="AP1911" s="28"/>
      <c r="AQ1911" s="28"/>
      <c r="AR1911" s="237"/>
      <c r="AS1911" s="28"/>
      <c r="AT1911" s="304" t="str">
        <f t="shared" si="1315"/>
        <v/>
      </c>
      <c r="AU1911" s="304" t="str">
        <f t="shared" si="1315"/>
        <v/>
      </c>
      <c r="AV1911" s="28"/>
      <c r="AW1911" s="304" t="str">
        <f t="shared" si="1316"/>
        <v/>
      </c>
      <c r="AX1911" s="304" t="str">
        <f t="shared" si="1316"/>
        <v/>
      </c>
      <c r="AY1911" s="28"/>
      <c r="AZ1911" s="304" t="str">
        <f t="shared" si="1317"/>
        <v/>
      </c>
      <c r="BA1911" s="304" t="str">
        <f t="shared" si="1317"/>
        <v/>
      </c>
      <c r="BB1911" s="28"/>
      <c r="BC1911" s="304" t="str">
        <f t="shared" si="1318"/>
        <v/>
      </c>
      <c r="BD1911" s="304" t="str">
        <f t="shared" si="1318"/>
        <v/>
      </c>
      <c r="BE1911" s="28"/>
      <c r="BF1911" s="304" t="str">
        <f t="shared" si="1319"/>
        <v/>
      </c>
      <c r="BG1911" s="304" t="str">
        <f t="shared" si="1319"/>
        <v/>
      </c>
      <c r="BH1911" s="28"/>
      <c r="BI1911" s="304" t="str">
        <f t="shared" si="1320"/>
        <v/>
      </c>
      <c r="BJ1911" s="304" t="str">
        <f t="shared" si="1320"/>
        <v/>
      </c>
      <c r="BK1911" s="28"/>
      <c r="BL1911" s="304" t="str">
        <f t="shared" si="1321"/>
        <v/>
      </c>
      <c r="BM1911" s="304" t="str">
        <f t="shared" si="1321"/>
        <v/>
      </c>
      <c r="BN1911" s="28"/>
      <c r="BO1911" s="304" t="str">
        <f t="shared" si="1322"/>
        <v/>
      </c>
      <c r="BP1911" s="304" t="str">
        <f t="shared" si="1322"/>
        <v/>
      </c>
      <c r="BQ1911" s="28"/>
      <c r="BR1911" s="304" t="str">
        <f t="shared" si="1323"/>
        <v/>
      </c>
      <c r="BS1911" s="304" t="str">
        <f t="shared" si="1323"/>
        <v/>
      </c>
      <c r="BT1911" s="28"/>
      <c r="BU1911" s="304" t="str">
        <f t="shared" si="1324"/>
        <v/>
      </c>
      <c r="BV1911" s="304" t="str">
        <f t="shared" si="1324"/>
        <v/>
      </c>
      <c r="BW1911" s="28"/>
      <c r="BX1911" s="91"/>
    </row>
    <row r="1912" spans="1:76" s="55" customFormat="1" x14ac:dyDescent="0.25">
      <c r="A1912" s="195">
        <v>7</v>
      </c>
      <c r="B1912" s="216" t="str">
        <f t="shared" si="1312"/>
        <v xml:space="preserve">: </v>
      </c>
      <c r="C1912" s="221"/>
      <c r="D1912" s="221"/>
      <c r="E1912" s="221"/>
      <c r="F1912" s="221"/>
      <c r="G1912" s="240"/>
      <c r="H1912" s="221"/>
      <c r="I1912" s="240"/>
      <c r="J1912" s="241"/>
      <c r="K1912" s="241"/>
      <c r="L1912" s="227"/>
      <c r="M1912" s="227"/>
      <c r="N1912" s="227"/>
      <c r="O1912" s="227"/>
      <c r="P1912" s="122"/>
      <c r="Q1912" s="228"/>
      <c r="R1912" s="231" t="str">
        <f t="shared" si="1325"/>
        <v/>
      </c>
      <c r="S1912" s="230" t="str">
        <f t="shared" si="1313"/>
        <v/>
      </c>
      <c r="T1912" s="231" t="str">
        <f>IF(OR(Q1912="Y",IFERROR(R1912&gt;R1926+R1930*$AA$35,0),IFERROR(R1912&lt;R1926-R1930*$AA$35,0)),"",IFERROR(R1912*N1912,""))</f>
        <v/>
      </c>
      <c r="U1912" s="232" t="str">
        <f t="shared" si="1314"/>
        <v/>
      </c>
      <c r="V1912" s="28"/>
      <c r="W1912" s="28"/>
      <c r="Y1912" s="91"/>
      <c r="AO1912" s="91"/>
      <c r="AP1912" s="28"/>
      <c r="AQ1912" s="28"/>
      <c r="AR1912" s="237"/>
      <c r="AS1912" s="28"/>
      <c r="AT1912" s="304" t="str">
        <f t="shared" si="1315"/>
        <v/>
      </c>
      <c r="AU1912" s="304" t="str">
        <f t="shared" si="1315"/>
        <v/>
      </c>
      <c r="AV1912" s="28"/>
      <c r="AW1912" s="304" t="str">
        <f t="shared" si="1316"/>
        <v/>
      </c>
      <c r="AX1912" s="304" t="str">
        <f t="shared" si="1316"/>
        <v/>
      </c>
      <c r="AY1912" s="28"/>
      <c r="AZ1912" s="304" t="str">
        <f t="shared" si="1317"/>
        <v/>
      </c>
      <c r="BA1912" s="304" t="str">
        <f t="shared" si="1317"/>
        <v/>
      </c>
      <c r="BB1912" s="28"/>
      <c r="BC1912" s="304" t="str">
        <f t="shared" si="1318"/>
        <v/>
      </c>
      <c r="BD1912" s="304" t="str">
        <f t="shared" si="1318"/>
        <v/>
      </c>
      <c r="BE1912" s="28"/>
      <c r="BF1912" s="304" t="str">
        <f t="shared" si="1319"/>
        <v/>
      </c>
      <c r="BG1912" s="304" t="str">
        <f t="shared" si="1319"/>
        <v/>
      </c>
      <c r="BH1912" s="28"/>
      <c r="BI1912" s="304" t="str">
        <f t="shared" si="1320"/>
        <v/>
      </c>
      <c r="BJ1912" s="304" t="str">
        <f t="shared" si="1320"/>
        <v/>
      </c>
      <c r="BK1912" s="28"/>
      <c r="BL1912" s="304" t="str">
        <f t="shared" si="1321"/>
        <v/>
      </c>
      <c r="BM1912" s="304" t="str">
        <f t="shared" si="1321"/>
        <v/>
      </c>
      <c r="BN1912" s="28"/>
      <c r="BO1912" s="304" t="str">
        <f t="shared" si="1322"/>
        <v/>
      </c>
      <c r="BP1912" s="304" t="str">
        <f t="shared" si="1322"/>
        <v/>
      </c>
      <c r="BQ1912" s="28"/>
      <c r="BR1912" s="304" t="str">
        <f t="shared" si="1323"/>
        <v/>
      </c>
      <c r="BS1912" s="304" t="str">
        <f t="shared" si="1323"/>
        <v/>
      </c>
      <c r="BT1912" s="28"/>
      <c r="BU1912" s="304" t="str">
        <f t="shared" si="1324"/>
        <v/>
      </c>
      <c r="BV1912" s="304" t="str">
        <f t="shared" si="1324"/>
        <v/>
      </c>
      <c r="BW1912" s="28"/>
      <c r="BX1912" s="91"/>
    </row>
    <row r="1913" spans="1:76" s="55" customFormat="1" x14ac:dyDescent="0.25">
      <c r="A1913" s="195">
        <v>8</v>
      </c>
      <c r="B1913" s="216" t="str">
        <f t="shared" si="1312"/>
        <v xml:space="preserve">: </v>
      </c>
      <c r="C1913" s="221"/>
      <c r="D1913" s="221"/>
      <c r="E1913" s="221"/>
      <c r="F1913" s="221"/>
      <c r="G1913" s="240"/>
      <c r="H1913" s="221"/>
      <c r="I1913" s="240"/>
      <c r="J1913" s="241"/>
      <c r="K1913" s="241"/>
      <c r="L1913" s="227"/>
      <c r="M1913" s="227"/>
      <c r="N1913" s="227"/>
      <c r="O1913" s="227"/>
      <c r="P1913" s="122"/>
      <c r="Q1913" s="228"/>
      <c r="R1913" s="231" t="str">
        <f t="shared" si="1325"/>
        <v/>
      </c>
      <c r="S1913" s="230" t="str">
        <f t="shared" si="1313"/>
        <v/>
      </c>
      <c r="T1913" s="231" t="str">
        <f>IF(OR(Q1913="Y",IFERROR(R1913&gt;R1926+R1930*$AA$35,0),IFERROR(R1913&lt;R1926-R1930*$AA$35,0)),"",IFERROR(R1913*N1913,""))</f>
        <v/>
      </c>
      <c r="U1913" s="232" t="str">
        <f t="shared" si="1314"/>
        <v/>
      </c>
      <c r="V1913" s="28"/>
      <c r="W1913" s="28"/>
      <c r="Y1913" s="91"/>
      <c r="AO1913" s="91"/>
      <c r="AP1913" s="28"/>
      <c r="AQ1913" s="28"/>
      <c r="AR1913" s="237"/>
      <c r="AS1913" s="28"/>
      <c r="AT1913" s="304" t="str">
        <f t="shared" si="1315"/>
        <v/>
      </c>
      <c r="AU1913" s="304" t="str">
        <f t="shared" si="1315"/>
        <v/>
      </c>
      <c r="AV1913" s="28"/>
      <c r="AW1913" s="304" t="str">
        <f t="shared" si="1316"/>
        <v/>
      </c>
      <c r="AX1913" s="304" t="str">
        <f t="shared" si="1316"/>
        <v/>
      </c>
      <c r="AY1913" s="28"/>
      <c r="AZ1913" s="304" t="str">
        <f t="shared" si="1317"/>
        <v/>
      </c>
      <c r="BA1913" s="304" t="str">
        <f t="shared" si="1317"/>
        <v/>
      </c>
      <c r="BB1913" s="28"/>
      <c r="BC1913" s="304" t="str">
        <f t="shared" si="1318"/>
        <v/>
      </c>
      <c r="BD1913" s="304" t="str">
        <f t="shared" si="1318"/>
        <v/>
      </c>
      <c r="BE1913" s="28"/>
      <c r="BF1913" s="304" t="str">
        <f t="shared" si="1319"/>
        <v/>
      </c>
      <c r="BG1913" s="304" t="str">
        <f t="shared" si="1319"/>
        <v/>
      </c>
      <c r="BH1913" s="28"/>
      <c r="BI1913" s="304" t="str">
        <f t="shared" si="1320"/>
        <v/>
      </c>
      <c r="BJ1913" s="304" t="str">
        <f t="shared" si="1320"/>
        <v/>
      </c>
      <c r="BK1913" s="28"/>
      <c r="BL1913" s="304" t="str">
        <f t="shared" si="1321"/>
        <v/>
      </c>
      <c r="BM1913" s="304" t="str">
        <f t="shared" si="1321"/>
        <v/>
      </c>
      <c r="BN1913" s="28"/>
      <c r="BO1913" s="304" t="str">
        <f t="shared" si="1322"/>
        <v/>
      </c>
      <c r="BP1913" s="304" t="str">
        <f t="shared" si="1322"/>
        <v/>
      </c>
      <c r="BQ1913" s="28"/>
      <c r="BR1913" s="304" t="str">
        <f t="shared" si="1323"/>
        <v/>
      </c>
      <c r="BS1913" s="304" t="str">
        <f t="shared" si="1323"/>
        <v/>
      </c>
      <c r="BT1913" s="28"/>
      <c r="BU1913" s="304" t="str">
        <f t="shared" si="1324"/>
        <v/>
      </c>
      <c r="BV1913" s="304" t="str">
        <f t="shared" si="1324"/>
        <v/>
      </c>
      <c r="BW1913" s="28"/>
      <c r="BX1913" s="91"/>
    </row>
    <row r="1914" spans="1:76" s="55" customFormat="1" x14ac:dyDescent="0.25">
      <c r="A1914" s="195">
        <v>9</v>
      </c>
      <c r="B1914" s="216" t="str">
        <f t="shared" si="1312"/>
        <v xml:space="preserve">: </v>
      </c>
      <c r="C1914" s="221"/>
      <c r="D1914" s="221"/>
      <c r="E1914" s="221"/>
      <c r="F1914" s="221"/>
      <c r="G1914" s="240"/>
      <c r="H1914" s="221"/>
      <c r="I1914" s="240"/>
      <c r="J1914" s="241"/>
      <c r="K1914" s="241"/>
      <c r="L1914" s="227"/>
      <c r="M1914" s="227"/>
      <c r="N1914" s="227"/>
      <c r="O1914" s="227"/>
      <c r="P1914" s="122"/>
      <c r="Q1914" s="228"/>
      <c r="R1914" s="231" t="str">
        <f t="shared" si="1325"/>
        <v/>
      </c>
      <c r="S1914" s="230" t="str">
        <f t="shared" si="1313"/>
        <v/>
      </c>
      <c r="T1914" s="231" t="str">
        <f>IF(OR(Q1914="Y",IFERROR(R1914&gt;R1926+R1930*$AA$35,0),IFERROR(R1914&lt;R1926-R1930*$AA$35,0)),"",IFERROR(R1914*N1914,""))</f>
        <v/>
      </c>
      <c r="U1914" s="232" t="str">
        <f t="shared" si="1314"/>
        <v/>
      </c>
      <c r="V1914" s="28"/>
      <c r="W1914" s="28"/>
      <c r="Y1914" s="91"/>
      <c r="AO1914" s="91"/>
      <c r="AP1914" s="28"/>
      <c r="AQ1914" s="28"/>
      <c r="AR1914" s="237"/>
      <c r="AS1914" s="28"/>
      <c r="AT1914" s="304" t="str">
        <f t="shared" si="1315"/>
        <v/>
      </c>
      <c r="AU1914" s="304" t="str">
        <f t="shared" si="1315"/>
        <v/>
      </c>
      <c r="AV1914" s="28"/>
      <c r="AW1914" s="304" t="str">
        <f t="shared" si="1316"/>
        <v/>
      </c>
      <c r="AX1914" s="304" t="str">
        <f t="shared" si="1316"/>
        <v/>
      </c>
      <c r="AY1914" s="28"/>
      <c r="AZ1914" s="304" t="str">
        <f t="shared" si="1317"/>
        <v/>
      </c>
      <c r="BA1914" s="304" t="str">
        <f t="shared" si="1317"/>
        <v/>
      </c>
      <c r="BB1914" s="28"/>
      <c r="BC1914" s="304" t="str">
        <f t="shared" si="1318"/>
        <v/>
      </c>
      <c r="BD1914" s="304" t="str">
        <f t="shared" si="1318"/>
        <v/>
      </c>
      <c r="BE1914" s="28"/>
      <c r="BF1914" s="304" t="str">
        <f t="shared" si="1319"/>
        <v/>
      </c>
      <c r="BG1914" s="304" t="str">
        <f t="shared" si="1319"/>
        <v/>
      </c>
      <c r="BH1914" s="28"/>
      <c r="BI1914" s="304" t="str">
        <f t="shared" si="1320"/>
        <v/>
      </c>
      <c r="BJ1914" s="304" t="str">
        <f t="shared" si="1320"/>
        <v/>
      </c>
      <c r="BK1914" s="28"/>
      <c r="BL1914" s="304" t="str">
        <f t="shared" si="1321"/>
        <v/>
      </c>
      <c r="BM1914" s="304" t="str">
        <f t="shared" si="1321"/>
        <v/>
      </c>
      <c r="BN1914" s="28"/>
      <c r="BO1914" s="304" t="str">
        <f t="shared" si="1322"/>
        <v/>
      </c>
      <c r="BP1914" s="304" t="str">
        <f t="shared" si="1322"/>
        <v/>
      </c>
      <c r="BQ1914" s="28"/>
      <c r="BR1914" s="304" t="str">
        <f t="shared" si="1323"/>
        <v/>
      </c>
      <c r="BS1914" s="304" t="str">
        <f t="shared" si="1323"/>
        <v/>
      </c>
      <c r="BT1914" s="28"/>
      <c r="BU1914" s="304" t="str">
        <f t="shared" si="1324"/>
        <v/>
      </c>
      <c r="BV1914" s="304" t="str">
        <f t="shared" si="1324"/>
        <v/>
      </c>
      <c r="BW1914" s="28"/>
      <c r="BX1914" s="91"/>
    </row>
    <row r="1915" spans="1:76" s="55" customFormat="1" x14ac:dyDescent="0.25">
      <c r="A1915" s="195">
        <v>10</v>
      </c>
      <c r="B1915" s="216" t="str">
        <f t="shared" si="1312"/>
        <v xml:space="preserve">: </v>
      </c>
      <c r="C1915" s="221"/>
      <c r="D1915" s="221"/>
      <c r="E1915" s="221"/>
      <c r="F1915" s="221"/>
      <c r="G1915" s="240"/>
      <c r="H1915" s="221"/>
      <c r="I1915" s="240"/>
      <c r="J1915" s="241"/>
      <c r="K1915" s="241"/>
      <c r="L1915" s="227"/>
      <c r="M1915" s="227"/>
      <c r="N1915" s="227"/>
      <c r="O1915" s="227"/>
      <c r="P1915" s="122"/>
      <c r="Q1915" s="228"/>
      <c r="R1915" s="231" t="str">
        <f t="shared" si="1325"/>
        <v/>
      </c>
      <c r="S1915" s="230" t="str">
        <f t="shared" si="1313"/>
        <v/>
      </c>
      <c r="T1915" s="231" t="str">
        <f>IF(OR(Q1915="Y",IFERROR(R1915&gt;R1926+R1930*$AA$35,0),IFERROR(R1915&lt;R1926-R1930*$AA$35,0)),"",IFERROR(R1915*N1915,""))</f>
        <v/>
      </c>
      <c r="U1915" s="232" t="str">
        <f t="shared" si="1314"/>
        <v/>
      </c>
      <c r="V1915" s="28"/>
      <c r="W1915" s="28"/>
      <c r="Y1915" s="91"/>
      <c r="AO1915" s="91"/>
      <c r="AP1915" s="28"/>
      <c r="AQ1915" s="28"/>
      <c r="AR1915" s="237"/>
      <c r="AS1915" s="28"/>
      <c r="AT1915" s="304" t="str">
        <f t="shared" si="1315"/>
        <v/>
      </c>
      <c r="AU1915" s="304" t="str">
        <f t="shared" si="1315"/>
        <v/>
      </c>
      <c r="AV1915" s="28"/>
      <c r="AW1915" s="304" t="str">
        <f t="shared" si="1316"/>
        <v/>
      </c>
      <c r="AX1915" s="304" t="str">
        <f t="shared" si="1316"/>
        <v/>
      </c>
      <c r="AY1915" s="28"/>
      <c r="AZ1915" s="304" t="str">
        <f t="shared" si="1317"/>
        <v/>
      </c>
      <c r="BA1915" s="304" t="str">
        <f t="shared" si="1317"/>
        <v/>
      </c>
      <c r="BB1915" s="28"/>
      <c r="BC1915" s="304" t="str">
        <f t="shared" si="1318"/>
        <v/>
      </c>
      <c r="BD1915" s="304" t="str">
        <f t="shared" si="1318"/>
        <v/>
      </c>
      <c r="BE1915" s="28"/>
      <c r="BF1915" s="304" t="str">
        <f t="shared" si="1319"/>
        <v/>
      </c>
      <c r="BG1915" s="304" t="str">
        <f t="shared" si="1319"/>
        <v/>
      </c>
      <c r="BH1915" s="28"/>
      <c r="BI1915" s="304" t="str">
        <f t="shared" si="1320"/>
        <v/>
      </c>
      <c r="BJ1915" s="304" t="str">
        <f t="shared" si="1320"/>
        <v/>
      </c>
      <c r="BK1915" s="28"/>
      <c r="BL1915" s="304" t="str">
        <f t="shared" si="1321"/>
        <v/>
      </c>
      <c r="BM1915" s="304" t="str">
        <f t="shared" si="1321"/>
        <v/>
      </c>
      <c r="BN1915" s="28"/>
      <c r="BO1915" s="304" t="str">
        <f t="shared" si="1322"/>
        <v/>
      </c>
      <c r="BP1915" s="304" t="str">
        <f t="shared" si="1322"/>
        <v/>
      </c>
      <c r="BQ1915" s="28"/>
      <c r="BR1915" s="304" t="str">
        <f t="shared" si="1323"/>
        <v/>
      </c>
      <c r="BS1915" s="304" t="str">
        <f t="shared" si="1323"/>
        <v/>
      </c>
      <c r="BT1915" s="28"/>
      <c r="BU1915" s="304" t="str">
        <f t="shared" si="1324"/>
        <v/>
      </c>
      <c r="BV1915" s="304" t="str">
        <f t="shared" si="1324"/>
        <v/>
      </c>
      <c r="BW1915" s="28"/>
      <c r="BX1915" s="91"/>
    </row>
    <row r="1916" spans="1:76" s="55" customFormat="1" x14ac:dyDescent="0.25">
      <c r="A1916" s="195">
        <v>11</v>
      </c>
      <c r="B1916" s="216" t="str">
        <f t="shared" si="1312"/>
        <v xml:space="preserve">: </v>
      </c>
      <c r="C1916" s="221"/>
      <c r="D1916" s="221"/>
      <c r="E1916" s="221"/>
      <c r="F1916" s="221"/>
      <c r="G1916" s="240"/>
      <c r="H1916" s="221"/>
      <c r="I1916" s="240"/>
      <c r="J1916" s="241"/>
      <c r="K1916" s="241"/>
      <c r="L1916" s="227"/>
      <c r="M1916" s="227"/>
      <c r="N1916" s="227"/>
      <c r="O1916" s="227"/>
      <c r="P1916" s="122"/>
      <c r="Q1916" s="228"/>
      <c r="R1916" s="231" t="str">
        <f t="shared" si="1325"/>
        <v/>
      </c>
      <c r="S1916" s="230" t="str">
        <f t="shared" si="1313"/>
        <v/>
      </c>
      <c r="T1916" s="231" t="str">
        <f>IF(OR(Q1916="Y",IFERROR(R1916&gt;R1926+R1930*$AA$35,0),IFERROR(R1916&lt;R1926-R1930*$AA$35,0)),"",IFERROR(R1916*N1916,""))</f>
        <v/>
      </c>
      <c r="U1916" s="232" t="str">
        <f t="shared" si="1314"/>
        <v/>
      </c>
      <c r="V1916" s="28"/>
      <c r="W1916" s="28"/>
      <c r="Y1916" s="91"/>
      <c r="AO1916" s="91"/>
      <c r="AP1916" s="28"/>
      <c r="AQ1916" s="28"/>
      <c r="AR1916" s="237"/>
      <c r="AS1916" s="28"/>
      <c r="AT1916" s="304" t="str">
        <f t="shared" si="1315"/>
        <v/>
      </c>
      <c r="AU1916" s="304" t="str">
        <f t="shared" si="1315"/>
        <v/>
      </c>
      <c r="AV1916" s="28"/>
      <c r="AW1916" s="304" t="str">
        <f t="shared" si="1316"/>
        <v/>
      </c>
      <c r="AX1916" s="304" t="str">
        <f t="shared" si="1316"/>
        <v/>
      </c>
      <c r="AY1916" s="28"/>
      <c r="AZ1916" s="304" t="str">
        <f t="shared" si="1317"/>
        <v/>
      </c>
      <c r="BA1916" s="304" t="str">
        <f t="shared" si="1317"/>
        <v/>
      </c>
      <c r="BB1916" s="28"/>
      <c r="BC1916" s="304" t="str">
        <f t="shared" si="1318"/>
        <v/>
      </c>
      <c r="BD1916" s="304" t="str">
        <f t="shared" si="1318"/>
        <v/>
      </c>
      <c r="BE1916" s="28"/>
      <c r="BF1916" s="304" t="str">
        <f t="shared" si="1319"/>
        <v/>
      </c>
      <c r="BG1916" s="304" t="str">
        <f t="shared" si="1319"/>
        <v/>
      </c>
      <c r="BH1916" s="28"/>
      <c r="BI1916" s="304" t="str">
        <f t="shared" si="1320"/>
        <v/>
      </c>
      <c r="BJ1916" s="304" t="str">
        <f t="shared" si="1320"/>
        <v/>
      </c>
      <c r="BK1916" s="28"/>
      <c r="BL1916" s="304" t="str">
        <f t="shared" si="1321"/>
        <v/>
      </c>
      <c r="BM1916" s="304" t="str">
        <f t="shared" si="1321"/>
        <v/>
      </c>
      <c r="BN1916" s="28"/>
      <c r="BO1916" s="304" t="str">
        <f t="shared" si="1322"/>
        <v/>
      </c>
      <c r="BP1916" s="304" t="str">
        <f t="shared" si="1322"/>
        <v/>
      </c>
      <c r="BQ1916" s="28"/>
      <c r="BR1916" s="304" t="str">
        <f t="shared" si="1323"/>
        <v/>
      </c>
      <c r="BS1916" s="304" t="str">
        <f t="shared" si="1323"/>
        <v/>
      </c>
      <c r="BT1916" s="28"/>
      <c r="BU1916" s="304" t="str">
        <f t="shared" si="1324"/>
        <v/>
      </c>
      <c r="BV1916" s="304" t="str">
        <f t="shared" si="1324"/>
        <v/>
      </c>
      <c r="BW1916" s="28"/>
      <c r="BX1916" s="91"/>
    </row>
    <row r="1917" spans="1:76" s="55" customFormat="1" x14ac:dyDescent="0.25">
      <c r="A1917" s="195">
        <v>12</v>
      </c>
      <c r="B1917" s="216" t="str">
        <f t="shared" si="1312"/>
        <v xml:space="preserve">: </v>
      </c>
      <c r="C1917" s="221"/>
      <c r="D1917" s="221"/>
      <c r="E1917" s="221"/>
      <c r="F1917" s="221"/>
      <c r="G1917" s="240"/>
      <c r="H1917" s="221"/>
      <c r="I1917" s="240"/>
      <c r="J1917" s="241"/>
      <c r="K1917" s="241"/>
      <c r="L1917" s="227"/>
      <c r="M1917" s="227"/>
      <c r="N1917" s="227"/>
      <c r="O1917" s="227"/>
      <c r="P1917" s="122"/>
      <c r="Q1917" s="228"/>
      <c r="R1917" s="231" t="str">
        <f t="shared" si="1325"/>
        <v/>
      </c>
      <c r="S1917" s="230" t="str">
        <f t="shared" si="1313"/>
        <v/>
      </c>
      <c r="T1917" s="231" t="str">
        <f>IF(OR(Q1917="Y",IFERROR(R1917&gt;R1926+R1930*$AA$35,0),IFERROR(R1917&lt;R1926-R1930*$AA$35,0)),"",IFERROR(R1917*N1917,""))</f>
        <v/>
      </c>
      <c r="U1917" s="232" t="str">
        <f t="shared" si="1314"/>
        <v/>
      </c>
      <c r="V1917" s="28"/>
      <c r="W1917" s="28"/>
      <c r="Y1917" s="91"/>
      <c r="AO1917" s="91"/>
      <c r="AP1917" s="28"/>
      <c r="AQ1917" s="28"/>
      <c r="AR1917" s="237"/>
      <c r="AS1917" s="28"/>
      <c r="AT1917" s="304" t="str">
        <f t="shared" si="1315"/>
        <v/>
      </c>
      <c r="AU1917" s="304" t="str">
        <f t="shared" si="1315"/>
        <v/>
      </c>
      <c r="AV1917" s="28"/>
      <c r="AW1917" s="304" t="str">
        <f t="shared" si="1316"/>
        <v/>
      </c>
      <c r="AX1917" s="304" t="str">
        <f t="shared" si="1316"/>
        <v/>
      </c>
      <c r="AY1917" s="28"/>
      <c r="AZ1917" s="304" t="str">
        <f t="shared" si="1317"/>
        <v/>
      </c>
      <c r="BA1917" s="304" t="str">
        <f t="shared" si="1317"/>
        <v/>
      </c>
      <c r="BB1917" s="28"/>
      <c r="BC1917" s="304" t="str">
        <f t="shared" si="1318"/>
        <v/>
      </c>
      <c r="BD1917" s="304" t="str">
        <f t="shared" si="1318"/>
        <v/>
      </c>
      <c r="BE1917" s="28"/>
      <c r="BF1917" s="304" t="str">
        <f t="shared" si="1319"/>
        <v/>
      </c>
      <c r="BG1917" s="304" t="str">
        <f t="shared" si="1319"/>
        <v/>
      </c>
      <c r="BH1917" s="28"/>
      <c r="BI1917" s="304" t="str">
        <f t="shared" si="1320"/>
        <v/>
      </c>
      <c r="BJ1917" s="304" t="str">
        <f t="shared" si="1320"/>
        <v/>
      </c>
      <c r="BK1917" s="28"/>
      <c r="BL1917" s="304" t="str">
        <f t="shared" si="1321"/>
        <v/>
      </c>
      <c r="BM1917" s="304" t="str">
        <f t="shared" si="1321"/>
        <v/>
      </c>
      <c r="BN1917" s="28"/>
      <c r="BO1917" s="304" t="str">
        <f t="shared" si="1322"/>
        <v/>
      </c>
      <c r="BP1917" s="304" t="str">
        <f t="shared" si="1322"/>
        <v/>
      </c>
      <c r="BQ1917" s="28"/>
      <c r="BR1917" s="304" t="str">
        <f t="shared" si="1323"/>
        <v/>
      </c>
      <c r="BS1917" s="304" t="str">
        <f t="shared" si="1323"/>
        <v/>
      </c>
      <c r="BT1917" s="28"/>
      <c r="BU1917" s="304" t="str">
        <f t="shared" si="1324"/>
        <v/>
      </c>
      <c r="BV1917" s="304" t="str">
        <f t="shared" si="1324"/>
        <v/>
      </c>
      <c r="BW1917" s="28"/>
      <c r="BX1917" s="91"/>
    </row>
    <row r="1918" spans="1:76" s="55" customFormat="1" x14ac:dyDescent="0.25">
      <c r="A1918" s="195">
        <v>13</v>
      </c>
      <c r="B1918" s="216" t="str">
        <f t="shared" si="1312"/>
        <v xml:space="preserve">: </v>
      </c>
      <c r="C1918" s="221"/>
      <c r="D1918" s="221"/>
      <c r="E1918" s="221"/>
      <c r="F1918" s="221"/>
      <c r="G1918" s="240"/>
      <c r="H1918" s="221"/>
      <c r="I1918" s="240"/>
      <c r="J1918" s="241"/>
      <c r="K1918" s="241"/>
      <c r="L1918" s="227"/>
      <c r="M1918" s="227"/>
      <c r="N1918" s="227"/>
      <c r="O1918" s="227"/>
      <c r="P1918" s="122"/>
      <c r="Q1918" s="228"/>
      <c r="R1918" s="231" t="str">
        <f t="shared" si="1325"/>
        <v/>
      </c>
      <c r="S1918" s="230" t="str">
        <f t="shared" si="1313"/>
        <v/>
      </c>
      <c r="T1918" s="231" t="str">
        <f>IF(OR(Q1918="Y",IFERROR(R1918&gt;R1926+R1930*$AA$35,0),IFERROR(R1918&lt;R1926-R1930*$AA$35,0)),"",IFERROR(R1918*N1918,""))</f>
        <v/>
      </c>
      <c r="U1918" s="232" t="str">
        <f t="shared" si="1314"/>
        <v/>
      </c>
      <c r="V1918" s="28"/>
      <c r="W1918" s="28"/>
      <c r="Y1918" s="91"/>
      <c r="AO1918" s="91"/>
      <c r="AP1918" s="28"/>
      <c r="AQ1918" s="28"/>
      <c r="AR1918" s="237"/>
      <c r="AS1918" s="28"/>
      <c r="AT1918" s="304" t="str">
        <f t="shared" si="1315"/>
        <v/>
      </c>
      <c r="AU1918" s="304" t="str">
        <f t="shared" si="1315"/>
        <v/>
      </c>
      <c r="AV1918" s="28"/>
      <c r="AW1918" s="304" t="str">
        <f t="shared" si="1316"/>
        <v/>
      </c>
      <c r="AX1918" s="304" t="str">
        <f t="shared" si="1316"/>
        <v/>
      </c>
      <c r="AY1918" s="28"/>
      <c r="AZ1918" s="304" t="str">
        <f t="shared" si="1317"/>
        <v/>
      </c>
      <c r="BA1918" s="304" t="str">
        <f t="shared" si="1317"/>
        <v/>
      </c>
      <c r="BB1918" s="28"/>
      <c r="BC1918" s="304" t="str">
        <f t="shared" si="1318"/>
        <v/>
      </c>
      <c r="BD1918" s="304" t="str">
        <f t="shared" si="1318"/>
        <v/>
      </c>
      <c r="BE1918" s="28"/>
      <c r="BF1918" s="304" t="str">
        <f t="shared" si="1319"/>
        <v/>
      </c>
      <c r="BG1918" s="304" t="str">
        <f t="shared" si="1319"/>
        <v/>
      </c>
      <c r="BH1918" s="28"/>
      <c r="BI1918" s="304" t="str">
        <f t="shared" si="1320"/>
        <v/>
      </c>
      <c r="BJ1918" s="304" t="str">
        <f t="shared" si="1320"/>
        <v/>
      </c>
      <c r="BK1918" s="28"/>
      <c r="BL1918" s="304" t="str">
        <f t="shared" si="1321"/>
        <v/>
      </c>
      <c r="BM1918" s="304" t="str">
        <f t="shared" si="1321"/>
        <v/>
      </c>
      <c r="BN1918" s="28"/>
      <c r="BO1918" s="304" t="str">
        <f t="shared" si="1322"/>
        <v/>
      </c>
      <c r="BP1918" s="304" t="str">
        <f t="shared" si="1322"/>
        <v/>
      </c>
      <c r="BQ1918" s="28"/>
      <c r="BR1918" s="304" t="str">
        <f t="shared" si="1323"/>
        <v/>
      </c>
      <c r="BS1918" s="304" t="str">
        <f t="shared" si="1323"/>
        <v/>
      </c>
      <c r="BT1918" s="28"/>
      <c r="BU1918" s="304" t="str">
        <f t="shared" si="1324"/>
        <v/>
      </c>
      <c r="BV1918" s="304" t="str">
        <f t="shared" si="1324"/>
        <v/>
      </c>
      <c r="BW1918" s="28"/>
      <c r="BX1918" s="91"/>
    </row>
    <row r="1919" spans="1:76" s="55" customFormat="1" x14ac:dyDescent="0.25">
      <c r="A1919" s="195">
        <v>14</v>
      </c>
      <c r="B1919" s="216" t="str">
        <f t="shared" si="1312"/>
        <v xml:space="preserve">: </v>
      </c>
      <c r="C1919" s="221"/>
      <c r="D1919" s="221"/>
      <c r="E1919" s="221"/>
      <c r="F1919" s="221"/>
      <c r="G1919" s="240"/>
      <c r="H1919" s="221"/>
      <c r="I1919" s="240"/>
      <c r="J1919" s="241"/>
      <c r="K1919" s="241"/>
      <c r="L1919" s="227"/>
      <c r="M1919" s="227"/>
      <c r="N1919" s="227"/>
      <c r="O1919" s="227"/>
      <c r="P1919" s="122"/>
      <c r="Q1919" s="228"/>
      <c r="R1919" s="231" t="str">
        <f t="shared" si="1325"/>
        <v/>
      </c>
      <c r="S1919" s="230" t="str">
        <f t="shared" si="1313"/>
        <v/>
      </c>
      <c r="T1919" s="231" t="str">
        <f>IF(OR(Q1919="Y",IFERROR(R1919&gt;R1926+R1930*$AA$35,0),IFERROR(R1919&lt;R1926-R1930*$AA$35,0)),"",IFERROR(R1919*N1919,""))</f>
        <v/>
      </c>
      <c r="U1919" s="232" t="str">
        <f t="shared" si="1314"/>
        <v/>
      </c>
      <c r="V1919" s="28"/>
      <c r="W1919" s="28"/>
      <c r="Y1919" s="91"/>
      <c r="AO1919" s="91"/>
      <c r="AP1919" s="28"/>
      <c r="AQ1919" s="28"/>
      <c r="AR1919" s="237"/>
      <c r="AS1919" s="28"/>
      <c r="AT1919" s="304" t="str">
        <f t="shared" si="1315"/>
        <v/>
      </c>
      <c r="AU1919" s="304" t="str">
        <f t="shared" si="1315"/>
        <v/>
      </c>
      <c r="AV1919" s="28"/>
      <c r="AW1919" s="304" t="str">
        <f t="shared" si="1316"/>
        <v/>
      </c>
      <c r="AX1919" s="304" t="str">
        <f t="shared" si="1316"/>
        <v/>
      </c>
      <c r="AY1919" s="28"/>
      <c r="AZ1919" s="304" t="str">
        <f t="shared" si="1317"/>
        <v/>
      </c>
      <c r="BA1919" s="304" t="str">
        <f t="shared" si="1317"/>
        <v/>
      </c>
      <c r="BB1919" s="28"/>
      <c r="BC1919" s="304" t="str">
        <f t="shared" si="1318"/>
        <v/>
      </c>
      <c r="BD1919" s="304" t="str">
        <f t="shared" si="1318"/>
        <v/>
      </c>
      <c r="BE1919" s="28"/>
      <c r="BF1919" s="304" t="str">
        <f t="shared" si="1319"/>
        <v/>
      </c>
      <c r="BG1919" s="304" t="str">
        <f t="shared" si="1319"/>
        <v/>
      </c>
      <c r="BH1919" s="28"/>
      <c r="BI1919" s="304" t="str">
        <f t="shared" si="1320"/>
        <v/>
      </c>
      <c r="BJ1919" s="304" t="str">
        <f t="shared" si="1320"/>
        <v/>
      </c>
      <c r="BK1919" s="28"/>
      <c r="BL1919" s="304" t="str">
        <f t="shared" si="1321"/>
        <v/>
      </c>
      <c r="BM1919" s="304" t="str">
        <f t="shared" si="1321"/>
        <v/>
      </c>
      <c r="BN1919" s="28"/>
      <c r="BO1919" s="304" t="str">
        <f t="shared" si="1322"/>
        <v/>
      </c>
      <c r="BP1919" s="304" t="str">
        <f t="shared" si="1322"/>
        <v/>
      </c>
      <c r="BQ1919" s="28"/>
      <c r="BR1919" s="304" t="str">
        <f t="shared" si="1323"/>
        <v/>
      </c>
      <c r="BS1919" s="304" t="str">
        <f t="shared" si="1323"/>
        <v/>
      </c>
      <c r="BT1919" s="28"/>
      <c r="BU1919" s="304" t="str">
        <f t="shared" si="1324"/>
        <v/>
      </c>
      <c r="BV1919" s="304" t="str">
        <f t="shared" si="1324"/>
        <v/>
      </c>
      <c r="BW1919" s="28"/>
      <c r="BX1919" s="91"/>
    </row>
    <row r="1920" spans="1:76" s="55" customFormat="1" x14ac:dyDescent="0.25">
      <c r="A1920" s="195">
        <v>15</v>
      </c>
      <c r="B1920" s="216" t="str">
        <f t="shared" si="1312"/>
        <v xml:space="preserve">: </v>
      </c>
      <c r="C1920" s="221"/>
      <c r="D1920" s="221"/>
      <c r="E1920" s="221"/>
      <c r="F1920" s="221"/>
      <c r="G1920" s="240"/>
      <c r="H1920" s="221"/>
      <c r="I1920" s="240"/>
      <c r="J1920" s="241"/>
      <c r="K1920" s="241"/>
      <c r="L1920" s="227"/>
      <c r="M1920" s="227"/>
      <c r="N1920" s="227"/>
      <c r="O1920" s="227"/>
      <c r="P1920" s="122"/>
      <c r="Q1920" s="228"/>
      <c r="R1920" s="231" t="str">
        <f t="shared" si="1325"/>
        <v/>
      </c>
      <c r="S1920" s="230" t="str">
        <f t="shared" si="1313"/>
        <v/>
      </c>
      <c r="T1920" s="231" t="str">
        <f>IF(OR(Q1920="Y",IFERROR(R1920&gt;R1926+R1930*$AA$35,0),IFERROR(R1920&lt;R1926-R1930*$AA$35,0)),"",IFERROR(R1920*N1920,""))</f>
        <v/>
      </c>
      <c r="U1920" s="232" t="str">
        <f t="shared" si="1314"/>
        <v/>
      </c>
      <c r="V1920" s="28"/>
      <c r="W1920" s="28"/>
      <c r="Y1920" s="91"/>
      <c r="AO1920" s="91"/>
      <c r="AP1920" s="28"/>
      <c r="AQ1920" s="28"/>
      <c r="AR1920" s="237"/>
      <c r="AS1920" s="28"/>
      <c r="AT1920" s="304" t="str">
        <f t="shared" si="1315"/>
        <v/>
      </c>
      <c r="AU1920" s="304" t="str">
        <f t="shared" si="1315"/>
        <v/>
      </c>
      <c r="AV1920" s="28"/>
      <c r="AW1920" s="304" t="str">
        <f t="shared" si="1316"/>
        <v/>
      </c>
      <c r="AX1920" s="304" t="str">
        <f t="shared" si="1316"/>
        <v/>
      </c>
      <c r="AY1920" s="28"/>
      <c r="AZ1920" s="304" t="str">
        <f t="shared" si="1317"/>
        <v/>
      </c>
      <c r="BA1920" s="304" t="str">
        <f t="shared" si="1317"/>
        <v/>
      </c>
      <c r="BB1920" s="28"/>
      <c r="BC1920" s="304" t="str">
        <f t="shared" si="1318"/>
        <v/>
      </c>
      <c r="BD1920" s="304" t="str">
        <f t="shared" si="1318"/>
        <v/>
      </c>
      <c r="BE1920" s="28"/>
      <c r="BF1920" s="304" t="str">
        <f t="shared" si="1319"/>
        <v/>
      </c>
      <c r="BG1920" s="304" t="str">
        <f t="shared" si="1319"/>
        <v/>
      </c>
      <c r="BH1920" s="28"/>
      <c r="BI1920" s="304" t="str">
        <f t="shared" si="1320"/>
        <v/>
      </c>
      <c r="BJ1920" s="304" t="str">
        <f t="shared" si="1320"/>
        <v/>
      </c>
      <c r="BK1920" s="28"/>
      <c r="BL1920" s="304" t="str">
        <f t="shared" si="1321"/>
        <v/>
      </c>
      <c r="BM1920" s="304" t="str">
        <f t="shared" si="1321"/>
        <v/>
      </c>
      <c r="BN1920" s="28"/>
      <c r="BO1920" s="304" t="str">
        <f t="shared" si="1322"/>
        <v/>
      </c>
      <c r="BP1920" s="304" t="str">
        <f t="shared" si="1322"/>
        <v/>
      </c>
      <c r="BQ1920" s="28"/>
      <c r="BR1920" s="304" t="str">
        <f t="shared" si="1323"/>
        <v/>
      </c>
      <c r="BS1920" s="304" t="str">
        <f t="shared" si="1323"/>
        <v/>
      </c>
      <c r="BT1920" s="28"/>
      <c r="BU1920" s="304" t="str">
        <f t="shared" si="1324"/>
        <v/>
      </c>
      <c r="BV1920" s="304" t="str">
        <f t="shared" si="1324"/>
        <v/>
      </c>
      <c r="BW1920" s="28"/>
      <c r="BX1920" s="91"/>
    </row>
    <row r="1921" spans="1:76" s="55" customFormat="1" x14ac:dyDescent="0.25">
      <c r="A1921" s="195">
        <v>16</v>
      </c>
      <c r="B1921" s="216" t="str">
        <f t="shared" si="1312"/>
        <v xml:space="preserve">: </v>
      </c>
      <c r="C1921" s="221"/>
      <c r="D1921" s="221"/>
      <c r="E1921" s="221"/>
      <c r="F1921" s="221"/>
      <c r="G1921" s="240"/>
      <c r="H1921" s="221"/>
      <c r="I1921" s="240"/>
      <c r="J1921" s="241"/>
      <c r="K1921" s="241"/>
      <c r="L1921" s="227"/>
      <c r="M1921" s="227"/>
      <c r="N1921" s="227"/>
      <c r="O1921" s="227"/>
      <c r="P1921" s="122"/>
      <c r="Q1921" s="228"/>
      <c r="R1921" s="231" t="str">
        <f t="shared" si="1325"/>
        <v/>
      </c>
      <c r="S1921" s="230" t="str">
        <f t="shared" si="1313"/>
        <v/>
      </c>
      <c r="T1921" s="231" t="str">
        <f>IF(OR(Q1921="Y",IFERROR(R1921&gt;R1926+R1930*$AA$35,0),IFERROR(R1921&lt;R1926-R1930*$AA$35,0)),"",IFERROR(R1921*N1921,""))</f>
        <v/>
      </c>
      <c r="U1921" s="232" t="str">
        <f t="shared" si="1314"/>
        <v/>
      </c>
      <c r="V1921" s="28"/>
      <c r="W1921" s="28"/>
      <c r="Y1921" s="91"/>
      <c r="AO1921" s="91"/>
      <c r="AP1921" s="28"/>
      <c r="AQ1921" s="28"/>
      <c r="AR1921" s="237"/>
      <c r="AS1921" s="28"/>
      <c r="AT1921" s="304" t="str">
        <f t="shared" si="1315"/>
        <v/>
      </c>
      <c r="AU1921" s="304" t="str">
        <f t="shared" si="1315"/>
        <v/>
      </c>
      <c r="AV1921" s="28"/>
      <c r="AW1921" s="304" t="str">
        <f t="shared" si="1316"/>
        <v/>
      </c>
      <c r="AX1921" s="304" t="str">
        <f t="shared" si="1316"/>
        <v/>
      </c>
      <c r="AY1921" s="28"/>
      <c r="AZ1921" s="304" t="str">
        <f t="shared" si="1317"/>
        <v/>
      </c>
      <c r="BA1921" s="304" t="str">
        <f t="shared" si="1317"/>
        <v/>
      </c>
      <c r="BB1921" s="28"/>
      <c r="BC1921" s="304" t="str">
        <f t="shared" si="1318"/>
        <v/>
      </c>
      <c r="BD1921" s="304" t="str">
        <f t="shared" si="1318"/>
        <v/>
      </c>
      <c r="BE1921" s="28"/>
      <c r="BF1921" s="304" t="str">
        <f t="shared" si="1319"/>
        <v/>
      </c>
      <c r="BG1921" s="304" t="str">
        <f t="shared" si="1319"/>
        <v/>
      </c>
      <c r="BH1921" s="28"/>
      <c r="BI1921" s="304" t="str">
        <f t="shared" si="1320"/>
        <v/>
      </c>
      <c r="BJ1921" s="304" t="str">
        <f t="shared" si="1320"/>
        <v/>
      </c>
      <c r="BK1921" s="28"/>
      <c r="BL1921" s="304" t="str">
        <f t="shared" si="1321"/>
        <v/>
      </c>
      <c r="BM1921" s="304" t="str">
        <f t="shared" si="1321"/>
        <v/>
      </c>
      <c r="BN1921" s="28"/>
      <c r="BO1921" s="304" t="str">
        <f t="shared" si="1322"/>
        <v/>
      </c>
      <c r="BP1921" s="304" t="str">
        <f t="shared" si="1322"/>
        <v/>
      </c>
      <c r="BQ1921" s="28"/>
      <c r="BR1921" s="304" t="str">
        <f t="shared" si="1323"/>
        <v/>
      </c>
      <c r="BS1921" s="304" t="str">
        <f t="shared" si="1323"/>
        <v/>
      </c>
      <c r="BT1921" s="28"/>
      <c r="BU1921" s="304" t="str">
        <f t="shared" si="1324"/>
        <v/>
      </c>
      <c r="BV1921" s="304" t="str">
        <f t="shared" si="1324"/>
        <v/>
      </c>
      <c r="BW1921" s="28"/>
      <c r="BX1921" s="91"/>
    </row>
    <row r="1922" spans="1:76" s="55" customFormat="1" x14ac:dyDescent="0.25">
      <c r="A1922" s="195">
        <v>17</v>
      </c>
      <c r="B1922" s="216" t="str">
        <f t="shared" si="1312"/>
        <v xml:space="preserve">: </v>
      </c>
      <c r="C1922" s="221"/>
      <c r="D1922" s="221"/>
      <c r="E1922" s="221"/>
      <c r="F1922" s="221"/>
      <c r="G1922" s="240"/>
      <c r="H1922" s="221"/>
      <c r="I1922" s="240"/>
      <c r="J1922" s="241"/>
      <c r="K1922" s="241"/>
      <c r="L1922" s="227"/>
      <c r="M1922" s="227"/>
      <c r="N1922" s="227"/>
      <c r="O1922" s="227"/>
      <c r="P1922" s="122"/>
      <c r="Q1922" s="228"/>
      <c r="R1922" s="231" t="str">
        <f t="shared" si="1325"/>
        <v/>
      </c>
      <c r="S1922" s="230" t="str">
        <f t="shared" si="1313"/>
        <v/>
      </c>
      <c r="T1922" s="231" t="str">
        <f>IF(OR(Q1922="Y",IFERROR(R1922&gt;R1926+R1930*$AA$35,0),IFERROR(R1922&lt;R1926-R1930*$AA$35,0)),"",IFERROR(R1922*N1922,""))</f>
        <v/>
      </c>
      <c r="U1922" s="232" t="str">
        <f t="shared" si="1314"/>
        <v/>
      </c>
      <c r="V1922" s="28"/>
      <c r="W1922" s="28"/>
      <c r="Y1922" s="91"/>
      <c r="AO1922" s="91"/>
      <c r="AP1922" s="28"/>
      <c r="AQ1922" s="28"/>
      <c r="AR1922" s="237"/>
      <c r="AS1922" s="28"/>
      <c r="AT1922" s="304" t="str">
        <f t="shared" si="1315"/>
        <v/>
      </c>
      <c r="AU1922" s="304" t="str">
        <f t="shared" si="1315"/>
        <v/>
      </c>
      <c r="AV1922" s="28"/>
      <c r="AW1922" s="304" t="str">
        <f t="shared" si="1316"/>
        <v/>
      </c>
      <c r="AX1922" s="304" t="str">
        <f t="shared" si="1316"/>
        <v/>
      </c>
      <c r="AY1922" s="28"/>
      <c r="AZ1922" s="304" t="str">
        <f t="shared" si="1317"/>
        <v/>
      </c>
      <c r="BA1922" s="304" t="str">
        <f t="shared" si="1317"/>
        <v/>
      </c>
      <c r="BB1922" s="28"/>
      <c r="BC1922" s="304" t="str">
        <f t="shared" si="1318"/>
        <v/>
      </c>
      <c r="BD1922" s="304" t="str">
        <f t="shared" si="1318"/>
        <v/>
      </c>
      <c r="BE1922" s="28"/>
      <c r="BF1922" s="304" t="str">
        <f t="shared" si="1319"/>
        <v/>
      </c>
      <c r="BG1922" s="304" t="str">
        <f t="shared" si="1319"/>
        <v/>
      </c>
      <c r="BH1922" s="28"/>
      <c r="BI1922" s="304" t="str">
        <f t="shared" si="1320"/>
        <v/>
      </c>
      <c r="BJ1922" s="304" t="str">
        <f t="shared" si="1320"/>
        <v/>
      </c>
      <c r="BK1922" s="28"/>
      <c r="BL1922" s="304" t="str">
        <f t="shared" si="1321"/>
        <v/>
      </c>
      <c r="BM1922" s="304" t="str">
        <f t="shared" si="1321"/>
        <v/>
      </c>
      <c r="BN1922" s="28"/>
      <c r="BO1922" s="304" t="str">
        <f t="shared" si="1322"/>
        <v/>
      </c>
      <c r="BP1922" s="304" t="str">
        <f t="shared" si="1322"/>
        <v/>
      </c>
      <c r="BQ1922" s="28"/>
      <c r="BR1922" s="304" t="str">
        <f t="shared" si="1323"/>
        <v/>
      </c>
      <c r="BS1922" s="304" t="str">
        <f t="shared" si="1323"/>
        <v/>
      </c>
      <c r="BT1922" s="28"/>
      <c r="BU1922" s="304" t="str">
        <f t="shared" si="1324"/>
        <v/>
      </c>
      <c r="BV1922" s="304" t="str">
        <f t="shared" si="1324"/>
        <v/>
      </c>
      <c r="BW1922" s="28"/>
      <c r="BX1922" s="91"/>
    </row>
    <row r="1923" spans="1:76" s="55" customFormat="1" x14ac:dyDescent="0.25">
      <c r="A1923" s="195">
        <v>18</v>
      </c>
      <c r="B1923" s="216" t="str">
        <f t="shared" si="1312"/>
        <v xml:space="preserve">: </v>
      </c>
      <c r="C1923" s="221"/>
      <c r="D1923" s="221"/>
      <c r="E1923" s="221"/>
      <c r="F1923" s="221"/>
      <c r="G1923" s="240"/>
      <c r="H1923" s="221"/>
      <c r="I1923" s="240"/>
      <c r="J1923" s="241"/>
      <c r="K1923" s="241"/>
      <c r="L1923" s="227"/>
      <c r="M1923" s="227"/>
      <c r="N1923" s="227"/>
      <c r="O1923" s="227"/>
      <c r="P1923" s="122"/>
      <c r="Q1923" s="228"/>
      <c r="R1923" s="231" t="str">
        <f t="shared" si="1325"/>
        <v/>
      </c>
      <c r="S1923" s="230" t="str">
        <f t="shared" si="1313"/>
        <v/>
      </c>
      <c r="T1923" s="231" t="str">
        <f>IF(OR(Q1923="Y",IFERROR(R1923&gt;R1926+R1930*$AA$35,0),IFERROR(R1923&lt;R1926-R1930*$AA$35,0)),"",IFERROR(R1923*N1923,""))</f>
        <v/>
      </c>
      <c r="U1923" s="232" t="str">
        <f t="shared" si="1314"/>
        <v/>
      </c>
      <c r="V1923" s="28"/>
      <c r="W1923" s="28"/>
      <c r="Y1923" s="91"/>
      <c r="AO1923" s="91"/>
      <c r="AP1923" s="28"/>
      <c r="AQ1923" s="28"/>
      <c r="AR1923" s="237"/>
      <c r="AS1923" s="28"/>
      <c r="AT1923" s="304" t="str">
        <f t="shared" si="1315"/>
        <v/>
      </c>
      <c r="AU1923" s="304" t="str">
        <f t="shared" si="1315"/>
        <v/>
      </c>
      <c r="AV1923" s="28"/>
      <c r="AW1923" s="304" t="str">
        <f t="shared" si="1316"/>
        <v/>
      </c>
      <c r="AX1923" s="304" t="str">
        <f t="shared" si="1316"/>
        <v/>
      </c>
      <c r="AY1923" s="28"/>
      <c r="AZ1923" s="304" t="str">
        <f t="shared" si="1317"/>
        <v/>
      </c>
      <c r="BA1923" s="304" t="str">
        <f t="shared" si="1317"/>
        <v/>
      </c>
      <c r="BB1923" s="28"/>
      <c r="BC1923" s="304" t="str">
        <f t="shared" si="1318"/>
        <v/>
      </c>
      <c r="BD1923" s="304" t="str">
        <f t="shared" si="1318"/>
        <v/>
      </c>
      <c r="BE1923" s="28"/>
      <c r="BF1923" s="304" t="str">
        <f t="shared" si="1319"/>
        <v/>
      </c>
      <c r="BG1923" s="304" t="str">
        <f t="shared" si="1319"/>
        <v/>
      </c>
      <c r="BH1923" s="28"/>
      <c r="BI1923" s="304" t="str">
        <f t="shared" si="1320"/>
        <v/>
      </c>
      <c r="BJ1923" s="304" t="str">
        <f t="shared" si="1320"/>
        <v/>
      </c>
      <c r="BK1923" s="28"/>
      <c r="BL1923" s="304" t="str">
        <f t="shared" si="1321"/>
        <v/>
      </c>
      <c r="BM1923" s="304" t="str">
        <f t="shared" si="1321"/>
        <v/>
      </c>
      <c r="BN1923" s="28"/>
      <c r="BO1923" s="304" t="str">
        <f t="shared" si="1322"/>
        <v/>
      </c>
      <c r="BP1923" s="304" t="str">
        <f t="shared" si="1322"/>
        <v/>
      </c>
      <c r="BQ1923" s="28"/>
      <c r="BR1923" s="304" t="str">
        <f t="shared" si="1323"/>
        <v/>
      </c>
      <c r="BS1923" s="304" t="str">
        <f t="shared" si="1323"/>
        <v/>
      </c>
      <c r="BT1923" s="28"/>
      <c r="BU1923" s="304" t="str">
        <f t="shared" si="1324"/>
        <v/>
      </c>
      <c r="BV1923" s="304" t="str">
        <f t="shared" si="1324"/>
        <v/>
      </c>
      <c r="BW1923" s="28"/>
      <c r="BX1923" s="91"/>
    </row>
    <row r="1924" spans="1:76" s="55" customFormat="1" x14ac:dyDescent="0.25">
      <c r="A1924" s="195">
        <v>19</v>
      </c>
      <c r="B1924" s="216" t="str">
        <f t="shared" si="1312"/>
        <v xml:space="preserve">: </v>
      </c>
      <c r="C1924" s="221"/>
      <c r="D1924" s="221"/>
      <c r="E1924" s="221"/>
      <c r="F1924" s="221"/>
      <c r="G1924" s="240"/>
      <c r="H1924" s="221"/>
      <c r="I1924" s="240"/>
      <c r="J1924" s="241"/>
      <c r="K1924" s="241"/>
      <c r="L1924" s="227"/>
      <c r="M1924" s="227"/>
      <c r="N1924" s="227"/>
      <c r="O1924" s="227"/>
      <c r="P1924" s="122"/>
      <c r="Q1924" s="228"/>
      <c r="R1924" s="231" t="str">
        <f t="shared" si="1325"/>
        <v/>
      </c>
      <c r="S1924" s="230" t="str">
        <f t="shared" si="1313"/>
        <v/>
      </c>
      <c r="T1924" s="231" t="str">
        <f>IF(OR(Q1924="Y",IFERROR(R1924&gt;R1926+R1930*$AA$35,0),IFERROR(R1924&lt;R1926-R1930*$AA$35,0)),"",IFERROR(R1924*N1924,""))</f>
        <v/>
      </c>
      <c r="U1924" s="232" t="str">
        <f t="shared" si="1314"/>
        <v/>
      </c>
      <c r="V1924" s="28"/>
      <c r="W1924" s="28"/>
      <c r="Y1924" s="91"/>
      <c r="AO1924" s="91"/>
      <c r="AP1924" s="28"/>
      <c r="AQ1924" s="28"/>
      <c r="AR1924" s="237"/>
      <c r="AS1924" s="28"/>
      <c r="AT1924" s="304" t="str">
        <f t="shared" si="1315"/>
        <v/>
      </c>
      <c r="AU1924" s="304" t="str">
        <f t="shared" si="1315"/>
        <v/>
      </c>
      <c r="AV1924" s="28"/>
      <c r="AW1924" s="304" t="str">
        <f t="shared" si="1316"/>
        <v/>
      </c>
      <c r="AX1924" s="304" t="str">
        <f t="shared" si="1316"/>
        <v/>
      </c>
      <c r="AY1924" s="28"/>
      <c r="AZ1924" s="304" t="str">
        <f t="shared" si="1317"/>
        <v/>
      </c>
      <c r="BA1924" s="304" t="str">
        <f t="shared" si="1317"/>
        <v/>
      </c>
      <c r="BB1924" s="28"/>
      <c r="BC1924" s="304" t="str">
        <f t="shared" si="1318"/>
        <v/>
      </c>
      <c r="BD1924" s="304" t="str">
        <f t="shared" si="1318"/>
        <v/>
      </c>
      <c r="BE1924" s="28"/>
      <c r="BF1924" s="304" t="str">
        <f t="shared" si="1319"/>
        <v/>
      </c>
      <c r="BG1924" s="304" t="str">
        <f t="shared" si="1319"/>
        <v/>
      </c>
      <c r="BH1924" s="28"/>
      <c r="BI1924" s="304" t="str">
        <f t="shared" si="1320"/>
        <v/>
      </c>
      <c r="BJ1924" s="304" t="str">
        <f t="shared" si="1320"/>
        <v/>
      </c>
      <c r="BK1924" s="28"/>
      <c r="BL1924" s="304" t="str">
        <f t="shared" si="1321"/>
        <v/>
      </c>
      <c r="BM1924" s="304" t="str">
        <f t="shared" si="1321"/>
        <v/>
      </c>
      <c r="BN1924" s="28"/>
      <c r="BO1924" s="304" t="str">
        <f t="shared" si="1322"/>
        <v/>
      </c>
      <c r="BP1924" s="304" t="str">
        <f t="shared" si="1322"/>
        <v/>
      </c>
      <c r="BQ1924" s="28"/>
      <c r="BR1924" s="304" t="str">
        <f t="shared" si="1323"/>
        <v/>
      </c>
      <c r="BS1924" s="304" t="str">
        <f t="shared" si="1323"/>
        <v/>
      </c>
      <c r="BT1924" s="28"/>
      <c r="BU1924" s="304" t="str">
        <f t="shared" si="1324"/>
        <v/>
      </c>
      <c r="BV1924" s="304" t="str">
        <f t="shared" si="1324"/>
        <v/>
      </c>
      <c r="BW1924" s="28"/>
      <c r="BX1924" s="91"/>
    </row>
    <row r="1925" spans="1:76" s="55" customFormat="1" x14ac:dyDescent="0.25">
      <c r="A1925" s="195">
        <v>20</v>
      </c>
      <c r="B1925" s="216" t="str">
        <f t="shared" si="1312"/>
        <v xml:space="preserve">: </v>
      </c>
      <c r="C1925" s="221"/>
      <c r="D1925" s="221"/>
      <c r="E1925" s="221"/>
      <c r="F1925" s="221"/>
      <c r="G1925" s="240"/>
      <c r="H1925" s="221"/>
      <c r="I1925" s="240"/>
      <c r="J1925" s="241"/>
      <c r="K1925" s="241"/>
      <c r="L1925" s="227"/>
      <c r="M1925" s="227"/>
      <c r="N1925" s="227"/>
      <c r="O1925" s="227"/>
      <c r="P1925" s="122"/>
      <c r="Q1925" s="228"/>
      <c r="R1925" s="231" t="str">
        <f t="shared" si="1325"/>
        <v/>
      </c>
      <c r="S1925" s="230" t="str">
        <f t="shared" si="1313"/>
        <v/>
      </c>
      <c r="T1925" s="231" t="str">
        <f>IF(OR(Q1925="Y",IFERROR(R1925&gt;R1926+R1930*$AA$35,0),IFERROR(R1925&lt;R1926-R1930*$AA$35,0)),"",IFERROR(R1925*N1925,""))</f>
        <v/>
      </c>
      <c r="U1925" s="232" t="str">
        <f t="shared" si="1314"/>
        <v/>
      </c>
      <c r="V1925" s="28"/>
      <c r="W1925" s="28"/>
      <c r="Y1925" s="91"/>
      <c r="AO1925" s="91"/>
      <c r="AP1925" s="28"/>
      <c r="AQ1925" s="28"/>
      <c r="AR1925" s="237"/>
      <c r="AS1925" s="28"/>
      <c r="AT1925" s="304" t="str">
        <f t="shared" si="1315"/>
        <v/>
      </c>
      <c r="AU1925" s="304" t="str">
        <f t="shared" si="1315"/>
        <v/>
      </c>
      <c r="AV1925" s="28"/>
      <c r="AW1925" s="304" t="str">
        <f t="shared" si="1316"/>
        <v/>
      </c>
      <c r="AX1925" s="304" t="str">
        <f t="shared" si="1316"/>
        <v/>
      </c>
      <c r="AY1925" s="28"/>
      <c r="AZ1925" s="304" t="str">
        <f t="shared" si="1317"/>
        <v/>
      </c>
      <c r="BA1925" s="304" t="str">
        <f t="shared" si="1317"/>
        <v/>
      </c>
      <c r="BB1925" s="28"/>
      <c r="BC1925" s="304" t="str">
        <f t="shared" si="1318"/>
        <v/>
      </c>
      <c r="BD1925" s="304" t="str">
        <f t="shared" si="1318"/>
        <v/>
      </c>
      <c r="BE1925" s="28"/>
      <c r="BF1925" s="304" t="str">
        <f t="shared" si="1319"/>
        <v/>
      </c>
      <c r="BG1925" s="304" t="str">
        <f t="shared" si="1319"/>
        <v/>
      </c>
      <c r="BH1925" s="28"/>
      <c r="BI1925" s="304" t="str">
        <f t="shared" si="1320"/>
        <v/>
      </c>
      <c r="BJ1925" s="304" t="str">
        <f t="shared" si="1320"/>
        <v/>
      </c>
      <c r="BK1925" s="28"/>
      <c r="BL1925" s="304" t="str">
        <f t="shared" si="1321"/>
        <v/>
      </c>
      <c r="BM1925" s="304" t="str">
        <f t="shared" si="1321"/>
        <v/>
      </c>
      <c r="BN1925" s="28"/>
      <c r="BO1925" s="304" t="str">
        <f t="shared" si="1322"/>
        <v/>
      </c>
      <c r="BP1925" s="304" t="str">
        <f t="shared" si="1322"/>
        <v/>
      </c>
      <c r="BQ1925" s="28"/>
      <c r="BR1925" s="304" t="str">
        <f t="shared" si="1323"/>
        <v/>
      </c>
      <c r="BS1925" s="304" t="str">
        <f t="shared" si="1323"/>
        <v/>
      </c>
      <c r="BT1925" s="28"/>
      <c r="BU1925" s="304" t="str">
        <f t="shared" si="1324"/>
        <v/>
      </c>
      <c r="BV1925" s="304" t="str">
        <f t="shared" si="1324"/>
        <v/>
      </c>
      <c r="BW1925" s="28"/>
      <c r="BX1925" s="91"/>
    </row>
    <row r="1926" spans="1:76" s="55" customFormat="1" x14ac:dyDescent="0.25">
      <c r="A1926" s="195"/>
      <c r="B1926" s="244" t="s">
        <v>163</v>
      </c>
      <c r="C1926" s="199"/>
      <c r="D1926" s="199"/>
      <c r="E1926" s="199"/>
      <c r="F1926" s="199"/>
      <c r="H1926" s="28"/>
      <c r="I1926" s="245"/>
      <c r="J1926" s="122"/>
      <c r="K1926" s="122"/>
      <c r="L1926" s="122" t="s">
        <v>134</v>
      </c>
      <c r="M1926" s="122"/>
      <c r="N1926" s="122"/>
      <c r="O1926" s="122"/>
      <c r="P1926" s="122"/>
      <c r="Q1926" s="305" t="s">
        <v>136</v>
      </c>
      <c r="R1926" s="246" t="e">
        <f>AVERAGE(R1906:R1925)</f>
        <v>#DIV/0!</v>
      </c>
      <c r="S1926" s="247" t="e">
        <f>IF(R1934="Y",SUM(S1906:S1925)/SUMPRODUCT(N1906:N1925,--ISNUMBER(S1906:S1925)),AVERAGE(S1906:S1925))</f>
        <v>#DIV/0!</v>
      </c>
      <c r="T1926" s="248" t="e">
        <f>SUM(T1906:T1925)/SUMPRODUCT(N1906:N1925,--ISNUMBER(T1906:T1925))</f>
        <v>#DIV/0!</v>
      </c>
      <c r="U1926" s="28"/>
      <c r="V1926" s="28"/>
      <c r="W1926" s="28"/>
      <c r="Y1926" s="249"/>
      <c r="AO1926" s="91"/>
      <c r="AP1926" s="28"/>
      <c r="AQ1926" s="28"/>
      <c r="AR1926" s="28"/>
      <c r="AS1926" s="245" t="s">
        <v>136</v>
      </c>
      <c r="AT1926" s="307" t="e">
        <f>AVERAGE(AT1906:AT1925)</f>
        <v>#DIV/0!</v>
      </c>
      <c r="AU1926" s="307" t="e">
        <f>SUM(AU1906:AU1925)/COUNTIF(AU1906:AU1925,"&gt;0")</f>
        <v>#DIV/0!</v>
      </c>
      <c r="AV1926" s="245"/>
      <c r="AW1926" s="307" t="e">
        <f>AVERAGE(AW1906:AW1925)</f>
        <v>#DIV/0!</v>
      </c>
      <c r="AX1926" s="307" t="e">
        <f>SUM(AX1906:AX1925)/COUNTIF(AX1906:AX1925,"&gt;0")</f>
        <v>#DIV/0!</v>
      </c>
      <c r="AY1926" s="28"/>
      <c r="AZ1926" s="307" t="e">
        <f>AVERAGE(AZ1906:AZ1925)</f>
        <v>#DIV/0!</v>
      </c>
      <c r="BA1926" s="307" t="e">
        <f>SUM(BA1906:BA1925)/COUNTIF(BA1906:BA1925,"&gt;0")</f>
        <v>#DIV/0!</v>
      </c>
      <c r="BB1926" s="28"/>
      <c r="BC1926" s="307" t="e">
        <f>AVERAGE(BC1906:BC1925)</f>
        <v>#DIV/0!</v>
      </c>
      <c r="BD1926" s="307" t="e">
        <f>SUM(BD1906:BD1925)/COUNTIF(BD1906:BD1925,"&gt;0")</f>
        <v>#DIV/0!</v>
      </c>
      <c r="BE1926" s="28"/>
      <c r="BF1926" s="307" t="e">
        <f>AVERAGE(BF1906:BF1925)</f>
        <v>#DIV/0!</v>
      </c>
      <c r="BG1926" s="307" t="e">
        <f>SUM(BG1906:BG1925)/COUNTIF(BG1906:BG1925,"&gt;0")</f>
        <v>#DIV/0!</v>
      </c>
      <c r="BH1926" s="28"/>
      <c r="BI1926" s="307" t="e">
        <f>AVERAGE(BI1906:BI1925)</f>
        <v>#DIV/0!</v>
      </c>
      <c r="BJ1926" s="307" t="e">
        <f>SUM(BJ1906:BJ1925)/COUNTIF(BJ1906:BJ1925,"&gt;0")</f>
        <v>#DIV/0!</v>
      </c>
      <c r="BK1926" s="245"/>
      <c r="BL1926" s="307" t="e">
        <f>AVERAGE(BL1906:BL1925)</f>
        <v>#DIV/0!</v>
      </c>
      <c r="BM1926" s="307" t="e">
        <f>SUM(BM1906:BM1925)/COUNTIF(BM1906:BM1925,"&gt;0")</f>
        <v>#DIV/0!</v>
      </c>
      <c r="BN1926" s="28"/>
      <c r="BO1926" s="307" t="e">
        <f>AVERAGE(BO1906:BO1925)</f>
        <v>#DIV/0!</v>
      </c>
      <c r="BP1926" s="307" t="e">
        <f>SUM(BP1906:BP1925)/COUNTIF(BP1906:BP1925,"&gt;0")</f>
        <v>#DIV/0!</v>
      </c>
      <c r="BQ1926" s="28"/>
      <c r="BR1926" s="307" t="e">
        <f>AVERAGE(BR1906:BR1925)</f>
        <v>#DIV/0!</v>
      </c>
      <c r="BS1926" s="307" t="e">
        <f>SUM(BS1906:BS1925)/COUNTIF(BS1906:BS1925,"&gt;0")</f>
        <v>#DIV/0!</v>
      </c>
      <c r="BT1926" s="28"/>
      <c r="BU1926" s="307" t="e">
        <f>AVERAGE(BU1906:BU1925)</f>
        <v>#DIV/0!</v>
      </c>
      <c r="BV1926" s="307" t="e">
        <f>SUM(BV1906:BV1925)/COUNTIF(BV1906:BV1925,"&gt;0")</f>
        <v>#DIV/0!</v>
      </c>
      <c r="BW1926" s="28"/>
      <c r="BX1926" s="91"/>
    </row>
    <row r="1927" spans="1:76" s="55" customFormat="1" x14ac:dyDescent="0.25">
      <c r="A1927" s="195"/>
      <c r="B1927" s="244" t="s">
        <v>164</v>
      </c>
      <c r="C1927" s="199" t="s">
        <v>139</v>
      </c>
      <c r="D1927" s="252"/>
      <c r="E1927" s="253"/>
      <c r="F1927" s="253"/>
      <c r="G1927" s="253"/>
      <c r="H1927" s="253"/>
      <c r="I1927" s="253"/>
      <c r="J1927" s="254"/>
      <c r="K1927" s="122"/>
      <c r="L1927" s="122"/>
      <c r="M1927" s="122"/>
      <c r="N1927" s="122"/>
      <c r="O1927" s="122"/>
      <c r="P1927" s="122"/>
      <c r="Q1927" s="306" t="s">
        <v>144</v>
      </c>
      <c r="R1927" s="257" t="e">
        <f>R1926+U1927*R1930</f>
        <v>#DIV/0!</v>
      </c>
      <c r="S1927" s="257" t="e">
        <f>S1926+U1927*S1930</f>
        <v>#DIV/0!</v>
      </c>
      <c r="T1927" s="257" t="e">
        <f>T1926+U1927*T1930</f>
        <v>#DIV/0!</v>
      </c>
      <c r="U1927" s="258">
        <v>1</v>
      </c>
      <c r="V1927" s="122" t="s">
        <v>142</v>
      </c>
      <c r="W1927" s="28"/>
      <c r="X1927" s="259" t="s">
        <v>143</v>
      </c>
      <c r="Y1927" s="260"/>
      <c r="AO1927" s="91"/>
      <c r="AP1927" s="28"/>
      <c r="AQ1927" s="28"/>
      <c r="AR1927" s="28"/>
      <c r="AS1927" s="256" t="s">
        <v>144</v>
      </c>
      <c r="AT1927" s="261" t="e">
        <f>AT1926+(AT1932*AT1929)</f>
        <v>#DIV/0!</v>
      </c>
      <c r="AU1927" s="261" t="e">
        <f>AU1926+(AU1932*AT1929)</f>
        <v>#DIV/0!</v>
      </c>
      <c r="AV1927" s="256"/>
      <c r="AW1927" s="261" t="e">
        <f>AW1926+(AW1932*AW1929)</f>
        <v>#DIV/0!</v>
      </c>
      <c r="AX1927" s="261" t="e">
        <f>AX1926+(AX1932*AW1929)</f>
        <v>#DIV/0!</v>
      </c>
      <c r="AY1927" s="28"/>
      <c r="AZ1927" s="261" t="e">
        <f>AZ1926+(AZ1932*AZ1929)</f>
        <v>#DIV/0!</v>
      </c>
      <c r="BA1927" s="261" t="e">
        <f>BA1926+(BA1932*AZ1929)</f>
        <v>#DIV/0!</v>
      </c>
      <c r="BB1927" s="28"/>
      <c r="BC1927" s="261" t="e">
        <f>BC1926+(BC1932*BC1929)</f>
        <v>#DIV/0!</v>
      </c>
      <c r="BD1927" s="261" t="e">
        <f>BD1926+(BD1932*BC1929)</f>
        <v>#DIV/0!</v>
      </c>
      <c r="BE1927" s="28"/>
      <c r="BF1927" s="261" t="e">
        <f>BF1926+(BF1932*BF1929)</f>
        <v>#DIV/0!</v>
      </c>
      <c r="BG1927" s="261" t="e">
        <f>BG1926+(BG1932*BF1929)</f>
        <v>#DIV/0!</v>
      </c>
      <c r="BH1927" s="28"/>
      <c r="BI1927" s="261" t="e">
        <f>BI1926+(BI1932*BI1929)</f>
        <v>#DIV/0!</v>
      </c>
      <c r="BJ1927" s="261" t="e">
        <f>BJ1926+(BJ1932*BI1929)</f>
        <v>#DIV/0!</v>
      </c>
      <c r="BK1927" s="256"/>
      <c r="BL1927" s="261" t="e">
        <f>BL1926+(BL1932*BL1929)</f>
        <v>#DIV/0!</v>
      </c>
      <c r="BM1927" s="261" t="e">
        <f>BM1926+(BM1932*BL1929)</f>
        <v>#DIV/0!</v>
      </c>
      <c r="BN1927" s="28"/>
      <c r="BO1927" s="261" t="e">
        <f>BO1926+(BO1932*BO1929)</f>
        <v>#DIV/0!</v>
      </c>
      <c r="BP1927" s="261" t="e">
        <f>BP1926+(BP1932*BO1929)</f>
        <v>#DIV/0!</v>
      </c>
      <c r="BQ1927" s="28"/>
      <c r="BR1927" s="261" t="e">
        <f>BR1926+(BR1932*BR1929)</f>
        <v>#DIV/0!</v>
      </c>
      <c r="BS1927" s="261" t="e">
        <f>BS1926+(BS1932*BR1929)</f>
        <v>#DIV/0!</v>
      </c>
      <c r="BT1927" s="28"/>
      <c r="BU1927" s="261" t="e">
        <f>BU1926+(BU1932*BU1929)</f>
        <v>#DIV/0!</v>
      </c>
      <c r="BV1927" s="261" t="e">
        <f>BV1926+(BV1932*BU1929)</f>
        <v>#DIV/0!</v>
      </c>
      <c r="BW1927" s="28"/>
      <c r="BX1927" s="91"/>
    </row>
    <row r="1928" spans="1:76" s="55" customFormat="1" x14ac:dyDescent="0.25">
      <c r="A1928" s="195"/>
      <c r="B1928" s="244" t="s">
        <v>165</v>
      </c>
      <c r="C1928" s="195"/>
      <c r="D1928" s="263"/>
      <c r="E1928" s="264"/>
      <c r="F1928" s="264"/>
      <c r="G1928" s="264"/>
      <c r="H1928" s="264"/>
      <c r="I1928" s="264"/>
      <c r="J1928" s="265"/>
      <c r="K1928" s="28"/>
      <c r="L1928" s="28"/>
      <c r="M1928" s="122"/>
      <c r="N1928" s="122"/>
      <c r="O1928" s="122"/>
      <c r="P1928" s="122"/>
      <c r="Q1928" s="306" t="s">
        <v>150</v>
      </c>
      <c r="R1928" s="257" t="e">
        <f>IF($X1928="Y",MIN(R1906:R1925),R1926-$U1928*R1930)</f>
        <v>#DIV/0!</v>
      </c>
      <c r="S1928" s="257" t="e">
        <f>IF($X1928="Y",MIN(S1906:S1925),S1926-$U1928*S1930)</f>
        <v>#DIV/0!</v>
      </c>
      <c r="T1928" s="257" t="e">
        <f>IF($X1928="Y",MIN(T1906:T1925),T1926-$U1928*T1930)</f>
        <v>#DIV/0!</v>
      </c>
      <c r="U1928" s="258">
        <v>1</v>
      </c>
      <c r="V1928" s="122" t="s">
        <v>148</v>
      </c>
      <c r="W1928" s="28"/>
      <c r="X1928" s="266" t="s">
        <v>149</v>
      </c>
      <c r="Y1928" s="260"/>
      <c r="AO1928" s="91"/>
      <c r="AP1928" s="28"/>
      <c r="AQ1928" s="28"/>
      <c r="AR1928" s="28"/>
      <c r="AS1928" s="256" t="s">
        <v>150</v>
      </c>
      <c r="AT1928" s="261" t="e">
        <f>AT1926-(AT1932*AT1930)</f>
        <v>#DIV/0!</v>
      </c>
      <c r="AU1928" s="261" t="e">
        <f>AU1926-(AU1932*AT1930)</f>
        <v>#DIV/0!</v>
      </c>
      <c r="AV1928" s="256"/>
      <c r="AW1928" s="261" t="e">
        <f>AW1926-(AW1932*AW1930)</f>
        <v>#DIV/0!</v>
      </c>
      <c r="AX1928" s="261" t="e">
        <f>AX1926-(AX1932*AW1930)</f>
        <v>#DIV/0!</v>
      </c>
      <c r="AY1928" s="28"/>
      <c r="AZ1928" s="261" t="e">
        <f>AZ1926-(AZ1932*AZ1930)</f>
        <v>#DIV/0!</v>
      </c>
      <c r="BA1928" s="261" t="e">
        <f>BA1926-(BA1932*AZ1930)</f>
        <v>#DIV/0!</v>
      </c>
      <c r="BB1928" s="28"/>
      <c r="BC1928" s="261" t="e">
        <f>BC1926-(BC1932*BC1930)</f>
        <v>#DIV/0!</v>
      </c>
      <c r="BD1928" s="261" t="e">
        <f>BD1926-(BD1932*BC1930)</f>
        <v>#DIV/0!</v>
      </c>
      <c r="BE1928" s="28"/>
      <c r="BF1928" s="261" t="e">
        <f>BF1926-(BF1932*BF1930)</f>
        <v>#DIV/0!</v>
      </c>
      <c r="BG1928" s="261" t="e">
        <f>BG1926-(BG1932*BF1930)</f>
        <v>#DIV/0!</v>
      </c>
      <c r="BH1928" s="28"/>
      <c r="BI1928" s="261" t="e">
        <f>BI1926-(BI1932*BI1930)</f>
        <v>#DIV/0!</v>
      </c>
      <c r="BJ1928" s="261" t="e">
        <f>BJ1926-(BJ1932*BI1930)</f>
        <v>#DIV/0!</v>
      </c>
      <c r="BK1928" s="256"/>
      <c r="BL1928" s="261" t="e">
        <f>BL1926-(BL1932*BL1930)</f>
        <v>#DIV/0!</v>
      </c>
      <c r="BM1928" s="261" t="e">
        <f>BM1926-(BM1932*BL1930)</f>
        <v>#DIV/0!</v>
      </c>
      <c r="BN1928" s="28"/>
      <c r="BO1928" s="261" t="e">
        <f>BO1926-(BO1932*BO1930)</f>
        <v>#DIV/0!</v>
      </c>
      <c r="BP1928" s="261" t="e">
        <f>BP1926-(BP1932*BO1930)</f>
        <v>#DIV/0!</v>
      </c>
      <c r="BQ1928" s="28"/>
      <c r="BR1928" s="261" t="e">
        <f>BR1926-(BR1932*BR1930)</f>
        <v>#DIV/0!</v>
      </c>
      <c r="BS1928" s="261" t="e">
        <f>BS1926-(BS1932*BR1930)</f>
        <v>#DIV/0!</v>
      </c>
      <c r="BT1928" s="28"/>
      <c r="BU1928" s="261" t="e">
        <f>BU1926-(BU1932*BU1930)</f>
        <v>#DIV/0!</v>
      </c>
      <c r="BV1928" s="261" t="e">
        <f>BV1926-(BV1932*BU1930)</f>
        <v>#DIV/0!</v>
      </c>
      <c r="BW1928" s="28"/>
      <c r="BX1928" s="91"/>
    </row>
    <row r="1929" spans="1:76" s="55" customFormat="1" ht="14.25" x14ac:dyDescent="0.2">
      <c r="A1929" s="195"/>
      <c r="B1929" s="196"/>
      <c r="C1929" s="195"/>
      <c r="D1929" s="263"/>
      <c r="E1929" s="264"/>
      <c r="F1929" s="264"/>
      <c r="G1929" s="264"/>
      <c r="H1929" s="264"/>
      <c r="I1929" s="264"/>
      <c r="J1929" s="265"/>
      <c r="K1929" s="122"/>
      <c r="L1929" s="122"/>
      <c r="M1929" s="122"/>
      <c r="N1929" s="122"/>
      <c r="O1929" s="122"/>
      <c r="P1929" s="122"/>
      <c r="Q1929" s="306" t="s">
        <v>151</v>
      </c>
      <c r="R1929" s="257" t="e">
        <f>IF((0.67*R1930)&gt;R1926,"no","yes")</f>
        <v>#DIV/0!</v>
      </c>
      <c r="S1929" s="257" t="e">
        <f>IF((0.67*S1930)&gt;S1926,"no","yes")</f>
        <v>#DIV/0!</v>
      </c>
      <c r="T1929" s="257" t="e">
        <f>IF((0.67*T1930)&gt;T1926,"no","yes")</f>
        <v>#DIV/0!</v>
      </c>
      <c r="U1929" s="122"/>
      <c r="V1929" s="122"/>
      <c r="W1929" s="122"/>
      <c r="Y1929" s="260"/>
      <c r="AO1929" s="91"/>
      <c r="AP1929" s="122"/>
      <c r="AQ1929" s="122"/>
      <c r="AR1929" s="267" t="s">
        <v>152</v>
      </c>
      <c r="AS1929" s="268"/>
      <c r="AT1929" s="258">
        <v>1</v>
      </c>
      <c r="AU1929" s="122"/>
      <c r="AV1929" s="308"/>
      <c r="AW1929" s="258">
        <v>1</v>
      </c>
      <c r="AX1929" s="122"/>
      <c r="AY1929" s="122"/>
      <c r="AZ1929" s="258">
        <v>1</v>
      </c>
      <c r="BA1929" s="122"/>
      <c r="BB1929" s="122"/>
      <c r="BC1929" s="258">
        <v>1</v>
      </c>
      <c r="BD1929" s="122"/>
      <c r="BE1929" s="122"/>
      <c r="BF1929" s="258">
        <v>1</v>
      </c>
      <c r="BG1929" s="122"/>
      <c r="BH1929" s="122"/>
      <c r="BI1929" s="258">
        <v>1</v>
      </c>
      <c r="BJ1929" s="122"/>
      <c r="BK1929" s="256"/>
      <c r="BL1929" s="258">
        <v>1</v>
      </c>
      <c r="BM1929" s="122"/>
      <c r="BN1929" s="122"/>
      <c r="BO1929" s="258">
        <v>1</v>
      </c>
      <c r="BP1929" s="122"/>
      <c r="BQ1929" s="122"/>
      <c r="BR1929" s="258">
        <v>1</v>
      </c>
      <c r="BS1929" s="122"/>
      <c r="BT1929" s="122"/>
      <c r="BU1929" s="258">
        <v>1</v>
      </c>
      <c r="BV1929" s="122"/>
      <c r="BW1929" s="122"/>
      <c r="BX1929" s="91"/>
    </row>
    <row r="1930" spans="1:76" s="55" customFormat="1" ht="28.5" x14ac:dyDescent="0.2">
      <c r="A1930" s="195"/>
      <c r="B1930" s="196"/>
      <c r="C1930" s="195"/>
      <c r="D1930" s="263"/>
      <c r="E1930" s="264"/>
      <c r="F1930" s="264"/>
      <c r="G1930" s="264"/>
      <c r="H1930" s="264"/>
      <c r="I1930" s="264"/>
      <c r="J1930" s="265"/>
      <c r="K1930" s="122"/>
      <c r="L1930" s="122"/>
      <c r="M1930" s="122"/>
      <c r="N1930" s="122"/>
      <c r="O1930" s="122"/>
      <c r="P1930" s="122"/>
      <c r="Q1930" s="306" t="s">
        <v>157</v>
      </c>
      <c r="R1930" s="257">
        <f>IF(COUNT(R1906:R1925)&gt;1,_xlfn.STDEV.S(R1906:R1925),0)</f>
        <v>0</v>
      </c>
      <c r="S1930" s="257" t="e">
        <f t="array" ref="S1930">IF(R1934="Y",SQRT(SUM(IFERROR(N1906:N1925*(R1906:R1925-(S1926))^2,0))/((COUNT(S1906:S1925)-1)/COUNT(S1906:S1925)*SUMPRODUCT(N1906:N1925,--ISNUMBER(S1906:S1925)))),_xlfn.STDEV.S(S1906:S1925))</f>
        <v>#DIV/0!</v>
      </c>
      <c r="T1930" s="257" t="e">
        <f t="array" ref="T1930">SQRT(SUM(IFERROR(N1906:N1925*(R1906:R1925-(T1926))^2,0))/((COUNT(T1906:T1925)-1)/COUNT(T1906:T1925)*SUMPRODUCT(N1906:N1925,--ISNUMBER(T1906:T1925))))</f>
        <v>#DIV/0!</v>
      </c>
      <c r="U1930" s="122"/>
      <c r="V1930" s="122"/>
      <c r="W1930" s="122"/>
      <c r="Y1930" s="260"/>
      <c r="AO1930" s="91"/>
      <c r="AP1930" s="122"/>
      <c r="AQ1930" s="122"/>
      <c r="AR1930" s="267"/>
      <c r="AS1930" s="268"/>
      <c r="AT1930" s="258">
        <v>1</v>
      </c>
      <c r="AU1930" s="122"/>
      <c r="AV1930" s="308"/>
      <c r="AW1930" s="258">
        <v>1</v>
      </c>
      <c r="AX1930" s="122"/>
      <c r="AY1930" s="122"/>
      <c r="AZ1930" s="258">
        <v>1</v>
      </c>
      <c r="BA1930" s="122"/>
      <c r="BB1930" s="122"/>
      <c r="BC1930" s="258">
        <v>1</v>
      </c>
      <c r="BD1930" s="122"/>
      <c r="BE1930" s="122"/>
      <c r="BF1930" s="258">
        <v>1</v>
      </c>
      <c r="BG1930" s="122"/>
      <c r="BH1930" s="122"/>
      <c r="BI1930" s="258">
        <v>1</v>
      </c>
      <c r="BJ1930" s="122"/>
      <c r="BK1930" s="256"/>
      <c r="BL1930" s="258">
        <v>1</v>
      </c>
      <c r="BM1930" s="122"/>
      <c r="BN1930" s="122"/>
      <c r="BO1930" s="258">
        <v>1</v>
      </c>
      <c r="BP1930" s="122"/>
      <c r="BQ1930" s="122"/>
      <c r="BR1930" s="258">
        <v>1</v>
      </c>
      <c r="BS1930" s="122"/>
      <c r="BT1930" s="122"/>
      <c r="BU1930" s="258">
        <v>1</v>
      </c>
      <c r="BV1930" s="122"/>
      <c r="BW1930" s="122"/>
      <c r="BX1930" s="91"/>
    </row>
    <row r="1931" spans="1:76" s="55" customFormat="1" ht="15" customHeight="1" x14ac:dyDescent="0.25">
      <c r="A1931" s="122"/>
      <c r="B1931" s="118"/>
      <c r="C1931" s="195"/>
      <c r="D1931" s="263"/>
      <c r="E1931" s="264"/>
      <c r="F1931" s="264"/>
      <c r="G1931" s="264"/>
      <c r="H1931" s="264"/>
      <c r="I1931" s="264"/>
      <c r="J1931" s="265"/>
      <c r="K1931" s="122"/>
      <c r="L1931" s="122"/>
      <c r="M1931" s="122"/>
      <c r="N1931" s="122"/>
      <c r="O1931" s="122"/>
      <c r="P1931" s="122"/>
      <c r="Q1931" s="309" t="s">
        <v>159</v>
      </c>
      <c r="R1931" s="310">
        <f>COUNT(R1906:R1925)</f>
        <v>0</v>
      </c>
      <c r="S1931" s="310">
        <f>COUNT(S1906:S1925)</f>
        <v>0</v>
      </c>
      <c r="T1931" s="118"/>
      <c r="U1931" s="273" t="s">
        <v>155</v>
      </c>
      <c r="V1931" s="122"/>
      <c r="W1931" s="122"/>
      <c r="Y1931" s="91"/>
      <c r="AO1931" s="91"/>
      <c r="AP1931" s="122"/>
      <c r="AQ1931" s="122"/>
      <c r="AR1931" s="122"/>
      <c r="AS1931" s="256" t="s">
        <v>151</v>
      </c>
      <c r="AT1931" s="261" t="e">
        <f>IF((0.67*AT1932)&gt;AT1926,"no","yes")</f>
        <v>#DIV/0!</v>
      </c>
      <c r="AU1931" s="261" t="e">
        <f>IF((0.67*AU1932)&gt;AU1926,"no","yes")</f>
        <v>#DIV/0!</v>
      </c>
      <c r="AV1931" s="256"/>
      <c r="AW1931" s="261" t="e">
        <f>IF((0.67*AW1932)&gt;AW1926,"no","yes")</f>
        <v>#DIV/0!</v>
      </c>
      <c r="AX1931" s="261" t="e">
        <f>IF((0.67*AX1932)&gt;AX1926,"no","yes")</f>
        <v>#DIV/0!</v>
      </c>
      <c r="AY1931" s="122"/>
      <c r="AZ1931" s="261" t="e">
        <f>IF((0.67*AZ1932)&gt;AZ1926,"no","yes")</f>
        <v>#DIV/0!</v>
      </c>
      <c r="BA1931" s="261" t="e">
        <f>IF((0.67*BA1932)&gt;BA1926,"no","yes")</f>
        <v>#DIV/0!</v>
      </c>
      <c r="BB1931" s="122"/>
      <c r="BC1931" s="261" t="e">
        <f>IF((0.67*BC1932)&gt;BC1926,"no","yes")</f>
        <v>#DIV/0!</v>
      </c>
      <c r="BD1931" s="261" t="e">
        <f>IF((0.67*BD1932)&gt;BD1926,"no","yes")</f>
        <v>#DIV/0!</v>
      </c>
      <c r="BE1931" s="122"/>
      <c r="BF1931" s="261" t="e">
        <f>IF((0.67*BF1932)&gt;BF1926,"no","yes")</f>
        <v>#DIV/0!</v>
      </c>
      <c r="BG1931" s="261" t="e">
        <f>IF((0.67*BG1932)&gt;BG1926,"no","yes")</f>
        <v>#DIV/0!</v>
      </c>
      <c r="BH1931" s="122"/>
      <c r="BI1931" s="261" t="e">
        <f>IF((0.67*BI1932)&gt;BI1926,"no","yes")</f>
        <v>#DIV/0!</v>
      </c>
      <c r="BJ1931" s="261" t="e">
        <f>IF((0.67*BJ1932)&gt;BJ1926,"no","yes")</f>
        <v>#DIV/0!</v>
      </c>
      <c r="BK1931" s="133"/>
      <c r="BL1931" s="261" t="e">
        <f>IF((0.67*BL1932)&gt;BL1926,"no","yes")</f>
        <v>#DIV/0!</v>
      </c>
      <c r="BM1931" s="261" t="e">
        <f>IF((0.67*BM1932)&gt;BM1926,"no","yes")</f>
        <v>#DIV/0!</v>
      </c>
      <c r="BN1931" s="122"/>
      <c r="BO1931" s="261" t="e">
        <f>IF((0.67*BO1932)&gt;BO1926,"no","yes")</f>
        <v>#DIV/0!</v>
      </c>
      <c r="BP1931" s="261" t="e">
        <f>IF((0.67*BP1932)&gt;BP1926,"no","yes")</f>
        <v>#DIV/0!</v>
      </c>
      <c r="BQ1931" s="122"/>
      <c r="BR1931" s="261" t="e">
        <f>IF((0.67*BR1932)&gt;BR1926,"no","yes")</f>
        <v>#DIV/0!</v>
      </c>
      <c r="BS1931" s="261" t="e">
        <f>IF((0.67*BS1932)&gt;BS1926,"no","yes")</f>
        <v>#DIV/0!</v>
      </c>
      <c r="BT1931" s="122"/>
      <c r="BU1931" s="261" t="e">
        <f>IF((0.67*BU1932)&gt;BU1926,"no","yes")</f>
        <v>#DIV/0!</v>
      </c>
      <c r="BV1931" s="261" t="e">
        <f>IF((0.67*BV1932)&gt;BV1926,"no","yes")</f>
        <v>#DIV/0!</v>
      </c>
      <c r="BW1931" s="122"/>
      <c r="BX1931" s="91"/>
    </row>
    <row r="1932" spans="1:76" s="55" customFormat="1" ht="14.25" x14ac:dyDescent="0.2">
      <c r="B1932" s="23"/>
      <c r="C1932" s="195"/>
      <c r="D1932" s="263"/>
      <c r="E1932" s="264"/>
      <c r="F1932" s="264"/>
      <c r="G1932" s="264"/>
      <c r="H1932" s="264"/>
      <c r="I1932" s="264"/>
      <c r="J1932" s="265"/>
      <c r="K1932" s="122"/>
      <c r="L1932" s="122"/>
      <c r="M1932" s="122"/>
      <c r="N1932" s="122"/>
      <c r="O1932" s="122"/>
      <c r="P1932" s="122"/>
      <c r="Q1932" s="311"/>
      <c r="R1932" s="389"/>
      <c r="S1932" s="118"/>
      <c r="T1932" s="118"/>
      <c r="U1932" s="274"/>
      <c r="V1932" s="275"/>
      <c r="W1932" s="276"/>
      <c r="Y1932" s="91"/>
      <c r="AO1932" s="91"/>
      <c r="AP1932" s="122"/>
      <c r="AQ1932" s="122"/>
      <c r="AR1932" s="122"/>
      <c r="AS1932" s="256" t="s">
        <v>157</v>
      </c>
      <c r="AT1932" s="261">
        <f>IF(AT1933&gt;1,_xlfn.STDEV.S(AT1906:AT1925),0)</f>
        <v>0</v>
      </c>
      <c r="AU1932" s="261">
        <f>IF(AU1933&gt;1,_xlfn.STDEV.S(AU1906:AU1925),0)</f>
        <v>0</v>
      </c>
      <c r="AV1932" s="122"/>
      <c r="AW1932" s="261">
        <f t="shared" ref="AW1932:AX1932" si="1326">IF(AW1933&gt;1,_xlfn.STDEV.S(AW1906:AW1925),0)</f>
        <v>0</v>
      </c>
      <c r="AX1932" s="261">
        <f t="shared" si="1326"/>
        <v>0</v>
      </c>
      <c r="AY1932" s="122"/>
      <c r="AZ1932" s="261">
        <f t="shared" ref="AZ1932:BA1932" si="1327">IF(AZ1933&gt;1,_xlfn.STDEV.S(AZ1906:AZ1925),0)</f>
        <v>0</v>
      </c>
      <c r="BA1932" s="261">
        <f t="shared" si="1327"/>
        <v>0</v>
      </c>
      <c r="BB1932" s="122"/>
      <c r="BC1932" s="261">
        <f t="shared" ref="BC1932:BD1932" si="1328">IF(BC1933&gt;1,_xlfn.STDEV.S(BC1906:BC1925),0)</f>
        <v>0</v>
      </c>
      <c r="BD1932" s="261">
        <f t="shared" si="1328"/>
        <v>0</v>
      </c>
      <c r="BE1932" s="122"/>
      <c r="BF1932" s="261">
        <f t="shared" ref="BF1932:BG1932" si="1329">IF(BF1933&gt;1,_xlfn.STDEV.S(BF1906:BF1925),0)</f>
        <v>0</v>
      </c>
      <c r="BG1932" s="261">
        <f t="shared" si="1329"/>
        <v>0</v>
      </c>
      <c r="BH1932" s="122"/>
      <c r="BI1932" s="261">
        <f t="shared" ref="BI1932:BJ1932" si="1330">IF(BI1933&gt;1,_xlfn.STDEV.S(BI1906:BI1925),0)</f>
        <v>0</v>
      </c>
      <c r="BJ1932" s="261">
        <f t="shared" si="1330"/>
        <v>0</v>
      </c>
      <c r="BK1932" s="122"/>
      <c r="BL1932" s="261">
        <f t="shared" ref="BL1932:BM1932" si="1331">IF(BL1933&gt;1,_xlfn.STDEV.S(BL1906:BL1925),0)</f>
        <v>0</v>
      </c>
      <c r="BM1932" s="261">
        <f t="shared" si="1331"/>
        <v>0</v>
      </c>
      <c r="BN1932" s="122"/>
      <c r="BO1932" s="261">
        <f t="shared" ref="BO1932:BP1932" si="1332">IF(BO1933&gt;1,_xlfn.STDEV.S(BO1906:BO1925),0)</f>
        <v>0</v>
      </c>
      <c r="BP1932" s="261">
        <f t="shared" si="1332"/>
        <v>0</v>
      </c>
      <c r="BQ1932" s="122"/>
      <c r="BR1932" s="261">
        <f t="shared" ref="BR1932:BS1932" si="1333">IF(BR1933&gt;1,_xlfn.STDEV.S(BR1906:BR1925),0)</f>
        <v>0</v>
      </c>
      <c r="BS1932" s="261">
        <f t="shared" si="1333"/>
        <v>0</v>
      </c>
      <c r="BT1932" s="122"/>
      <c r="BU1932" s="261">
        <f t="shared" ref="BU1932:BV1932" si="1334">IF(BU1933&gt;1,_xlfn.STDEV.S(BU1906:BU1925),0)</f>
        <v>0</v>
      </c>
      <c r="BV1932" s="261">
        <f t="shared" si="1334"/>
        <v>0</v>
      </c>
      <c r="BW1932" s="122"/>
      <c r="BX1932" s="91"/>
    </row>
    <row r="1933" spans="1:76" s="55" customFormat="1" x14ac:dyDescent="0.2">
      <c r="A1933" s="270" t="e">
        <f ca="1">HYPERLINK("#"&amp;"'"&amp;A$1&amp;"'!a1","Back to top")</f>
        <v>#VALUE!</v>
      </c>
      <c r="B1933" s="271"/>
      <c r="C1933" s="122"/>
      <c r="D1933" s="277"/>
      <c r="E1933" s="278"/>
      <c r="F1933" s="278"/>
      <c r="G1933" s="278"/>
      <c r="H1933" s="278"/>
      <c r="I1933" s="278"/>
      <c r="J1933" s="279"/>
      <c r="Q1933" s="81"/>
      <c r="R1933" s="362" t="s">
        <v>158</v>
      </c>
      <c r="T1933" s="122"/>
      <c r="U1933" s="281"/>
      <c r="V1933" s="282"/>
      <c r="W1933" s="283"/>
      <c r="Y1933" s="91"/>
      <c r="AO1933" s="91"/>
      <c r="AP1933" s="122"/>
      <c r="AQ1933" s="122"/>
      <c r="AR1933" s="122"/>
      <c r="AS1933" s="133" t="s">
        <v>159</v>
      </c>
      <c r="AT1933" s="284">
        <f>COUNT(AT1906:AT1925)</f>
        <v>0</v>
      </c>
      <c r="AU1933" s="284">
        <f>COUNT(AU1906:AU1925)</f>
        <v>0</v>
      </c>
      <c r="AV1933" s="122"/>
      <c r="AW1933" s="284">
        <f t="shared" ref="AW1933:AX1933" si="1335">COUNT(AW1906:AW1925)</f>
        <v>0</v>
      </c>
      <c r="AX1933" s="284">
        <f t="shared" si="1335"/>
        <v>0</v>
      </c>
      <c r="AY1933" s="122"/>
      <c r="AZ1933" s="284">
        <f t="shared" ref="AZ1933:BA1933" si="1336">COUNT(AZ1906:AZ1925)</f>
        <v>0</v>
      </c>
      <c r="BA1933" s="284">
        <f t="shared" si="1336"/>
        <v>0</v>
      </c>
      <c r="BB1933" s="122"/>
      <c r="BC1933" s="284">
        <f t="shared" ref="BC1933:BD1933" si="1337">COUNT(BC1906:BC1925)</f>
        <v>0</v>
      </c>
      <c r="BD1933" s="284">
        <f t="shared" si="1337"/>
        <v>0</v>
      </c>
      <c r="BE1933" s="122"/>
      <c r="BF1933" s="284">
        <f t="shared" ref="BF1933:BG1933" si="1338">COUNT(BF1906:BF1925)</f>
        <v>0</v>
      </c>
      <c r="BG1933" s="284">
        <f t="shared" si="1338"/>
        <v>0</v>
      </c>
      <c r="BH1933" s="122"/>
      <c r="BI1933" s="284">
        <f t="shared" ref="BI1933:BJ1933" si="1339">COUNT(BI1906:BI1925)</f>
        <v>0</v>
      </c>
      <c r="BJ1933" s="284">
        <f t="shared" si="1339"/>
        <v>0</v>
      </c>
      <c r="BK1933" s="122"/>
      <c r="BL1933" s="284">
        <f t="shared" ref="BL1933:BM1933" si="1340">COUNT(BL1906:BL1925)</f>
        <v>0</v>
      </c>
      <c r="BM1933" s="284">
        <f t="shared" si="1340"/>
        <v>0</v>
      </c>
      <c r="BN1933" s="122"/>
      <c r="BO1933" s="284">
        <f t="shared" ref="BO1933:BP1933" si="1341">COUNT(BO1906:BO1925)</f>
        <v>0</v>
      </c>
      <c r="BP1933" s="284">
        <f t="shared" si="1341"/>
        <v>0</v>
      </c>
      <c r="BQ1933" s="122"/>
      <c r="BR1933" s="284">
        <f t="shared" ref="BR1933:BS1933" si="1342">COUNT(BR1906:BR1925)</f>
        <v>0</v>
      </c>
      <c r="BS1933" s="284">
        <f t="shared" si="1342"/>
        <v>0</v>
      </c>
      <c r="BT1933" s="122"/>
      <c r="BU1933" s="284">
        <f t="shared" ref="BU1933:BV1933" si="1343">COUNT(BU1906:BU1925)</f>
        <v>0</v>
      </c>
      <c r="BV1933" s="284">
        <f t="shared" si="1343"/>
        <v>0</v>
      </c>
      <c r="BW1933" s="122"/>
      <c r="BX1933" s="91"/>
    </row>
    <row r="1934" spans="1:76" s="55" customFormat="1" ht="14.25" x14ac:dyDescent="0.2">
      <c r="B1934" s="23"/>
      <c r="Q1934" s="81"/>
      <c r="R1934" s="287" t="s">
        <v>149</v>
      </c>
      <c r="T1934" s="122"/>
      <c r="U1934" s="281"/>
      <c r="V1934" s="282"/>
      <c r="W1934" s="283"/>
      <c r="Y1934" s="91"/>
      <c r="AO1934" s="91"/>
      <c r="BX1934" s="91"/>
    </row>
    <row r="1935" spans="1:76" s="55" customFormat="1" ht="14.25" x14ac:dyDescent="0.2">
      <c r="B1935" s="23"/>
      <c r="Q1935" s="81"/>
      <c r="T1935" s="122"/>
      <c r="U1935" s="288"/>
      <c r="V1935" s="289"/>
      <c r="W1935" s="290"/>
      <c r="Y1935" s="91"/>
      <c r="AO1935" s="91"/>
      <c r="BX1935" s="91"/>
    </row>
    <row r="1936" spans="1:76" s="55" customFormat="1" ht="14.25" x14ac:dyDescent="0.2">
      <c r="B1936" s="23"/>
      <c r="Q1936" s="81"/>
      <c r="Y1936" s="91"/>
      <c r="AO1936" s="91"/>
      <c r="BX1936" s="91"/>
    </row>
    <row r="1937" spans="1:76" s="9" customFormat="1" ht="18" x14ac:dyDescent="0.25">
      <c r="A1937" s="188">
        <f>A1903+1</f>
        <v>36</v>
      </c>
      <c r="B1937" s="189"/>
      <c r="C1937" s="293" t="s">
        <v>779</v>
      </c>
      <c r="D1937" s="191"/>
      <c r="E1937" s="191"/>
      <c r="F1937" s="191"/>
      <c r="G1937" s="191"/>
      <c r="J1937" s="191"/>
      <c r="K1937" s="191"/>
      <c r="L1937" s="192"/>
      <c r="M1937" s="192"/>
      <c r="N1937" s="192"/>
      <c r="Q1937" s="193"/>
      <c r="R1937" s="194" t="s">
        <v>93</v>
      </c>
      <c r="S1937" s="194"/>
      <c r="T1937" s="194"/>
      <c r="U1937" s="194"/>
      <c r="AP1937" s="175">
        <f>A1937</f>
        <v>36</v>
      </c>
      <c r="AQ1937" s="175" t="str">
        <f>C1937</f>
        <v>VARIABLE36</v>
      </c>
    </row>
    <row r="1938" spans="1:76" s="55" customFormat="1" x14ac:dyDescent="0.25">
      <c r="A1938" s="195"/>
      <c r="B1938" s="196"/>
      <c r="C1938" s="195"/>
      <c r="D1938" s="120"/>
      <c r="E1938" s="120"/>
      <c r="F1938" s="120"/>
      <c r="G1938" s="120"/>
      <c r="J1938" s="120"/>
      <c r="K1938" s="120"/>
      <c r="L1938" s="122"/>
      <c r="M1938" s="122"/>
      <c r="N1938" s="122"/>
      <c r="Q1938" s="81"/>
      <c r="Y1938" s="91"/>
      <c r="AO1938" s="91"/>
      <c r="AP1938" s="28"/>
      <c r="AQ1938" s="28"/>
      <c r="AR1938" s="28"/>
      <c r="AS1938" s="28"/>
      <c r="AT1938" s="198" t="s">
        <v>171</v>
      </c>
      <c r="AU1938" s="198"/>
      <c r="AV1938" s="28"/>
      <c r="AW1938" s="198" t="s">
        <v>96</v>
      </c>
      <c r="AX1938" s="198"/>
      <c r="AY1938" s="28"/>
      <c r="AZ1938" s="198" t="s">
        <v>97</v>
      </c>
      <c r="BA1938" s="198"/>
      <c r="BB1938" s="28"/>
      <c r="BC1938" s="198" t="s">
        <v>98</v>
      </c>
      <c r="BD1938" s="198"/>
      <c r="BE1938" s="28"/>
      <c r="BF1938" s="198" t="s">
        <v>99</v>
      </c>
      <c r="BG1938" s="198"/>
      <c r="BH1938" s="28"/>
      <c r="BI1938" s="198" t="s">
        <v>100</v>
      </c>
      <c r="BJ1938" s="198"/>
      <c r="BK1938" s="28"/>
      <c r="BL1938" s="198" t="s">
        <v>101</v>
      </c>
      <c r="BM1938" s="198"/>
      <c r="BN1938" s="28"/>
      <c r="BO1938" s="198" t="s">
        <v>102</v>
      </c>
      <c r="BP1938" s="198"/>
      <c r="BQ1938" s="28"/>
      <c r="BR1938" s="198" t="s">
        <v>103</v>
      </c>
      <c r="BS1938" s="198"/>
      <c r="BT1938" s="28"/>
      <c r="BU1938" s="198" t="s">
        <v>104</v>
      </c>
      <c r="BV1938" s="198"/>
      <c r="BW1938" s="28"/>
      <c r="BX1938" s="91"/>
    </row>
    <row r="1939" spans="1:76" s="55" customFormat="1" ht="30.75" thickBot="1" x14ac:dyDescent="0.3">
      <c r="A1939" s="199" t="s">
        <v>105</v>
      </c>
      <c r="B1939" s="200" t="s">
        <v>106</v>
      </c>
      <c r="C1939" s="201" t="s">
        <v>107</v>
      </c>
      <c r="D1939" s="202" t="s">
        <v>108</v>
      </c>
      <c r="E1939" s="202" t="s">
        <v>109</v>
      </c>
      <c r="F1939" s="201" t="s">
        <v>110</v>
      </c>
      <c r="G1939" s="201" t="s">
        <v>111</v>
      </c>
      <c r="H1939" s="202" t="s">
        <v>112</v>
      </c>
      <c r="I1939" s="203" t="s">
        <v>113</v>
      </c>
      <c r="J1939" s="204" t="s">
        <v>114</v>
      </c>
      <c r="K1939" s="205" t="s">
        <v>115</v>
      </c>
      <c r="L1939" s="206" t="s">
        <v>116</v>
      </c>
      <c r="M1939" s="207" t="s">
        <v>117</v>
      </c>
      <c r="N1939" s="208" t="s">
        <v>118</v>
      </c>
      <c r="O1939" s="207" t="s">
        <v>119</v>
      </c>
      <c r="P1939" s="210"/>
      <c r="Q1939" s="211" t="s">
        <v>120</v>
      </c>
      <c r="R1939" s="212" t="s">
        <v>121</v>
      </c>
      <c r="S1939" s="212" t="s">
        <v>122</v>
      </c>
      <c r="T1939" s="212" t="s">
        <v>123</v>
      </c>
      <c r="U1939" s="213" t="s">
        <v>124</v>
      </c>
      <c r="V1939" s="210"/>
      <c r="W1939" s="210"/>
      <c r="Y1939" s="91"/>
      <c r="AO1939" s="91"/>
      <c r="AP1939" s="210"/>
      <c r="AQ1939" s="210"/>
      <c r="AR1939" s="213" t="s">
        <v>125</v>
      </c>
      <c r="AS1939" s="210"/>
      <c r="AT1939" s="215" t="s">
        <v>121</v>
      </c>
      <c r="AU1939" s="215" t="s">
        <v>122</v>
      </c>
      <c r="AV1939" s="210"/>
      <c r="AW1939" s="215" t="s">
        <v>121</v>
      </c>
      <c r="AX1939" s="215" t="s">
        <v>122</v>
      </c>
      <c r="AY1939" s="210"/>
      <c r="AZ1939" s="215" t="s">
        <v>121</v>
      </c>
      <c r="BA1939" s="215" t="s">
        <v>122</v>
      </c>
      <c r="BB1939" s="210"/>
      <c r="BC1939" s="215" t="s">
        <v>121</v>
      </c>
      <c r="BD1939" s="215" t="s">
        <v>122</v>
      </c>
      <c r="BE1939" s="210"/>
      <c r="BF1939" s="215" t="s">
        <v>121</v>
      </c>
      <c r="BG1939" s="215" t="s">
        <v>122</v>
      </c>
      <c r="BH1939" s="210"/>
      <c r="BI1939" s="215" t="s">
        <v>121</v>
      </c>
      <c r="BJ1939" s="215" t="s">
        <v>122</v>
      </c>
      <c r="BK1939" s="210"/>
      <c r="BL1939" s="215" t="s">
        <v>121</v>
      </c>
      <c r="BM1939" s="215" t="s">
        <v>122</v>
      </c>
      <c r="BN1939" s="210"/>
      <c r="BO1939" s="215" t="s">
        <v>121</v>
      </c>
      <c r="BP1939" s="215" t="s">
        <v>122</v>
      </c>
      <c r="BQ1939" s="210"/>
      <c r="BR1939" s="215" t="s">
        <v>121</v>
      </c>
      <c r="BS1939" s="215" t="s">
        <v>122</v>
      </c>
      <c r="BT1939" s="210"/>
      <c r="BU1939" s="215" t="s">
        <v>121</v>
      </c>
      <c r="BV1939" s="215" t="s">
        <v>122</v>
      </c>
      <c r="BW1939" s="210"/>
      <c r="BX1939" s="91"/>
    </row>
    <row r="1940" spans="1:76" s="55" customFormat="1" x14ac:dyDescent="0.25">
      <c r="A1940" s="195">
        <v>1</v>
      </c>
      <c r="B1940" s="216" t="str">
        <f t="shared" ref="B1940:B1959" si="1344">CONCATENATE(E1940,": ",C1940)</f>
        <v xml:space="preserve">: </v>
      </c>
      <c r="C1940" s="219"/>
      <c r="D1940" s="219"/>
      <c r="E1940" s="219"/>
      <c r="F1940" s="219"/>
      <c r="G1940" s="220"/>
      <c r="H1940" s="221"/>
      <c r="I1940" s="220"/>
      <c r="J1940" s="227"/>
      <c r="K1940" s="226"/>
      <c r="L1940" s="227"/>
      <c r="M1940" s="227"/>
      <c r="N1940" s="227"/>
      <c r="O1940" s="227"/>
      <c r="P1940" s="122"/>
      <c r="Q1940" s="228"/>
      <c r="R1940" s="231" t="str">
        <f>IF(Q1940="Y","",IF(AND(L1940="",J1940=""),"",IF(L1940="",J1940,L1940)))</f>
        <v/>
      </c>
      <c r="S1940" s="230" t="str">
        <f t="shared" ref="S1940:S1959" si="1345">IF(R1940="","",IF($R$1968="Y",T1940,IF(R1940&gt;=$R$1960-$AA$35*$R$1964,IF(R1940&lt;=$R$1960+$AA$35*$R$1964,R1940,""),"")))</f>
        <v/>
      </c>
      <c r="T1940" s="231" t="str">
        <f>IF(OR(Q1940="Y",IFERROR(R1940&gt;R1960+R1964*$AA$35,0),IFERROR(R1940&lt;R1960-R1964*$AA$35,0)),"",IFERROR(R1940*N1940,""))</f>
        <v/>
      </c>
      <c r="U1940" s="232" t="str">
        <f t="shared" ref="U1940:U1959" si="1346">IF(AND(M1940="",K1940=""),"",IF(M1940="",K1940,M1940))</f>
        <v/>
      </c>
      <c r="V1940" s="28"/>
      <c r="W1940" s="28"/>
      <c r="Y1940" s="91"/>
      <c r="AO1940" s="91"/>
      <c r="AP1940" s="28"/>
      <c r="AQ1940" s="28"/>
      <c r="AR1940" s="233" t="str">
        <f>$U1940</f>
        <v/>
      </c>
      <c r="AS1940" s="28"/>
      <c r="AT1940" s="304" t="str">
        <f t="shared" ref="AT1940:AU1959" si="1347">IF($E1940=$AT$47,R1940,"")</f>
        <v/>
      </c>
      <c r="AU1940" s="304" t="str">
        <f t="shared" si="1347"/>
        <v/>
      </c>
      <c r="AV1940" s="28"/>
      <c r="AW1940" s="304" t="str">
        <f t="shared" ref="AW1940:AX1959" si="1348">IF($E1940=$AW$83,R1940,"")</f>
        <v/>
      </c>
      <c r="AX1940" s="304" t="str">
        <f t="shared" si="1348"/>
        <v/>
      </c>
      <c r="AY1940" s="28"/>
      <c r="AZ1940" s="304" t="str">
        <f t="shared" ref="AZ1940:BA1959" si="1349">IF($E1940=$AZ$83,R1940,"")</f>
        <v/>
      </c>
      <c r="BA1940" s="304" t="str">
        <f t="shared" si="1349"/>
        <v/>
      </c>
      <c r="BB1940" s="28"/>
      <c r="BC1940" s="304" t="str">
        <f t="shared" ref="BC1940:BD1959" si="1350">IF($E1940=$BC$83,R1940,"")</f>
        <v/>
      </c>
      <c r="BD1940" s="304" t="str">
        <f t="shared" si="1350"/>
        <v/>
      </c>
      <c r="BE1940" s="28"/>
      <c r="BF1940" s="304" t="str">
        <f t="shared" ref="BF1940:BG1959" si="1351">IF($E1940=$BF$83,R1940,"")</f>
        <v/>
      </c>
      <c r="BG1940" s="304" t="str">
        <f t="shared" si="1351"/>
        <v/>
      </c>
      <c r="BH1940" s="28"/>
      <c r="BI1940" s="304" t="str">
        <f t="shared" ref="BI1940:BJ1959" si="1352">IF($E1940=$BI$83,R1940,"")</f>
        <v/>
      </c>
      <c r="BJ1940" s="304" t="str">
        <f t="shared" si="1352"/>
        <v/>
      </c>
      <c r="BK1940" s="28"/>
      <c r="BL1940" s="304" t="str">
        <f t="shared" ref="BL1940:BM1959" si="1353">IF($E1940=$BL$83,R1940,"")</f>
        <v/>
      </c>
      <c r="BM1940" s="304" t="str">
        <f t="shared" si="1353"/>
        <v/>
      </c>
      <c r="BN1940" s="28"/>
      <c r="BO1940" s="304" t="str">
        <f t="shared" ref="BO1940:BP1959" si="1354">IF($E1940=$BO$83,R1940,"")</f>
        <v/>
      </c>
      <c r="BP1940" s="304" t="str">
        <f t="shared" si="1354"/>
        <v/>
      </c>
      <c r="BQ1940" s="28"/>
      <c r="BR1940" s="304" t="str">
        <f t="shared" ref="BR1940:BS1959" si="1355">IF($E1940=$BR$83,R1940,"")</f>
        <v/>
      </c>
      <c r="BS1940" s="304" t="str">
        <f t="shared" si="1355"/>
        <v/>
      </c>
      <c r="BT1940" s="28"/>
      <c r="BU1940" s="304" t="str">
        <f t="shared" ref="BU1940:BV1959" si="1356">IF($E1940=$BU$83,R1940,"")</f>
        <v/>
      </c>
      <c r="BV1940" s="304" t="str">
        <f t="shared" si="1356"/>
        <v/>
      </c>
      <c r="BW1940" s="28"/>
      <c r="BX1940" s="91"/>
    </row>
    <row r="1941" spans="1:76" s="55" customFormat="1" x14ac:dyDescent="0.25">
      <c r="A1941" s="195">
        <v>2</v>
      </c>
      <c r="B1941" s="216" t="str">
        <f t="shared" si="1344"/>
        <v xml:space="preserve">: </v>
      </c>
      <c r="C1941" s="219"/>
      <c r="D1941" s="219"/>
      <c r="E1941" s="219"/>
      <c r="F1941" s="219"/>
      <c r="G1941" s="220"/>
      <c r="H1941" s="221"/>
      <c r="I1941" s="220"/>
      <c r="J1941" s="227"/>
      <c r="K1941" s="227"/>
      <c r="L1941" s="227"/>
      <c r="M1941" s="227"/>
      <c r="N1941" s="227"/>
      <c r="O1941" s="227"/>
      <c r="P1941" s="122"/>
      <c r="Q1941" s="228"/>
      <c r="R1941" s="231" t="str">
        <f t="shared" ref="R1941:R1959" si="1357">IF(Q1941="Y","",IF(AND(L1941="",J1941=""),"",IF(L1941="",J1941,L1941)))</f>
        <v/>
      </c>
      <c r="S1941" s="230" t="str">
        <f t="shared" si="1345"/>
        <v/>
      </c>
      <c r="T1941" s="231" t="str">
        <f>IF(OR(Q1941="Y",IFERROR(R1941&gt;R1960+R1964*$AA$35,0),IFERROR(R1941&lt;R1960-R1964*$AA$35,0)),"",IFERROR(R1941*N1941,""))</f>
        <v/>
      </c>
      <c r="U1941" s="232" t="str">
        <f t="shared" si="1346"/>
        <v/>
      </c>
      <c r="V1941" s="28"/>
      <c r="W1941" s="28"/>
      <c r="Y1941" s="91"/>
      <c r="AO1941" s="91"/>
      <c r="AP1941" s="28"/>
      <c r="AQ1941" s="28"/>
      <c r="AR1941" s="237"/>
      <c r="AS1941" s="28"/>
      <c r="AT1941" s="304" t="str">
        <f t="shared" si="1347"/>
        <v/>
      </c>
      <c r="AU1941" s="304" t="str">
        <f t="shared" si="1347"/>
        <v/>
      </c>
      <c r="AV1941" s="28"/>
      <c r="AW1941" s="304" t="str">
        <f t="shared" si="1348"/>
        <v/>
      </c>
      <c r="AX1941" s="304" t="str">
        <f t="shared" si="1348"/>
        <v/>
      </c>
      <c r="AY1941" s="28"/>
      <c r="AZ1941" s="304" t="str">
        <f t="shared" si="1349"/>
        <v/>
      </c>
      <c r="BA1941" s="304" t="str">
        <f t="shared" si="1349"/>
        <v/>
      </c>
      <c r="BB1941" s="28"/>
      <c r="BC1941" s="304" t="str">
        <f t="shared" si="1350"/>
        <v/>
      </c>
      <c r="BD1941" s="304" t="str">
        <f t="shared" si="1350"/>
        <v/>
      </c>
      <c r="BE1941" s="28"/>
      <c r="BF1941" s="304" t="str">
        <f t="shared" si="1351"/>
        <v/>
      </c>
      <c r="BG1941" s="304" t="str">
        <f t="shared" si="1351"/>
        <v/>
      </c>
      <c r="BH1941" s="28"/>
      <c r="BI1941" s="304" t="str">
        <f t="shared" si="1352"/>
        <v/>
      </c>
      <c r="BJ1941" s="304" t="str">
        <f t="shared" si="1352"/>
        <v/>
      </c>
      <c r="BK1941" s="28"/>
      <c r="BL1941" s="304" t="str">
        <f t="shared" si="1353"/>
        <v/>
      </c>
      <c r="BM1941" s="304" t="str">
        <f t="shared" si="1353"/>
        <v/>
      </c>
      <c r="BN1941" s="28"/>
      <c r="BO1941" s="304" t="str">
        <f t="shared" si="1354"/>
        <v/>
      </c>
      <c r="BP1941" s="304" t="str">
        <f t="shared" si="1354"/>
        <v/>
      </c>
      <c r="BQ1941" s="28"/>
      <c r="BR1941" s="304" t="str">
        <f t="shared" si="1355"/>
        <v/>
      </c>
      <c r="BS1941" s="304" t="str">
        <f t="shared" si="1355"/>
        <v/>
      </c>
      <c r="BT1941" s="28"/>
      <c r="BU1941" s="304" t="str">
        <f t="shared" si="1356"/>
        <v/>
      </c>
      <c r="BV1941" s="304" t="str">
        <f t="shared" si="1356"/>
        <v/>
      </c>
      <c r="BW1941" s="28"/>
      <c r="BX1941" s="91"/>
    </row>
    <row r="1942" spans="1:76" s="55" customFormat="1" x14ac:dyDescent="0.25">
      <c r="A1942" s="195">
        <v>3</v>
      </c>
      <c r="B1942" s="216" t="str">
        <f t="shared" si="1344"/>
        <v xml:space="preserve">: </v>
      </c>
      <c r="C1942" s="221"/>
      <c r="D1942" s="221"/>
      <c r="E1942" s="221"/>
      <c r="F1942" s="221"/>
      <c r="G1942" s="240"/>
      <c r="H1942" s="221"/>
      <c r="I1942" s="240"/>
      <c r="J1942" s="241"/>
      <c r="K1942" s="241"/>
      <c r="L1942" s="227"/>
      <c r="M1942" s="227"/>
      <c r="N1942" s="227"/>
      <c r="O1942" s="227"/>
      <c r="P1942" s="122"/>
      <c r="Q1942" s="228"/>
      <c r="R1942" s="231" t="str">
        <f t="shared" si="1357"/>
        <v/>
      </c>
      <c r="S1942" s="230" t="str">
        <f t="shared" si="1345"/>
        <v/>
      </c>
      <c r="T1942" s="231" t="str">
        <f>IF(OR(Q1942="Y",IFERROR(R1942&gt;R1960+R1964*$AA$35,0),IFERROR(R1942&lt;R1960-R1964*$AA$35,0)),"",IFERROR(R1942*N1942,""))</f>
        <v/>
      </c>
      <c r="U1942" s="232" t="str">
        <f t="shared" si="1346"/>
        <v/>
      </c>
      <c r="V1942" s="28"/>
      <c r="W1942" s="28"/>
      <c r="Y1942" s="91"/>
      <c r="AO1942" s="91"/>
      <c r="AP1942" s="28"/>
      <c r="AQ1942" s="28"/>
      <c r="AR1942" s="237"/>
      <c r="AS1942" s="28"/>
      <c r="AT1942" s="304" t="str">
        <f t="shared" si="1347"/>
        <v/>
      </c>
      <c r="AU1942" s="304" t="str">
        <f t="shared" si="1347"/>
        <v/>
      </c>
      <c r="AV1942" s="28"/>
      <c r="AW1942" s="304" t="str">
        <f t="shared" si="1348"/>
        <v/>
      </c>
      <c r="AX1942" s="304" t="str">
        <f t="shared" si="1348"/>
        <v/>
      </c>
      <c r="AY1942" s="28"/>
      <c r="AZ1942" s="304" t="str">
        <f t="shared" si="1349"/>
        <v/>
      </c>
      <c r="BA1942" s="304" t="str">
        <f t="shared" si="1349"/>
        <v/>
      </c>
      <c r="BB1942" s="28"/>
      <c r="BC1942" s="304" t="str">
        <f t="shared" si="1350"/>
        <v/>
      </c>
      <c r="BD1942" s="304" t="str">
        <f t="shared" si="1350"/>
        <v/>
      </c>
      <c r="BE1942" s="28"/>
      <c r="BF1942" s="304" t="str">
        <f t="shared" si="1351"/>
        <v/>
      </c>
      <c r="BG1942" s="304" t="str">
        <f t="shared" si="1351"/>
        <v/>
      </c>
      <c r="BH1942" s="28"/>
      <c r="BI1942" s="304" t="str">
        <f t="shared" si="1352"/>
        <v/>
      </c>
      <c r="BJ1942" s="304" t="str">
        <f t="shared" si="1352"/>
        <v/>
      </c>
      <c r="BK1942" s="28"/>
      <c r="BL1942" s="304" t="str">
        <f t="shared" si="1353"/>
        <v/>
      </c>
      <c r="BM1942" s="304" t="str">
        <f t="shared" si="1353"/>
        <v/>
      </c>
      <c r="BN1942" s="28"/>
      <c r="BO1942" s="304" t="str">
        <f t="shared" si="1354"/>
        <v/>
      </c>
      <c r="BP1942" s="304" t="str">
        <f t="shared" si="1354"/>
        <v/>
      </c>
      <c r="BQ1942" s="28"/>
      <c r="BR1942" s="304" t="str">
        <f t="shared" si="1355"/>
        <v/>
      </c>
      <c r="BS1942" s="304" t="str">
        <f t="shared" si="1355"/>
        <v/>
      </c>
      <c r="BT1942" s="28"/>
      <c r="BU1942" s="304" t="str">
        <f t="shared" si="1356"/>
        <v/>
      </c>
      <c r="BV1942" s="304" t="str">
        <f t="shared" si="1356"/>
        <v/>
      </c>
      <c r="BW1942" s="28"/>
      <c r="BX1942" s="91"/>
    </row>
    <row r="1943" spans="1:76" s="55" customFormat="1" x14ac:dyDescent="0.25">
      <c r="A1943" s="195">
        <v>4</v>
      </c>
      <c r="B1943" s="216" t="str">
        <f t="shared" si="1344"/>
        <v xml:space="preserve">: </v>
      </c>
      <c r="C1943" s="221"/>
      <c r="D1943" s="221"/>
      <c r="E1943" s="221"/>
      <c r="F1943" s="221"/>
      <c r="G1943" s="240"/>
      <c r="H1943" s="221"/>
      <c r="I1943" s="240"/>
      <c r="J1943" s="241"/>
      <c r="K1943" s="241"/>
      <c r="L1943" s="227"/>
      <c r="M1943" s="227"/>
      <c r="N1943" s="227"/>
      <c r="O1943" s="227"/>
      <c r="P1943" s="122"/>
      <c r="Q1943" s="228"/>
      <c r="R1943" s="231" t="str">
        <f t="shared" si="1357"/>
        <v/>
      </c>
      <c r="S1943" s="230" t="str">
        <f t="shared" si="1345"/>
        <v/>
      </c>
      <c r="T1943" s="231" t="str">
        <f>IF(OR(Q1943="Y",IFERROR(R1943&gt;R1960+R1964*$AA$35,0),IFERROR(R1943&lt;R1960-R1964*$AA$35,0)),"",IFERROR(R1943*N1943,""))</f>
        <v/>
      </c>
      <c r="U1943" s="232" t="str">
        <f t="shared" si="1346"/>
        <v/>
      </c>
      <c r="V1943" s="28"/>
      <c r="W1943" s="28"/>
      <c r="Y1943" s="91"/>
      <c r="AO1943" s="91"/>
      <c r="AP1943" s="28"/>
      <c r="AQ1943" s="28"/>
      <c r="AR1943" s="237"/>
      <c r="AS1943" s="28"/>
      <c r="AT1943" s="304" t="str">
        <f t="shared" si="1347"/>
        <v/>
      </c>
      <c r="AU1943" s="304" t="str">
        <f t="shared" si="1347"/>
        <v/>
      </c>
      <c r="AV1943" s="28"/>
      <c r="AW1943" s="304" t="str">
        <f t="shared" si="1348"/>
        <v/>
      </c>
      <c r="AX1943" s="304" t="str">
        <f t="shared" si="1348"/>
        <v/>
      </c>
      <c r="AY1943" s="28"/>
      <c r="AZ1943" s="304" t="str">
        <f t="shared" si="1349"/>
        <v/>
      </c>
      <c r="BA1943" s="304" t="str">
        <f t="shared" si="1349"/>
        <v/>
      </c>
      <c r="BB1943" s="28"/>
      <c r="BC1943" s="304" t="str">
        <f t="shared" si="1350"/>
        <v/>
      </c>
      <c r="BD1943" s="304" t="str">
        <f t="shared" si="1350"/>
        <v/>
      </c>
      <c r="BE1943" s="28"/>
      <c r="BF1943" s="304" t="str">
        <f t="shared" si="1351"/>
        <v/>
      </c>
      <c r="BG1943" s="304" t="str">
        <f t="shared" si="1351"/>
        <v/>
      </c>
      <c r="BH1943" s="28"/>
      <c r="BI1943" s="304" t="str">
        <f t="shared" si="1352"/>
        <v/>
      </c>
      <c r="BJ1943" s="304" t="str">
        <f t="shared" si="1352"/>
        <v/>
      </c>
      <c r="BK1943" s="28"/>
      <c r="BL1943" s="304" t="str">
        <f t="shared" si="1353"/>
        <v/>
      </c>
      <c r="BM1943" s="304" t="str">
        <f t="shared" si="1353"/>
        <v/>
      </c>
      <c r="BN1943" s="28"/>
      <c r="BO1943" s="304" t="str">
        <f t="shared" si="1354"/>
        <v/>
      </c>
      <c r="BP1943" s="304" t="str">
        <f t="shared" si="1354"/>
        <v/>
      </c>
      <c r="BQ1943" s="28"/>
      <c r="BR1943" s="304" t="str">
        <f t="shared" si="1355"/>
        <v/>
      </c>
      <c r="BS1943" s="304" t="str">
        <f t="shared" si="1355"/>
        <v/>
      </c>
      <c r="BT1943" s="28"/>
      <c r="BU1943" s="304" t="str">
        <f t="shared" si="1356"/>
        <v/>
      </c>
      <c r="BV1943" s="304" t="str">
        <f t="shared" si="1356"/>
        <v/>
      </c>
      <c r="BW1943" s="28"/>
      <c r="BX1943" s="91"/>
    </row>
    <row r="1944" spans="1:76" s="55" customFormat="1" x14ac:dyDescent="0.25">
      <c r="A1944" s="195">
        <v>5</v>
      </c>
      <c r="B1944" s="216" t="str">
        <f t="shared" si="1344"/>
        <v xml:space="preserve">: </v>
      </c>
      <c r="C1944" s="221"/>
      <c r="D1944" s="221"/>
      <c r="E1944" s="221"/>
      <c r="F1944" s="221"/>
      <c r="G1944" s="240"/>
      <c r="H1944" s="221"/>
      <c r="I1944" s="240"/>
      <c r="J1944" s="241"/>
      <c r="K1944" s="241"/>
      <c r="L1944" s="227"/>
      <c r="M1944" s="227"/>
      <c r="N1944" s="227"/>
      <c r="O1944" s="227"/>
      <c r="P1944" s="122"/>
      <c r="Q1944" s="228"/>
      <c r="R1944" s="231" t="str">
        <f t="shared" si="1357"/>
        <v/>
      </c>
      <c r="S1944" s="230" t="str">
        <f t="shared" si="1345"/>
        <v/>
      </c>
      <c r="T1944" s="231" t="str">
        <f>IF(OR(Q1944="Y",IFERROR(R1944&gt;R1960+R1964*$AA$35,0),IFERROR(R1944&lt;R1960-R1964*$AA$35,0)),"",IFERROR(R1944*N1944,""))</f>
        <v/>
      </c>
      <c r="U1944" s="232" t="str">
        <f t="shared" si="1346"/>
        <v/>
      </c>
      <c r="V1944" s="28"/>
      <c r="W1944" s="28"/>
      <c r="Y1944" s="91"/>
      <c r="AO1944" s="91"/>
      <c r="AP1944" s="28"/>
      <c r="AQ1944" s="28"/>
      <c r="AR1944" s="237"/>
      <c r="AS1944" s="28"/>
      <c r="AT1944" s="304" t="str">
        <f t="shared" si="1347"/>
        <v/>
      </c>
      <c r="AU1944" s="304" t="str">
        <f t="shared" si="1347"/>
        <v/>
      </c>
      <c r="AV1944" s="28"/>
      <c r="AW1944" s="304" t="str">
        <f t="shared" si="1348"/>
        <v/>
      </c>
      <c r="AX1944" s="304" t="str">
        <f t="shared" si="1348"/>
        <v/>
      </c>
      <c r="AY1944" s="28"/>
      <c r="AZ1944" s="304" t="str">
        <f t="shared" si="1349"/>
        <v/>
      </c>
      <c r="BA1944" s="304" t="str">
        <f t="shared" si="1349"/>
        <v/>
      </c>
      <c r="BB1944" s="28"/>
      <c r="BC1944" s="304" t="str">
        <f t="shared" si="1350"/>
        <v/>
      </c>
      <c r="BD1944" s="304" t="str">
        <f t="shared" si="1350"/>
        <v/>
      </c>
      <c r="BE1944" s="28"/>
      <c r="BF1944" s="304" t="str">
        <f t="shared" si="1351"/>
        <v/>
      </c>
      <c r="BG1944" s="304" t="str">
        <f t="shared" si="1351"/>
        <v/>
      </c>
      <c r="BH1944" s="28"/>
      <c r="BI1944" s="304" t="str">
        <f t="shared" si="1352"/>
        <v/>
      </c>
      <c r="BJ1944" s="304" t="str">
        <f t="shared" si="1352"/>
        <v/>
      </c>
      <c r="BK1944" s="28"/>
      <c r="BL1944" s="304" t="str">
        <f t="shared" si="1353"/>
        <v/>
      </c>
      <c r="BM1944" s="304" t="str">
        <f t="shared" si="1353"/>
        <v/>
      </c>
      <c r="BN1944" s="28"/>
      <c r="BO1944" s="304" t="str">
        <f t="shared" si="1354"/>
        <v/>
      </c>
      <c r="BP1944" s="304" t="str">
        <f t="shared" si="1354"/>
        <v/>
      </c>
      <c r="BQ1944" s="28"/>
      <c r="BR1944" s="304" t="str">
        <f t="shared" si="1355"/>
        <v/>
      </c>
      <c r="BS1944" s="304" t="str">
        <f t="shared" si="1355"/>
        <v/>
      </c>
      <c r="BT1944" s="28"/>
      <c r="BU1944" s="304" t="str">
        <f t="shared" si="1356"/>
        <v/>
      </c>
      <c r="BV1944" s="304" t="str">
        <f t="shared" si="1356"/>
        <v/>
      </c>
      <c r="BW1944" s="28"/>
      <c r="BX1944" s="91"/>
    </row>
    <row r="1945" spans="1:76" s="55" customFormat="1" x14ac:dyDescent="0.25">
      <c r="A1945" s="195">
        <v>6</v>
      </c>
      <c r="B1945" s="216" t="str">
        <f t="shared" si="1344"/>
        <v xml:space="preserve">: </v>
      </c>
      <c r="C1945" s="221"/>
      <c r="D1945" s="221"/>
      <c r="E1945" s="221"/>
      <c r="F1945" s="221"/>
      <c r="G1945" s="240"/>
      <c r="H1945" s="221"/>
      <c r="I1945" s="240"/>
      <c r="J1945" s="241"/>
      <c r="K1945" s="241"/>
      <c r="L1945" s="227"/>
      <c r="M1945" s="227"/>
      <c r="N1945" s="227"/>
      <c r="O1945" s="227"/>
      <c r="P1945" s="122"/>
      <c r="Q1945" s="228"/>
      <c r="R1945" s="231" t="str">
        <f t="shared" si="1357"/>
        <v/>
      </c>
      <c r="S1945" s="230" t="str">
        <f t="shared" si="1345"/>
        <v/>
      </c>
      <c r="T1945" s="231" t="str">
        <f>IF(OR(Q1945="Y",IFERROR(R1945&gt;R1960+R1964*$AA$35,0),IFERROR(R1945&lt;R1960-R1964*$AA$35,0)),"",IFERROR(R1945*N1945,""))</f>
        <v/>
      </c>
      <c r="U1945" s="232" t="str">
        <f t="shared" si="1346"/>
        <v/>
      </c>
      <c r="V1945" s="28"/>
      <c r="W1945" s="28"/>
      <c r="Y1945" s="91"/>
      <c r="AO1945" s="91"/>
      <c r="AP1945" s="28"/>
      <c r="AQ1945" s="28"/>
      <c r="AR1945" s="237"/>
      <c r="AS1945" s="28"/>
      <c r="AT1945" s="304" t="str">
        <f t="shared" si="1347"/>
        <v/>
      </c>
      <c r="AU1945" s="304" t="str">
        <f t="shared" si="1347"/>
        <v/>
      </c>
      <c r="AV1945" s="28"/>
      <c r="AW1945" s="304" t="str">
        <f t="shared" si="1348"/>
        <v/>
      </c>
      <c r="AX1945" s="304" t="str">
        <f t="shared" si="1348"/>
        <v/>
      </c>
      <c r="AY1945" s="28"/>
      <c r="AZ1945" s="304" t="str">
        <f t="shared" si="1349"/>
        <v/>
      </c>
      <c r="BA1945" s="304" t="str">
        <f t="shared" si="1349"/>
        <v/>
      </c>
      <c r="BB1945" s="28"/>
      <c r="BC1945" s="304" t="str">
        <f t="shared" si="1350"/>
        <v/>
      </c>
      <c r="BD1945" s="304" t="str">
        <f t="shared" si="1350"/>
        <v/>
      </c>
      <c r="BE1945" s="28"/>
      <c r="BF1945" s="304" t="str">
        <f t="shared" si="1351"/>
        <v/>
      </c>
      <c r="BG1945" s="304" t="str">
        <f t="shared" si="1351"/>
        <v/>
      </c>
      <c r="BH1945" s="28"/>
      <c r="BI1945" s="304" t="str">
        <f t="shared" si="1352"/>
        <v/>
      </c>
      <c r="BJ1945" s="304" t="str">
        <f t="shared" si="1352"/>
        <v/>
      </c>
      <c r="BK1945" s="28"/>
      <c r="BL1945" s="304" t="str">
        <f t="shared" si="1353"/>
        <v/>
      </c>
      <c r="BM1945" s="304" t="str">
        <f t="shared" si="1353"/>
        <v/>
      </c>
      <c r="BN1945" s="28"/>
      <c r="BO1945" s="304" t="str">
        <f t="shared" si="1354"/>
        <v/>
      </c>
      <c r="BP1945" s="304" t="str">
        <f t="shared" si="1354"/>
        <v/>
      </c>
      <c r="BQ1945" s="28"/>
      <c r="BR1945" s="304" t="str">
        <f t="shared" si="1355"/>
        <v/>
      </c>
      <c r="BS1945" s="304" t="str">
        <f t="shared" si="1355"/>
        <v/>
      </c>
      <c r="BT1945" s="28"/>
      <c r="BU1945" s="304" t="str">
        <f t="shared" si="1356"/>
        <v/>
      </c>
      <c r="BV1945" s="304" t="str">
        <f t="shared" si="1356"/>
        <v/>
      </c>
      <c r="BW1945" s="28"/>
      <c r="BX1945" s="91"/>
    </row>
    <row r="1946" spans="1:76" s="55" customFormat="1" x14ac:dyDescent="0.25">
      <c r="A1946" s="195">
        <v>7</v>
      </c>
      <c r="B1946" s="216" t="str">
        <f t="shared" si="1344"/>
        <v xml:space="preserve">: </v>
      </c>
      <c r="C1946" s="221"/>
      <c r="D1946" s="221"/>
      <c r="E1946" s="221"/>
      <c r="F1946" s="221"/>
      <c r="G1946" s="240"/>
      <c r="H1946" s="221"/>
      <c r="I1946" s="240"/>
      <c r="J1946" s="241"/>
      <c r="K1946" s="241"/>
      <c r="L1946" s="227"/>
      <c r="M1946" s="227"/>
      <c r="N1946" s="227"/>
      <c r="O1946" s="227"/>
      <c r="P1946" s="122"/>
      <c r="Q1946" s="228"/>
      <c r="R1946" s="231" t="str">
        <f t="shared" si="1357"/>
        <v/>
      </c>
      <c r="S1946" s="230" t="str">
        <f t="shared" si="1345"/>
        <v/>
      </c>
      <c r="T1946" s="231" t="str">
        <f>IF(OR(Q1946="Y",IFERROR(R1946&gt;R1960+R1964*$AA$35,0),IFERROR(R1946&lt;R1960-R1964*$AA$35,0)),"",IFERROR(R1946*N1946,""))</f>
        <v/>
      </c>
      <c r="U1946" s="232" t="str">
        <f t="shared" si="1346"/>
        <v/>
      </c>
      <c r="V1946" s="28"/>
      <c r="W1946" s="28"/>
      <c r="Y1946" s="91"/>
      <c r="AO1946" s="91"/>
      <c r="AP1946" s="28"/>
      <c r="AQ1946" s="28"/>
      <c r="AR1946" s="237"/>
      <c r="AS1946" s="28"/>
      <c r="AT1946" s="304" t="str">
        <f t="shared" si="1347"/>
        <v/>
      </c>
      <c r="AU1946" s="304" t="str">
        <f t="shared" si="1347"/>
        <v/>
      </c>
      <c r="AV1946" s="28"/>
      <c r="AW1946" s="304" t="str">
        <f t="shared" si="1348"/>
        <v/>
      </c>
      <c r="AX1946" s="304" t="str">
        <f t="shared" si="1348"/>
        <v/>
      </c>
      <c r="AY1946" s="28"/>
      <c r="AZ1946" s="304" t="str">
        <f t="shared" si="1349"/>
        <v/>
      </c>
      <c r="BA1946" s="304" t="str">
        <f t="shared" si="1349"/>
        <v/>
      </c>
      <c r="BB1946" s="28"/>
      <c r="BC1946" s="304" t="str">
        <f t="shared" si="1350"/>
        <v/>
      </c>
      <c r="BD1946" s="304" t="str">
        <f t="shared" si="1350"/>
        <v/>
      </c>
      <c r="BE1946" s="28"/>
      <c r="BF1946" s="304" t="str">
        <f t="shared" si="1351"/>
        <v/>
      </c>
      <c r="BG1946" s="304" t="str">
        <f t="shared" si="1351"/>
        <v/>
      </c>
      <c r="BH1946" s="28"/>
      <c r="BI1946" s="304" t="str">
        <f t="shared" si="1352"/>
        <v/>
      </c>
      <c r="BJ1946" s="304" t="str">
        <f t="shared" si="1352"/>
        <v/>
      </c>
      <c r="BK1946" s="28"/>
      <c r="BL1946" s="304" t="str">
        <f t="shared" si="1353"/>
        <v/>
      </c>
      <c r="BM1946" s="304" t="str">
        <f t="shared" si="1353"/>
        <v/>
      </c>
      <c r="BN1946" s="28"/>
      <c r="BO1946" s="304" t="str">
        <f t="shared" si="1354"/>
        <v/>
      </c>
      <c r="BP1946" s="304" t="str">
        <f t="shared" si="1354"/>
        <v/>
      </c>
      <c r="BQ1946" s="28"/>
      <c r="BR1946" s="304" t="str">
        <f t="shared" si="1355"/>
        <v/>
      </c>
      <c r="BS1946" s="304" t="str">
        <f t="shared" si="1355"/>
        <v/>
      </c>
      <c r="BT1946" s="28"/>
      <c r="BU1946" s="304" t="str">
        <f t="shared" si="1356"/>
        <v/>
      </c>
      <c r="BV1946" s="304" t="str">
        <f t="shared" si="1356"/>
        <v/>
      </c>
      <c r="BW1946" s="28"/>
      <c r="BX1946" s="91"/>
    </row>
    <row r="1947" spans="1:76" s="55" customFormat="1" x14ac:dyDescent="0.25">
      <c r="A1947" s="195">
        <v>8</v>
      </c>
      <c r="B1947" s="216" t="str">
        <f t="shared" si="1344"/>
        <v xml:space="preserve">: </v>
      </c>
      <c r="C1947" s="221"/>
      <c r="D1947" s="221"/>
      <c r="E1947" s="221"/>
      <c r="F1947" s="221"/>
      <c r="G1947" s="240"/>
      <c r="H1947" s="221"/>
      <c r="I1947" s="240"/>
      <c r="J1947" s="241"/>
      <c r="K1947" s="241"/>
      <c r="L1947" s="227"/>
      <c r="M1947" s="227"/>
      <c r="N1947" s="227"/>
      <c r="O1947" s="227"/>
      <c r="P1947" s="122"/>
      <c r="Q1947" s="228"/>
      <c r="R1947" s="231" t="str">
        <f t="shared" si="1357"/>
        <v/>
      </c>
      <c r="S1947" s="230" t="str">
        <f t="shared" si="1345"/>
        <v/>
      </c>
      <c r="T1947" s="231" t="str">
        <f>IF(OR(Q1947="Y",IFERROR(R1947&gt;R1960+R1964*$AA$35,0),IFERROR(R1947&lt;R1960-R1964*$AA$35,0)),"",IFERROR(R1947*N1947,""))</f>
        <v/>
      </c>
      <c r="U1947" s="232" t="str">
        <f t="shared" si="1346"/>
        <v/>
      </c>
      <c r="V1947" s="28"/>
      <c r="W1947" s="28"/>
      <c r="Y1947" s="91"/>
      <c r="AO1947" s="91"/>
      <c r="AP1947" s="28"/>
      <c r="AQ1947" s="28"/>
      <c r="AR1947" s="237"/>
      <c r="AS1947" s="28"/>
      <c r="AT1947" s="304" t="str">
        <f t="shared" si="1347"/>
        <v/>
      </c>
      <c r="AU1947" s="304" t="str">
        <f t="shared" si="1347"/>
        <v/>
      </c>
      <c r="AV1947" s="28"/>
      <c r="AW1947" s="304" t="str">
        <f t="shared" si="1348"/>
        <v/>
      </c>
      <c r="AX1947" s="304" t="str">
        <f t="shared" si="1348"/>
        <v/>
      </c>
      <c r="AY1947" s="28"/>
      <c r="AZ1947" s="304" t="str">
        <f t="shared" si="1349"/>
        <v/>
      </c>
      <c r="BA1947" s="304" t="str">
        <f t="shared" si="1349"/>
        <v/>
      </c>
      <c r="BB1947" s="28"/>
      <c r="BC1947" s="304" t="str">
        <f t="shared" si="1350"/>
        <v/>
      </c>
      <c r="BD1947" s="304" t="str">
        <f t="shared" si="1350"/>
        <v/>
      </c>
      <c r="BE1947" s="28"/>
      <c r="BF1947" s="304" t="str">
        <f t="shared" si="1351"/>
        <v/>
      </c>
      <c r="BG1947" s="304" t="str">
        <f t="shared" si="1351"/>
        <v/>
      </c>
      <c r="BH1947" s="28"/>
      <c r="BI1947" s="304" t="str">
        <f t="shared" si="1352"/>
        <v/>
      </c>
      <c r="BJ1947" s="304" t="str">
        <f t="shared" si="1352"/>
        <v/>
      </c>
      <c r="BK1947" s="28"/>
      <c r="BL1947" s="304" t="str">
        <f t="shared" si="1353"/>
        <v/>
      </c>
      <c r="BM1947" s="304" t="str">
        <f t="shared" si="1353"/>
        <v/>
      </c>
      <c r="BN1947" s="28"/>
      <c r="BO1947" s="304" t="str">
        <f t="shared" si="1354"/>
        <v/>
      </c>
      <c r="BP1947" s="304" t="str">
        <f t="shared" si="1354"/>
        <v/>
      </c>
      <c r="BQ1947" s="28"/>
      <c r="BR1947" s="304" t="str">
        <f t="shared" si="1355"/>
        <v/>
      </c>
      <c r="BS1947" s="304" t="str">
        <f t="shared" si="1355"/>
        <v/>
      </c>
      <c r="BT1947" s="28"/>
      <c r="BU1947" s="304" t="str">
        <f t="shared" si="1356"/>
        <v/>
      </c>
      <c r="BV1947" s="304" t="str">
        <f t="shared" si="1356"/>
        <v/>
      </c>
      <c r="BW1947" s="28"/>
      <c r="BX1947" s="91"/>
    </row>
    <row r="1948" spans="1:76" s="55" customFormat="1" x14ac:dyDescent="0.25">
      <c r="A1948" s="195">
        <v>9</v>
      </c>
      <c r="B1948" s="216" t="str">
        <f t="shared" si="1344"/>
        <v xml:space="preserve">: </v>
      </c>
      <c r="C1948" s="221"/>
      <c r="D1948" s="221"/>
      <c r="E1948" s="221"/>
      <c r="F1948" s="221"/>
      <c r="G1948" s="240"/>
      <c r="H1948" s="221"/>
      <c r="I1948" s="240"/>
      <c r="J1948" s="241"/>
      <c r="K1948" s="241"/>
      <c r="L1948" s="227"/>
      <c r="M1948" s="227"/>
      <c r="N1948" s="227"/>
      <c r="O1948" s="227"/>
      <c r="P1948" s="122"/>
      <c r="Q1948" s="228"/>
      <c r="R1948" s="231" t="str">
        <f t="shared" si="1357"/>
        <v/>
      </c>
      <c r="S1948" s="230" t="str">
        <f t="shared" si="1345"/>
        <v/>
      </c>
      <c r="T1948" s="231" t="str">
        <f>IF(OR(Q1948="Y",IFERROR(R1948&gt;R1960+R1964*$AA$35,0),IFERROR(R1948&lt;R1960-R1964*$AA$35,0)),"",IFERROR(R1948*N1948,""))</f>
        <v/>
      </c>
      <c r="U1948" s="232" t="str">
        <f t="shared" si="1346"/>
        <v/>
      </c>
      <c r="V1948" s="28"/>
      <c r="W1948" s="28"/>
      <c r="Y1948" s="91"/>
      <c r="AO1948" s="91"/>
      <c r="AP1948" s="28"/>
      <c r="AQ1948" s="28"/>
      <c r="AR1948" s="237"/>
      <c r="AS1948" s="28"/>
      <c r="AT1948" s="304" t="str">
        <f t="shared" si="1347"/>
        <v/>
      </c>
      <c r="AU1948" s="304" t="str">
        <f t="shared" si="1347"/>
        <v/>
      </c>
      <c r="AV1948" s="28"/>
      <c r="AW1948" s="304" t="str">
        <f t="shared" si="1348"/>
        <v/>
      </c>
      <c r="AX1948" s="304" t="str">
        <f t="shared" si="1348"/>
        <v/>
      </c>
      <c r="AY1948" s="28"/>
      <c r="AZ1948" s="304" t="str">
        <f t="shared" si="1349"/>
        <v/>
      </c>
      <c r="BA1948" s="304" t="str">
        <f t="shared" si="1349"/>
        <v/>
      </c>
      <c r="BB1948" s="28"/>
      <c r="BC1948" s="304" t="str">
        <f t="shared" si="1350"/>
        <v/>
      </c>
      <c r="BD1948" s="304" t="str">
        <f t="shared" si="1350"/>
        <v/>
      </c>
      <c r="BE1948" s="28"/>
      <c r="BF1948" s="304" t="str">
        <f t="shared" si="1351"/>
        <v/>
      </c>
      <c r="BG1948" s="304" t="str">
        <f t="shared" si="1351"/>
        <v/>
      </c>
      <c r="BH1948" s="28"/>
      <c r="BI1948" s="304" t="str">
        <f t="shared" si="1352"/>
        <v/>
      </c>
      <c r="BJ1948" s="304" t="str">
        <f t="shared" si="1352"/>
        <v/>
      </c>
      <c r="BK1948" s="28"/>
      <c r="BL1948" s="304" t="str">
        <f t="shared" si="1353"/>
        <v/>
      </c>
      <c r="BM1948" s="304" t="str">
        <f t="shared" si="1353"/>
        <v/>
      </c>
      <c r="BN1948" s="28"/>
      <c r="BO1948" s="304" t="str">
        <f t="shared" si="1354"/>
        <v/>
      </c>
      <c r="BP1948" s="304" t="str">
        <f t="shared" si="1354"/>
        <v/>
      </c>
      <c r="BQ1948" s="28"/>
      <c r="BR1948" s="304" t="str">
        <f t="shared" si="1355"/>
        <v/>
      </c>
      <c r="BS1948" s="304" t="str">
        <f t="shared" si="1355"/>
        <v/>
      </c>
      <c r="BT1948" s="28"/>
      <c r="BU1948" s="304" t="str">
        <f t="shared" si="1356"/>
        <v/>
      </c>
      <c r="BV1948" s="304" t="str">
        <f t="shared" si="1356"/>
        <v/>
      </c>
      <c r="BW1948" s="28"/>
      <c r="BX1948" s="91"/>
    </row>
    <row r="1949" spans="1:76" s="55" customFormat="1" x14ac:dyDescent="0.25">
      <c r="A1949" s="195">
        <v>10</v>
      </c>
      <c r="B1949" s="216" t="str">
        <f t="shared" si="1344"/>
        <v xml:space="preserve">: </v>
      </c>
      <c r="C1949" s="221"/>
      <c r="D1949" s="221"/>
      <c r="E1949" s="221"/>
      <c r="F1949" s="221"/>
      <c r="G1949" s="240"/>
      <c r="H1949" s="221"/>
      <c r="I1949" s="240"/>
      <c r="J1949" s="241"/>
      <c r="K1949" s="241"/>
      <c r="L1949" s="227"/>
      <c r="M1949" s="227"/>
      <c r="N1949" s="227"/>
      <c r="O1949" s="227"/>
      <c r="P1949" s="122"/>
      <c r="Q1949" s="228"/>
      <c r="R1949" s="231" t="str">
        <f t="shared" si="1357"/>
        <v/>
      </c>
      <c r="S1949" s="230" t="str">
        <f t="shared" si="1345"/>
        <v/>
      </c>
      <c r="T1949" s="231" t="str">
        <f>IF(OR(Q1949="Y",IFERROR(R1949&gt;R1960+R1964*$AA$35,0),IFERROR(R1949&lt;R1960-R1964*$AA$35,0)),"",IFERROR(R1949*N1949,""))</f>
        <v/>
      </c>
      <c r="U1949" s="232" t="str">
        <f t="shared" si="1346"/>
        <v/>
      </c>
      <c r="V1949" s="28"/>
      <c r="W1949" s="28"/>
      <c r="Y1949" s="91"/>
      <c r="AO1949" s="91"/>
      <c r="AP1949" s="28"/>
      <c r="AQ1949" s="28"/>
      <c r="AR1949" s="237"/>
      <c r="AS1949" s="28"/>
      <c r="AT1949" s="304" t="str">
        <f t="shared" si="1347"/>
        <v/>
      </c>
      <c r="AU1949" s="304" t="str">
        <f t="shared" si="1347"/>
        <v/>
      </c>
      <c r="AV1949" s="28"/>
      <c r="AW1949" s="304" t="str">
        <f t="shared" si="1348"/>
        <v/>
      </c>
      <c r="AX1949" s="304" t="str">
        <f t="shared" si="1348"/>
        <v/>
      </c>
      <c r="AY1949" s="28"/>
      <c r="AZ1949" s="304" t="str">
        <f t="shared" si="1349"/>
        <v/>
      </c>
      <c r="BA1949" s="304" t="str">
        <f t="shared" si="1349"/>
        <v/>
      </c>
      <c r="BB1949" s="28"/>
      <c r="BC1949" s="304" t="str">
        <f t="shared" si="1350"/>
        <v/>
      </c>
      <c r="BD1949" s="304" t="str">
        <f t="shared" si="1350"/>
        <v/>
      </c>
      <c r="BE1949" s="28"/>
      <c r="BF1949" s="304" t="str">
        <f t="shared" si="1351"/>
        <v/>
      </c>
      <c r="BG1949" s="304" t="str">
        <f t="shared" si="1351"/>
        <v/>
      </c>
      <c r="BH1949" s="28"/>
      <c r="BI1949" s="304" t="str">
        <f t="shared" si="1352"/>
        <v/>
      </c>
      <c r="BJ1949" s="304" t="str">
        <f t="shared" si="1352"/>
        <v/>
      </c>
      <c r="BK1949" s="28"/>
      <c r="BL1949" s="304" t="str">
        <f t="shared" si="1353"/>
        <v/>
      </c>
      <c r="BM1949" s="304" t="str">
        <f t="shared" si="1353"/>
        <v/>
      </c>
      <c r="BN1949" s="28"/>
      <c r="BO1949" s="304" t="str">
        <f t="shared" si="1354"/>
        <v/>
      </c>
      <c r="BP1949" s="304" t="str">
        <f t="shared" si="1354"/>
        <v/>
      </c>
      <c r="BQ1949" s="28"/>
      <c r="BR1949" s="304" t="str">
        <f t="shared" si="1355"/>
        <v/>
      </c>
      <c r="BS1949" s="304" t="str">
        <f t="shared" si="1355"/>
        <v/>
      </c>
      <c r="BT1949" s="28"/>
      <c r="BU1949" s="304" t="str">
        <f t="shared" si="1356"/>
        <v/>
      </c>
      <c r="BV1949" s="304" t="str">
        <f t="shared" si="1356"/>
        <v/>
      </c>
      <c r="BW1949" s="28"/>
      <c r="BX1949" s="91"/>
    </row>
    <row r="1950" spans="1:76" s="55" customFormat="1" x14ac:dyDescent="0.25">
      <c r="A1950" s="195">
        <v>11</v>
      </c>
      <c r="B1950" s="216" t="str">
        <f t="shared" si="1344"/>
        <v xml:space="preserve">: </v>
      </c>
      <c r="C1950" s="221"/>
      <c r="D1950" s="221"/>
      <c r="E1950" s="221"/>
      <c r="F1950" s="221"/>
      <c r="G1950" s="240"/>
      <c r="H1950" s="221"/>
      <c r="I1950" s="240"/>
      <c r="J1950" s="241"/>
      <c r="K1950" s="241"/>
      <c r="L1950" s="227"/>
      <c r="M1950" s="227"/>
      <c r="N1950" s="227"/>
      <c r="O1950" s="227"/>
      <c r="P1950" s="122"/>
      <c r="Q1950" s="228"/>
      <c r="R1950" s="231" t="str">
        <f t="shared" si="1357"/>
        <v/>
      </c>
      <c r="S1950" s="230" t="str">
        <f t="shared" si="1345"/>
        <v/>
      </c>
      <c r="T1950" s="231" t="str">
        <f>IF(OR(Q1950="Y",IFERROR(R1950&gt;R1960+R1964*$AA$35,0),IFERROR(R1950&lt;R1960-R1964*$AA$35,0)),"",IFERROR(R1950*N1950,""))</f>
        <v/>
      </c>
      <c r="U1950" s="232" t="str">
        <f t="shared" si="1346"/>
        <v/>
      </c>
      <c r="V1950" s="28"/>
      <c r="W1950" s="28"/>
      <c r="Y1950" s="91"/>
      <c r="AO1950" s="91"/>
      <c r="AP1950" s="28"/>
      <c r="AQ1950" s="28"/>
      <c r="AR1950" s="237"/>
      <c r="AS1950" s="28"/>
      <c r="AT1950" s="304" t="str">
        <f t="shared" si="1347"/>
        <v/>
      </c>
      <c r="AU1950" s="304" t="str">
        <f t="shared" si="1347"/>
        <v/>
      </c>
      <c r="AV1950" s="28"/>
      <c r="AW1950" s="304" t="str">
        <f t="shared" si="1348"/>
        <v/>
      </c>
      <c r="AX1950" s="304" t="str">
        <f t="shared" si="1348"/>
        <v/>
      </c>
      <c r="AY1950" s="28"/>
      <c r="AZ1950" s="304" t="str">
        <f t="shared" si="1349"/>
        <v/>
      </c>
      <c r="BA1950" s="304" t="str">
        <f t="shared" si="1349"/>
        <v/>
      </c>
      <c r="BB1950" s="28"/>
      <c r="BC1950" s="304" t="str">
        <f t="shared" si="1350"/>
        <v/>
      </c>
      <c r="BD1950" s="304" t="str">
        <f t="shared" si="1350"/>
        <v/>
      </c>
      <c r="BE1950" s="28"/>
      <c r="BF1950" s="304" t="str">
        <f t="shared" si="1351"/>
        <v/>
      </c>
      <c r="BG1950" s="304" t="str">
        <f t="shared" si="1351"/>
        <v/>
      </c>
      <c r="BH1950" s="28"/>
      <c r="BI1950" s="304" t="str">
        <f t="shared" si="1352"/>
        <v/>
      </c>
      <c r="BJ1950" s="304" t="str">
        <f t="shared" si="1352"/>
        <v/>
      </c>
      <c r="BK1950" s="28"/>
      <c r="BL1950" s="304" t="str">
        <f t="shared" si="1353"/>
        <v/>
      </c>
      <c r="BM1950" s="304" t="str">
        <f t="shared" si="1353"/>
        <v/>
      </c>
      <c r="BN1950" s="28"/>
      <c r="BO1950" s="304" t="str">
        <f t="shared" si="1354"/>
        <v/>
      </c>
      <c r="BP1950" s="304" t="str">
        <f t="shared" si="1354"/>
        <v/>
      </c>
      <c r="BQ1950" s="28"/>
      <c r="BR1950" s="304" t="str">
        <f t="shared" si="1355"/>
        <v/>
      </c>
      <c r="BS1950" s="304" t="str">
        <f t="shared" si="1355"/>
        <v/>
      </c>
      <c r="BT1950" s="28"/>
      <c r="BU1950" s="304" t="str">
        <f t="shared" si="1356"/>
        <v/>
      </c>
      <c r="BV1950" s="304" t="str">
        <f t="shared" si="1356"/>
        <v/>
      </c>
      <c r="BW1950" s="28"/>
      <c r="BX1950" s="91"/>
    </row>
    <row r="1951" spans="1:76" s="55" customFormat="1" x14ac:dyDescent="0.25">
      <c r="A1951" s="195">
        <v>12</v>
      </c>
      <c r="B1951" s="216" t="str">
        <f t="shared" si="1344"/>
        <v xml:space="preserve">: </v>
      </c>
      <c r="C1951" s="221"/>
      <c r="D1951" s="221"/>
      <c r="E1951" s="221"/>
      <c r="F1951" s="221"/>
      <c r="G1951" s="240"/>
      <c r="H1951" s="221"/>
      <c r="I1951" s="240"/>
      <c r="J1951" s="241"/>
      <c r="K1951" s="241"/>
      <c r="L1951" s="227"/>
      <c r="M1951" s="227"/>
      <c r="N1951" s="227"/>
      <c r="O1951" s="227"/>
      <c r="P1951" s="122"/>
      <c r="Q1951" s="228"/>
      <c r="R1951" s="231" t="str">
        <f t="shared" si="1357"/>
        <v/>
      </c>
      <c r="S1951" s="230" t="str">
        <f t="shared" si="1345"/>
        <v/>
      </c>
      <c r="T1951" s="231" t="str">
        <f>IF(OR(Q1951="Y",IFERROR(R1951&gt;R1960+R1964*$AA$35,0),IFERROR(R1951&lt;R1960-R1964*$AA$35,0)),"",IFERROR(R1951*N1951,""))</f>
        <v/>
      </c>
      <c r="U1951" s="232" t="str">
        <f t="shared" si="1346"/>
        <v/>
      </c>
      <c r="V1951" s="28"/>
      <c r="W1951" s="28"/>
      <c r="Y1951" s="91"/>
      <c r="AO1951" s="91"/>
      <c r="AP1951" s="28"/>
      <c r="AQ1951" s="28"/>
      <c r="AR1951" s="237"/>
      <c r="AS1951" s="28"/>
      <c r="AT1951" s="304" t="str">
        <f t="shared" si="1347"/>
        <v/>
      </c>
      <c r="AU1951" s="304" t="str">
        <f t="shared" si="1347"/>
        <v/>
      </c>
      <c r="AV1951" s="28"/>
      <c r="AW1951" s="304" t="str">
        <f t="shared" si="1348"/>
        <v/>
      </c>
      <c r="AX1951" s="304" t="str">
        <f t="shared" si="1348"/>
        <v/>
      </c>
      <c r="AY1951" s="28"/>
      <c r="AZ1951" s="304" t="str">
        <f t="shared" si="1349"/>
        <v/>
      </c>
      <c r="BA1951" s="304" t="str">
        <f t="shared" si="1349"/>
        <v/>
      </c>
      <c r="BB1951" s="28"/>
      <c r="BC1951" s="304" t="str">
        <f t="shared" si="1350"/>
        <v/>
      </c>
      <c r="BD1951" s="304" t="str">
        <f t="shared" si="1350"/>
        <v/>
      </c>
      <c r="BE1951" s="28"/>
      <c r="BF1951" s="304" t="str">
        <f t="shared" si="1351"/>
        <v/>
      </c>
      <c r="BG1951" s="304" t="str">
        <f t="shared" si="1351"/>
        <v/>
      </c>
      <c r="BH1951" s="28"/>
      <c r="BI1951" s="304" t="str">
        <f t="shared" si="1352"/>
        <v/>
      </c>
      <c r="BJ1951" s="304" t="str">
        <f t="shared" si="1352"/>
        <v/>
      </c>
      <c r="BK1951" s="28"/>
      <c r="BL1951" s="304" t="str">
        <f t="shared" si="1353"/>
        <v/>
      </c>
      <c r="BM1951" s="304" t="str">
        <f t="shared" si="1353"/>
        <v/>
      </c>
      <c r="BN1951" s="28"/>
      <c r="BO1951" s="304" t="str">
        <f t="shared" si="1354"/>
        <v/>
      </c>
      <c r="BP1951" s="304" t="str">
        <f t="shared" si="1354"/>
        <v/>
      </c>
      <c r="BQ1951" s="28"/>
      <c r="BR1951" s="304" t="str">
        <f t="shared" si="1355"/>
        <v/>
      </c>
      <c r="BS1951" s="304" t="str">
        <f t="shared" si="1355"/>
        <v/>
      </c>
      <c r="BT1951" s="28"/>
      <c r="BU1951" s="304" t="str">
        <f t="shared" si="1356"/>
        <v/>
      </c>
      <c r="BV1951" s="304" t="str">
        <f t="shared" si="1356"/>
        <v/>
      </c>
      <c r="BW1951" s="28"/>
      <c r="BX1951" s="91"/>
    </row>
    <row r="1952" spans="1:76" s="55" customFormat="1" x14ac:dyDescent="0.25">
      <c r="A1952" s="195">
        <v>13</v>
      </c>
      <c r="B1952" s="216" t="str">
        <f t="shared" si="1344"/>
        <v xml:space="preserve">: </v>
      </c>
      <c r="C1952" s="221"/>
      <c r="D1952" s="221"/>
      <c r="E1952" s="221"/>
      <c r="F1952" s="221"/>
      <c r="G1952" s="240"/>
      <c r="H1952" s="221"/>
      <c r="I1952" s="240"/>
      <c r="J1952" s="241"/>
      <c r="K1952" s="241"/>
      <c r="L1952" s="227"/>
      <c r="M1952" s="227"/>
      <c r="N1952" s="227"/>
      <c r="O1952" s="227"/>
      <c r="P1952" s="122"/>
      <c r="Q1952" s="228"/>
      <c r="R1952" s="231" t="str">
        <f t="shared" si="1357"/>
        <v/>
      </c>
      <c r="S1952" s="230" t="str">
        <f t="shared" si="1345"/>
        <v/>
      </c>
      <c r="T1952" s="231" t="str">
        <f>IF(OR(Q1952="Y",IFERROR(R1952&gt;R1960+R1964*$AA$35,0),IFERROR(R1952&lt;R1960-R1964*$AA$35,0)),"",IFERROR(R1952*N1952,""))</f>
        <v/>
      </c>
      <c r="U1952" s="232" t="str">
        <f t="shared" si="1346"/>
        <v/>
      </c>
      <c r="V1952" s="28"/>
      <c r="W1952" s="28"/>
      <c r="Y1952" s="91"/>
      <c r="AO1952" s="91"/>
      <c r="AP1952" s="28"/>
      <c r="AQ1952" s="28"/>
      <c r="AR1952" s="237"/>
      <c r="AS1952" s="28"/>
      <c r="AT1952" s="304" t="str">
        <f t="shared" si="1347"/>
        <v/>
      </c>
      <c r="AU1952" s="304" t="str">
        <f t="shared" si="1347"/>
        <v/>
      </c>
      <c r="AV1952" s="28"/>
      <c r="AW1952" s="304" t="str">
        <f t="shared" si="1348"/>
        <v/>
      </c>
      <c r="AX1952" s="304" t="str">
        <f t="shared" si="1348"/>
        <v/>
      </c>
      <c r="AY1952" s="28"/>
      <c r="AZ1952" s="304" t="str">
        <f t="shared" si="1349"/>
        <v/>
      </c>
      <c r="BA1952" s="304" t="str">
        <f t="shared" si="1349"/>
        <v/>
      </c>
      <c r="BB1952" s="28"/>
      <c r="BC1952" s="304" t="str">
        <f t="shared" si="1350"/>
        <v/>
      </c>
      <c r="BD1952" s="304" t="str">
        <f t="shared" si="1350"/>
        <v/>
      </c>
      <c r="BE1952" s="28"/>
      <c r="BF1952" s="304" t="str">
        <f t="shared" si="1351"/>
        <v/>
      </c>
      <c r="BG1952" s="304" t="str">
        <f t="shared" si="1351"/>
        <v/>
      </c>
      <c r="BH1952" s="28"/>
      <c r="BI1952" s="304" t="str">
        <f t="shared" si="1352"/>
        <v/>
      </c>
      <c r="BJ1952" s="304" t="str">
        <f t="shared" si="1352"/>
        <v/>
      </c>
      <c r="BK1952" s="28"/>
      <c r="BL1952" s="304" t="str">
        <f t="shared" si="1353"/>
        <v/>
      </c>
      <c r="BM1952" s="304" t="str">
        <f t="shared" si="1353"/>
        <v/>
      </c>
      <c r="BN1952" s="28"/>
      <c r="BO1952" s="304" t="str">
        <f t="shared" si="1354"/>
        <v/>
      </c>
      <c r="BP1952" s="304" t="str">
        <f t="shared" si="1354"/>
        <v/>
      </c>
      <c r="BQ1952" s="28"/>
      <c r="BR1952" s="304" t="str">
        <f t="shared" si="1355"/>
        <v/>
      </c>
      <c r="BS1952" s="304" t="str">
        <f t="shared" si="1355"/>
        <v/>
      </c>
      <c r="BT1952" s="28"/>
      <c r="BU1952" s="304" t="str">
        <f t="shared" si="1356"/>
        <v/>
      </c>
      <c r="BV1952" s="304" t="str">
        <f t="shared" si="1356"/>
        <v/>
      </c>
      <c r="BW1952" s="28"/>
      <c r="BX1952" s="91"/>
    </row>
    <row r="1953" spans="1:76" s="55" customFormat="1" x14ac:dyDescent="0.25">
      <c r="A1953" s="195">
        <v>14</v>
      </c>
      <c r="B1953" s="216" t="str">
        <f t="shared" si="1344"/>
        <v xml:space="preserve">: </v>
      </c>
      <c r="C1953" s="221"/>
      <c r="D1953" s="221"/>
      <c r="E1953" s="221"/>
      <c r="F1953" s="221"/>
      <c r="G1953" s="240"/>
      <c r="H1953" s="221"/>
      <c r="I1953" s="240"/>
      <c r="J1953" s="241"/>
      <c r="K1953" s="241"/>
      <c r="L1953" s="227"/>
      <c r="M1953" s="227"/>
      <c r="N1953" s="227"/>
      <c r="O1953" s="227"/>
      <c r="P1953" s="122"/>
      <c r="Q1953" s="228"/>
      <c r="R1953" s="231" t="str">
        <f t="shared" si="1357"/>
        <v/>
      </c>
      <c r="S1953" s="230" t="str">
        <f t="shared" si="1345"/>
        <v/>
      </c>
      <c r="T1953" s="231" t="str">
        <f>IF(OR(Q1953="Y",IFERROR(R1953&gt;R1960+R1964*$AA$35,0),IFERROR(R1953&lt;R1960-R1964*$AA$35,0)),"",IFERROR(R1953*N1953,""))</f>
        <v/>
      </c>
      <c r="U1953" s="232" t="str">
        <f t="shared" si="1346"/>
        <v/>
      </c>
      <c r="V1953" s="28"/>
      <c r="W1953" s="28"/>
      <c r="Y1953" s="91"/>
      <c r="AO1953" s="91"/>
      <c r="AP1953" s="28"/>
      <c r="AQ1953" s="28"/>
      <c r="AR1953" s="237"/>
      <c r="AS1953" s="28"/>
      <c r="AT1953" s="304" t="str">
        <f t="shared" si="1347"/>
        <v/>
      </c>
      <c r="AU1953" s="304" t="str">
        <f t="shared" si="1347"/>
        <v/>
      </c>
      <c r="AV1953" s="28"/>
      <c r="AW1953" s="304" t="str">
        <f t="shared" si="1348"/>
        <v/>
      </c>
      <c r="AX1953" s="304" t="str">
        <f t="shared" si="1348"/>
        <v/>
      </c>
      <c r="AY1953" s="28"/>
      <c r="AZ1953" s="304" t="str">
        <f t="shared" si="1349"/>
        <v/>
      </c>
      <c r="BA1953" s="304" t="str">
        <f t="shared" si="1349"/>
        <v/>
      </c>
      <c r="BB1953" s="28"/>
      <c r="BC1953" s="304" t="str">
        <f t="shared" si="1350"/>
        <v/>
      </c>
      <c r="BD1953" s="304" t="str">
        <f t="shared" si="1350"/>
        <v/>
      </c>
      <c r="BE1953" s="28"/>
      <c r="BF1953" s="304" t="str">
        <f t="shared" si="1351"/>
        <v/>
      </c>
      <c r="BG1953" s="304" t="str">
        <f t="shared" si="1351"/>
        <v/>
      </c>
      <c r="BH1953" s="28"/>
      <c r="BI1953" s="304" t="str">
        <f t="shared" si="1352"/>
        <v/>
      </c>
      <c r="BJ1953" s="304" t="str">
        <f t="shared" si="1352"/>
        <v/>
      </c>
      <c r="BK1953" s="28"/>
      <c r="BL1953" s="304" t="str">
        <f t="shared" si="1353"/>
        <v/>
      </c>
      <c r="BM1953" s="304" t="str">
        <f t="shared" si="1353"/>
        <v/>
      </c>
      <c r="BN1953" s="28"/>
      <c r="BO1953" s="304" t="str">
        <f t="shared" si="1354"/>
        <v/>
      </c>
      <c r="BP1953" s="304" t="str">
        <f t="shared" si="1354"/>
        <v/>
      </c>
      <c r="BQ1953" s="28"/>
      <c r="BR1953" s="304" t="str">
        <f t="shared" si="1355"/>
        <v/>
      </c>
      <c r="BS1953" s="304" t="str">
        <f t="shared" si="1355"/>
        <v/>
      </c>
      <c r="BT1953" s="28"/>
      <c r="BU1953" s="304" t="str">
        <f t="shared" si="1356"/>
        <v/>
      </c>
      <c r="BV1953" s="304" t="str">
        <f t="shared" si="1356"/>
        <v/>
      </c>
      <c r="BW1953" s="28"/>
      <c r="BX1953" s="91"/>
    </row>
    <row r="1954" spans="1:76" s="55" customFormat="1" x14ac:dyDescent="0.25">
      <c r="A1954" s="195">
        <v>15</v>
      </c>
      <c r="B1954" s="216" t="str">
        <f t="shared" si="1344"/>
        <v xml:space="preserve">: </v>
      </c>
      <c r="C1954" s="221"/>
      <c r="D1954" s="221"/>
      <c r="E1954" s="221"/>
      <c r="F1954" s="221"/>
      <c r="G1954" s="240"/>
      <c r="H1954" s="221"/>
      <c r="I1954" s="240"/>
      <c r="J1954" s="241"/>
      <c r="K1954" s="241"/>
      <c r="L1954" s="227"/>
      <c r="M1954" s="227"/>
      <c r="N1954" s="227"/>
      <c r="O1954" s="227"/>
      <c r="P1954" s="122"/>
      <c r="Q1954" s="228"/>
      <c r="R1954" s="231" t="str">
        <f t="shared" si="1357"/>
        <v/>
      </c>
      <c r="S1954" s="230" t="str">
        <f t="shared" si="1345"/>
        <v/>
      </c>
      <c r="T1954" s="231" t="str">
        <f>IF(OR(Q1954="Y",IFERROR(R1954&gt;R1960+R1964*$AA$35,0),IFERROR(R1954&lt;R1960-R1964*$AA$35,0)),"",IFERROR(R1954*N1954,""))</f>
        <v/>
      </c>
      <c r="U1954" s="232" t="str">
        <f t="shared" si="1346"/>
        <v/>
      </c>
      <c r="V1954" s="28"/>
      <c r="W1954" s="28"/>
      <c r="Y1954" s="91"/>
      <c r="AO1954" s="91"/>
      <c r="AP1954" s="28"/>
      <c r="AQ1954" s="28"/>
      <c r="AR1954" s="237"/>
      <c r="AS1954" s="28"/>
      <c r="AT1954" s="304" t="str">
        <f t="shared" si="1347"/>
        <v/>
      </c>
      <c r="AU1954" s="304" t="str">
        <f t="shared" si="1347"/>
        <v/>
      </c>
      <c r="AV1954" s="28"/>
      <c r="AW1954" s="304" t="str">
        <f t="shared" si="1348"/>
        <v/>
      </c>
      <c r="AX1954" s="304" t="str">
        <f t="shared" si="1348"/>
        <v/>
      </c>
      <c r="AY1954" s="28"/>
      <c r="AZ1954" s="304" t="str">
        <f t="shared" si="1349"/>
        <v/>
      </c>
      <c r="BA1954" s="304" t="str">
        <f t="shared" si="1349"/>
        <v/>
      </c>
      <c r="BB1954" s="28"/>
      <c r="BC1954" s="304" t="str">
        <f t="shared" si="1350"/>
        <v/>
      </c>
      <c r="BD1954" s="304" t="str">
        <f t="shared" si="1350"/>
        <v/>
      </c>
      <c r="BE1954" s="28"/>
      <c r="BF1954" s="304" t="str">
        <f t="shared" si="1351"/>
        <v/>
      </c>
      <c r="BG1954" s="304" t="str">
        <f t="shared" si="1351"/>
        <v/>
      </c>
      <c r="BH1954" s="28"/>
      <c r="BI1954" s="304" t="str">
        <f t="shared" si="1352"/>
        <v/>
      </c>
      <c r="BJ1954" s="304" t="str">
        <f t="shared" si="1352"/>
        <v/>
      </c>
      <c r="BK1954" s="28"/>
      <c r="BL1954" s="304" t="str">
        <f t="shared" si="1353"/>
        <v/>
      </c>
      <c r="BM1954" s="304" t="str">
        <f t="shared" si="1353"/>
        <v/>
      </c>
      <c r="BN1954" s="28"/>
      <c r="BO1954" s="304" t="str">
        <f t="shared" si="1354"/>
        <v/>
      </c>
      <c r="BP1954" s="304" t="str">
        <f t="shared" si="1354"/>
        <v/>
      </c>
      <c r="BQ1954" s="28"/>
      <c r="BR1954" s="304" t="str">
        <f t="shared" si="1355"/>
        <v/>
      </c>
      <c r="BS1954" s="304" t="str">
        <f t="shared" si="1355"/>
        <v/>
      </c>
      <c r="BT1954" s="28"/>
      <c r="BU1954" s="304" t="str">
        <f t="shared" si="1356"/>
        <v/>
      </c>
      <c r="BV1954" s="304" t="str">
        <f t="shared" si="1356"/>
        <v/>
      </c>
      <c r="BW1954" s="28"/>
      <c r="BX1954" s="91"/>
    </row>
    <row r="1955" spans="1:76" s="55" customFormat="1" x14ac:dyDescent="0.25">
      <c r="A1955" s="195">
        <v>16</v>
      </c>
      <c r="B1955" s="216" t="str">
        <f t="shared" si="1344"/>
        <v xml:space="preserve">: </v>
      </c>
      <c r="C1955" s="221"/>
      <c r="D1955" s="221"/>
      <c r="E1955" s="221"/>
      <c r="F1955" s="221"/>
      <c r="G1955" s="240"/>
      <c r="H1955" s="221"/>
      <c r="I1955" s="240"/>
      <c r="J1955" s="241"/>
      <c r="K1955" s="241"/>
      <c r="L1955" s="227"/>
      <c r="M1955" s="227"/>
      <c r="N1955" s="227"/>
      <c r="O1955" s="227"/>
      <c r="P1955" s="122"/>
      <c r="Q1955" s="228"/>
      <c r="R1955" s="231" t="str">
        <f t="shared" si="1357"/>
        <v/>
      </c>
      <c r="S1955" s="230" t="str">
        <f t="shared" si="1345"/>
        <v/>
      </c>
      <c r="T1955" s="231" t="str">
        <f>IF(OR(Q1955="Y",IFERROR(R1955&gt;R1960+R1964*$AA$35,0),IFERROR(R1955&lt;R1960-R1964*$AA$35,0)),"",IFERROR(R1955*N1955,""))</f>
        <v/>
      </c>
      <c r="U1955" s="232" t="str">
        <f t="shared" si="1346"/>
        <v/>
      </c>
      <c r="V1955" s="28"/>
      <c r="W1955" s="28"/>
      <c r="Y1955" s="91"/>
      <c r="AO1955" s="91"/>
      <c r="AP1955" s="28"/>
      <c r="AQ1955" s="28"/>
      <c r="AR1955" s="237"/>
      <c r="AS1955" s="28"/>
      <c r="AT1955" s="304" t="str">
        <f t="shared" si="1347"/>
        <v/>
      </c>
      <c r="AU1955" s="304" t="str">
        <f t="shared" si="1347"/>
        <v/>
      </c>
      <c r="AV1955" s="28"/>
      <c r="AW1955" s="304" t="str">
        <f t="shared" si="1348"/>
        <v/>
      </c>
      <c r="AX1955" s="304" t="str">
        <f t="shared" si="1348"/>
        <v/>
      </c>
      <c r="AY1955" s="28"/>
      <c r="AZ1955" s="304" t="str">
        <f t="shared" si="1349"/>
        <v/>
      </c>
      <c r="BA1955" s="304" t="str">
        <f t="shared" si="1349"/>
        <v/>
      </c>
      <c r="BB1955" s="28"/>
      <c r="BC1955" s="304" t="str">
        <f t="shared" si="1350"/>
        <v/>
      </c>
      <c r="BD1955" s="304" t="str">
        <f t="shared" si="1350"/>
        <v/>
      </c>
      <c r="BE1955" s="28"/>
      <c r="BF1955" s="304" t="str">
        <f t="shared" si="1351"/>
        <v/>
      </c>
      <c r="BG1955" s="304" t="str">
        <f t="shared" si="1351"/>
        <v/>
      </c>
      <c r="BH1955" s="28"/>
      <c r="BI1955" s="304" t="str">
        <f t="shared" si="1352"/>
        <v/>
      </c>
      <c r="BJ1955" s="304" t="str">
        <f t="shared" si="1352"/>
        <v/>
      </c>
      <c r="BK1955" s="28"/>
      <c r="BL1955" s="304" t="str">
        <f t="shared" si="1353"/>
        <v/>
      </c>
      <c r="BM1955" s="304" t="str">
        <f t="shared" si="1353"/>
        <v/>
      </c>
      <c r="BN1955" s="28"/>
      <c r="BO1955" s="304" t="str">
        <f t="shared" si="1354"/>
        <v/>
      </c>
      <c r="BP1955" s="304" t="str">
        <f t="shared" si="1354"/>
        <v/>
      </c>
      <c r="BQ1955" s="28"/>
      <c r="BR1955" s="304" t="str">
        <f t="shared" si="1355"/>
        <v/>
      </c>
      <c r="BS1955" s="304" t="str">
        <f t="shared" si="1355"/>
        <v/>
      </c>
      <c r="BT1955" s="28"/>
      <c r="BU1955" s="304" t="str">
        <f t="shared" si="1356"/>
        <v/>
      </c>
      <c r="BV1955" s="304" t="str">
        <f t="shared" si="1356"/>
        <v/>
      </c>
      <c r="BW1955" s="28"/>
      <c r="BX1955" s="91"/>
    </row>
    <row r="1956" spans="1:76" s="55" customFormat="1" x14ac:dyDescent="0.25">
      <c r="A1956" s="195">
        <v>17</v>
      </c>
      <c r="B1956" s="216" t="str">
        <f t="shared" si="1344"/>
        <v xml:space="preserve">: </v>
      </c>
      <c r="C1956" s="221"/>
      <c r="D1956" s="221"/>
      <c r="E1956" s="221"/>
      <c r="F1956" s="221"/>
      <c r="G1956" s="240"/>
      <c r="H1956" s="221"/>
      <c r="I1956" s="240"/>
      <c r="J1956" s="241"/>
      <c r="K1956" s="241"/>
      <c r="L1956" s="227"/>
      <c r="M1956" s="227"/>
      <c r="N1956" s="227"/>
      <c r="O1956" s="227"/>
      <c r="P1956" s="122"/>
      <c r="Q1956" s="228"/>
      <c r="R1956" s="231" t="str">
        <f t="shared" si="1357"/>
        <v/>
      </c>
      <c r="S1956" s="230" t="str">
        <f t="shared" si="1345"/>
        <v/>
      </c>
      <c r="T1956" s="231" t="str">
        <f>IF(OR(Q1956="Y",IFERROR(R1956&gt;R1960+R1964*$AA$35,0),IFERROR(R1956&lt;R1960-R1964*$AA$35,0)),"",IFERROR(R1956*N1956,""))</f>
        <v/>
      </c>
      <c r="U1956" s="232" t="str">
        <f t="shared" si="1346"/>
        <v/>
      </c>
      <c r="V1956" s="28"/>
      <c r="W1956" s="28"/>
      <c r="Y1956" s="91"/>
      <c r="AO1956" s="91"/>
      <c r="AP1956" s="28"/>
      <c r="AQ1956" s="28"/>
      <c r="AR1956" s="237"/>
      <c r="AS1956" s="28"/>
      <c r="AT1956" s="304" t="str">
        <f t="shared" si="1347"/>
        <v/>
      </c>
      <c r="AU1956" s="304" t="str">
        <f t="shared" si="1347"/>
        <v/>
      </c>
      <c r="AV1956" s="28"/>
      <c r="AW1956" s="304" t="str">
        <f t="shared" si="1348"/>
        <v/>
      </c>
      <c r="AX1956" s="304" t="str">
        <f t="shared" si="1348"/>
        <v/>
      </c>
      <c r="AY1956" s="28"/>
      <c r="AZ1956" s="304" t="str">
        <f t="shared" si="1349"/>
        <v/>
      </c>
      <c r="BA1956" s="304" t="str">
        <f t="shared" si="1349"/>
        <v/>
      </c>
      <c r="BB1956" s="28"/>
      <c r="BC1956" s="304" t="str">
        <f t="shared" si="1350"/>
        <v/>
      </c>
      <c r="BD1956" s="304" t="str">
        <f t="shared" si="1350"/>
        <v/>
      </c>
      <c r="BE1956" s="28"/>
      <c r="BF1956" s="304" t="str">
        <f t="shared" si="1351"/>
        <v/>
      </c>
      <c r="BG1956" s="304" t="str">
        <f t="shared" si="1351"/>
        <v/>
      </c>
      <c r="BH1956" s="28"/>
      <c r="BI1956" s="304" t="str">
        <f t="shared" si="1352"/>
        <v/>
      </c>
      <c r="BJ1956" s="304" t="str">
        <f t="shared" si="1352"/>
        <v/>
      </c>
      <c r="BK1956" s="28"/>
      <c r="BL1956" s="304" t="str">
        <f t="shared" si="1353"/>
        <v/>
      </c>
      <c r="BM1956" s="304" t="str">
        <f t="shared" si="1353"/>
        <v/>
      </c>
      <c r="BN1956" s="28"/>
      <c r="BO1956" s="304" t="str">
        <f t="shared" si="1354"/>
        <v/>
      </c>
      <c r="BP1956" s="304" t="str">
        <f t="shared" si="1354"/>
        <v/>
      </c>
      <c r="BQ1956" s="28"/>
      <c r="BR1956" s="304" t="str">
        <f t="shared" si="1355"/>
        <v/>
      </c>
      <c r="BS1956" s="304" t="str">
        <f t="shared" si="1355"/>
        <v/>
      </c>
      <c r="BT1956" s="28"/>
      <c r="BU1956" s="304" t="str">
        <f t="shared" si="1356"/>
        <v/>
      </c>
      <c r="BV1956" s="304" t="str">
        <f t="shared" si="1356"/>
        <v/>
      </c>
      <c r="BW1956" s="28"/>
      <c r="BX1956" s="91"/>
    </row>
    <row r="1957" spans="1:76" s="55" customFormat="1" x14ac:dyDescent="0.25">
      <c r="A1957" s="195">
        <v>18</v>
      </c>
      <c r="B1957" s="216" t="str">
        <f t="shared" si="1344"/>
        <v xml:space="preserve">: </v>
      </c>
      <c r="C1957" s="221"/>
      <c r="D1957" s="221"/>
      <c r="E1957" s="221"/>
      <c r="F1957" s="221"/>
      <c r="G1957" s="240"/>
      <c r="H1957" s="221"/>
      <c r="I1957" s="240"/>
      <c r="J1957" s="241"/>
      <c r="K1957" s="241"/>
      <c r="L1957" s="227"/>
      <c r="M1957" s="227"/>
      <c r="N1957" s="227"/>
      <c r="O1957" s="227"/>
      <c r="P1957" s="122"/>
      <c r="Q1957" s="228"/>
      <c r="R1957" s="231" t="str">
        <f t="shared" si="1357"/>
        <v/>
      </c>
      <c r="S1957" s="230" t="str">
        <f t="shared" si="1345"/>
        <v/>
      </c>
      <c r="T1957" s="231" t="str">
        <f>IF(OR(Q1957="Y",IFERROR(R1957&gt;R1960+R1964*$AA$35,0),IFERROR(R1957&lt;R1960-R1964*$AA$35,0)),"",IFERROR(R1957*N1957,""))</f>
        <v/>
      </c>
      <c r="U1957" s="232" t="str">
        <f t="shared" si="1346"/>
        <v/>
      </c>
      <c r="V1957" s="28"/>
      <c r="W1957" s="28"/>
      <c r="Y1957" s="91"/>
      <c r="AO1957" s="91"/>
      <c r="AP1957" s="28"/>
      <c r="AQ1957" s="28"/>
      <c r="AR1957" s="237"/>
      <c r="AS1957" s="28"/>
      <c r="AT1957" s="304" t="str">
        <f t="shared" si="1347"/>
        <v/>
      </c>
      <c r="AU1957" s="304" t="str">
        <f t="shared" si="1347"/>
        <v/>
      </c>
      <c r="AV1957" s="28"/>
      <c r="AW1957" s="304" t="str">
        <f t="shared" si="1348"/>
        <v/>
      </c>
      <c r="AX1957" s="304" t="str">
        <f t="shared" si="1348"/>
        <v/>
      </c>
      <c r="AY1957" s="28"/>
      <c r="AZ1957" s="304" t="str">
        <f t="shared" si="1349"/>
        <v/>
      </c>
      <c r="BA1957" s="304" t="str">
        <f t="shared" si="1349"/>
        <v/>
      </c>
      <c r="BB1957" s="28"/>
      <c r="BC1957" s="304" t="str">
        <f t="shared" si="1350"/>
        <v/>
      </c>
      <c r="BD1957" s="304" t="str">
        <f t="shared" si="1350"/>
        <v/>
      </c>
      <c r="BE1957" s="28"/>
      <c r="BF1957" s="304" t="str">
        <f t="shared" si="1351"/>
        <v/>
      </c>
      <c r="BG1957" s="304" t="str">
        <f t="shared" si="1351"/>
        <v/>
      </c>
      <c r="BH1957" s="28"/>
      <c r="BI1957" s="304" t="str">
        <f t="shared" si="1352"/>
        <v/>
      </c>
      <c r="BJ1957" s="304" t="str">
        <f t="shared" si="1352"/>
        <v/>
      </c>
      <c r="BK1957" s="28"/>
      <c r="BL1957" s="304" t="str">
        <f t="shared" si="1353"/>
        <v/>
      </c>
      <c r="BM1957" s="304" t="str">
        <f t="shared" si="1353"/>
        <v/>
      </c>
      <c r="BN1957" s="28"/>
      <c r="BO1957" s="304" t="str">
        <f t="shared" si="1354"/>
        <v/>
      </c>
      <c r="BP1957" s="304" t="str">
        <f t="shared" si="1354"/>
        <v/>
      </c>
      <c r="BQ1957" s="28"/>
      <c r="BR1957" s="304" t="str">
        <f t="shared" si="1355"/>
        <v/>
      </c>
      <c r="BS1957" s="304" t="str">
        <f t="shared" si="1355"/>
        <v/>
      </c>
      <c r="BT1957" s="28"/>
      <c r="BU1957" s="304" t="str">
        <f t="shared" si="1356"/>
        <v/>
      </c>
      <c r="BV1957" s="304" t="str">
        <f t="shared" si="1356"/>
        <v/>
      </c>
      <c r="BW1957" s="28"/>
      <c r="BX1957" s="91"/>
    </row>
    <row r="1958" spans="1:76" s="55" customFormat="1" x14ac:dyDescent="0.25">
      <c r="A1958" s="195">
        <v>19</v>
      </c>
      <c r="B1958" s="216" t="str">
        <f t="shared" si="1344"/>
        <v xml:space="preserve">: </v>
      </c>
      <c r="C1958" s="221"/>
      <c r="D1958" s="221"/>
      <c r="E1958" s="221"/>
      <c r="F1958" s="221"/>
      <c r="G1958" s="240"/>
      <c r="H1958" s="221"/>
      <c r="I1958" s="240"/>
      <c r="J1958" s="241"/>
      <c r="K1958" s="241"/>
      <c r="L1958" s="227"/>
      <c r="M1958" s="227"/>
      <c r="N1958" s="227"/>
      <c r="O1958" s="227"/>
      <c r="P1958" s="122"/>
      <c r="Q1958" s="228"/>
      <c r="R1958" s="231" t="str">
        <f t="shared" si="1357"/>
        <v/>
      </c>
      <c r="S1958" s="230" t="str">
        <f t="shared" si="1345"/>
        <v/>
      </c>
      <c r="T1958" s="231" t="str">
        <f>IF(OR(Q1958="Y",IFERROR(R1958&gt;R1960+R1964*$AA$35,0),IFERROR(R1958&lt;R1960-R1964*$AA$35,0)),"",IFERROR(R1958*N1958,""))</f>
        <v/>
      </c>
      <c r="U1958" s="232" t="str">
        <f t="shared" si="1346"/>
        <v/>
      </c>
      <c r="V1958" s="28"/>
      <c r="W1958" s="28"/>
      <c r="Y1958" s="91"/>
      <c r="AO1958" s="91"/>
      <c r="AP1958" s="28"/>
      <c r="AQ1958" s="28"/>
      <c r="AR1958" s="237"/>
      <c r="AS1958" s="28"/>
      <c r="AT1958" s="304" t="str">
        <f t="shared" si="1347"/>
        <v/>
      </c>
      <c r="AU1958" s="304" t="str">
        <f t="shared" si="1347"/>
        <v/>
      </c>
      <c r="AV1958" s="28"/>
      <c r="AW1958" s="304" t="str">
        <f t="shared" si="1348"/>
        <v/>
      </c>
      <c r="AX1958" s="304" t="str">
        <f t="shared" si="1348"/>
        <v/>
      </c>
      <c r="AY1958" s="28"/>
      <c r="AZ1958" s="304" t="str">
        <f t="shared" si="1349"/>
        <v/>
      </c>
      <c r="BA1958" s="304" t="str">
        <f t="shared" si="1349"/>
        <v/>
      </c>
      <c r="BB1958" s="28"/>
      <c r="BC1958" s="304" t="str">
        <f t="shared" si="1350"/>
        <v/>
      </c>
      <c r="BD1958" s="304" t="str">
        <f t="shared" si="1350"/>
        <v/>
      </c>
      <c r="BE1958" s="28"/>
      <c r="BF1958" s="304" t="str">
        <f t="shared" si="1351"/>
        <v/>
      </c>
      <c r="BG1958" s="304" t="str">
        <f t="shared" si="1351"/>
        <v/>
      </c>
      <c r="BH1958" s="28"/>
      <c r="BI1958" s="304" t="str">
        <f t="shared" si="1352"/>
        <v/>
      </c>
      <c r="BJ1958" s="304" t="str">
        <f t="shared" si="1352"/>
        <v/>
      </c>
      <c r="BK1958" s="28"/>
      <c r="BL1958" s="304" t="str">
        <f t="shared" si="1353"/>
        <v/>
      </c>
      <c r="BM1958" s="304" t="str">
        <f t="shared" si="1353"/>
        <v/>
      </c>
      <c r="BN1958" s="28"/>
      <c r="BO1958" s="304" t="str">
        <f t="shared" si="1354"/>
        <v/>
      </c>
      <c r="BP1958" s="304" t="str">
        <f t="shared" si="1354"/>
        <v/>
      </c>
      <c r="BQ1958" s="28"/>
      <c r="BR1958" s="304" t="str">
        <f t="shared" si="1355"/>
        <v/>
      </c>
      <c r="BS1958" s="304" t="str">
        <f t="shared" si="1355"/>
        <v/>
      </c>
      <c r="BT1958" s="28"/>
      <c r="BU1958" s="304" t="str">
        <f t="shared" si="1356"/>
        <v/>
      </c>
      <c r="BV1958" s="304" t="str">
        <f t="shared" si="1356"/>
        <v/>
      </c>
      <c r="BW1958" s="28"/>
      <c r="BX1958" s="91"/>
    </row>
    <row r="1959" spans="1:76" s="55" customFormat="1" x14ac:dyDescent="0.25">
      <c r="A1959" s="195">
        <v>20</v>
      </c>
      <c r="B1959" s="216" t="str">
        <f t="shared" si="1344"/>
        <v xml:space="preserve">: </v>
      </c>
      <c r="C1959" s="221"/>
      <c r="D1959" s="221"/>
      <c r="E1959" s="221"/>
      <c r="F1959" s="221"/>
      <c r="G1959" s="240"/>
      <c r="H1959" s="221"/>
      <c r="I1959" s="240"/>
      <c r="J1959" s="241"/>
      <c r="K1959" s="241"/>
      <c r="L1959" s="227"/>
      <c r="M1959" s="227"/>
      <c r="N1959" s="227"/>
      <c r="O1959" s="227"/>
      <c r="P1959" s="122"/>
      <c r="Q1959" s="228"/>
      <c r="R1959" s="231" t="str">
        <f t="shared" si="1357"/>
        <v/>
      </c>
      <c r="S1959" s="230" t="str">
        <f t="shared" si="1345"/>
        <v/>
      </c>
      <c r="T1959" s="231" t="str">
        <f>IF(OR(Q1959="Y",IFERROR(R1959&gt;R1960+R1964*$AA$35,0),IFERROR(R1959&lt;R1960-R1964*$AA$35,0)),"",IFERROR(R1959*N1959,""))</f>
        <v/>
      </c>
      <c r="U1959" s="232" t="str">
        <f t="shared" si="1346"/>
        <v/>
      </c>
      <c r="V1959" s="28"/>
      <c r="W1959" s="28"/>
      <c r="Y1959" s="91"/>
      <c r="AO1959" s="91"/>
      <c r="AP1959" s="28"/>
      <c r="AQ1959" s="28"/>
      <c r="AR1959" s="237"/>
      <c r="AS1959" s="28"/>
      <c r="AT1959" s="304" t="str">
        <f t="shared" si="1347"/>
        <v/>
      </c>
      <c r="AU1959" s="304" t="str">
        <f t="shared" si="1347"/>
        <v/>
      </c>
      <c r="AV1959" s="28"/>
      <c r="AW1959" s="304" t="str">
        <f t="shared" si="1348"/>
        <v/>
      </c>
      <c r="AX1959" s="304" t="str">
        <f t="shared" si="1348"/>
        <v/>
      </c>
      <c r="AY1959" s="28"/>
      <c r="AZ1959" s="304" t="str">
        <f t="shared" si="1349"/>
        <v/>
      </c>
      <c r="BA1959" s="304" t="str">
        <f t="shared" si="1349"/>
        <v/>
      </c>
      <c r="BB1959" s="28"/>
      <c r="BC1959" s="304" t="str">
        <f t="shared" si="1350"/>
        <v/>
      </c>
      <c r="BD1959" s="304" t="str">
        <f t="shared" si="1350"/>
        <v/>
      </c>
      <c r="BE1959" s="28"/>
      <c r="BF1959" s="304" t="str">
        <f t="shared" si="1351"/>
        <v/>
      </c>
      <c r="BG1959" s="304" t="str">
        <f t="shared" si="1351"/>
        <v/>
      </c>
      <c r="BH1959" s="28"/>
      <c r="BI1959" s="304" t="str">
        <f t="shared" si="1352"/>
        <v/>
      </c>
      <c r="BJ1959" s="304" t="str">
        <f t="shared" si="1352"/>
        <v/>
      </c>
      <c r="BK1959" s="28"/>
      <c r="BL1959" s="304" t="str">
        <f t="shared" si="1353"/>
        <v/>
      </c>
      <c r="BM1959" s="304" t="str">
        <f t="shared" si="1353"/>
        <v/>
      </c>
      <c r="BN1959" s="28"/>
      <c r="BO1959" s="304" t="str">
        <f t="shared" si="1354"/>
        <v/>
      </c>
      <c r="BP1959" s="304" t="str">
        <f t="shared" si="1354"/>
        <v/>
      </c>
      <c r="BQ1959" s="28"/>
      <c r="BR1959" s="304" t="str">
        <f t="shared" si="1355"/>
        <v/>
      </c>
      <c r="BS1959" s="304" t="str">
        <f t="shared" si="1355"/>
        <v/>
      </c>
      <c r="BT1959" s="28"/>
      <c r="BU1959" s="304" t="str">
        <f t="shared" si="1356"/>
        <v/>
      </c>
      <c r="BV1959" s="304" t="str">
        <f t="shared" si="1356"/>
        <v/>
      </c>
      <c r="BW1959" s="28"/>
      <c r="BX1959" s="91"/>
    </row>
    <row r="1960" spans="1:76" s="55" customFormat="1" x14ac:dyDescent="0.25">
      <c r="A1960" s="195"/>
      <c r="B1960" s="244" t="s">
        <v>163</v>
      </c>
      <c r="C1960" s="199"/>
      <c r="D1960" s="199"/>
      <c r="E1960" s="199"/>
      <c r="F1960" s="199"/>
      <c r="H1960" s="28"/>
      <c r="I1960" s="245"/>
      <c r="J1960" s="122"/>
      <c r="K1960" s="122"/>
      <c r="L1960" s="122" t="s">
        <v>134</v>
      </c>
      <c r="M1960" s="122"/>
      <c r="N1960" s="122"/>
      <c r="O1960" s="122"/>
      <c r="P1960" s="122"/>
      <c r="Q1960" s="305" t="s">
        <v>136</v>
      </c>
      <c r="R1960" s="246" t="e">
        <f>AVERAGE(R1940:R1959)</f>
        <v>#DIV/0!</v>
      </c>
      <c r="S1960" s="247" t="e">
        <f>IF(R1968="Y",SUM(S1940:S1959)/SUMPRODUCT(N1940:N1959,--ISNUMBER(S1940:S1959)),AVERAGE(S1940:S1959))</f>
        <v>#DIV/0!</v>
      </c>
      <c r="T1960" s="248" t="e">
        <f>SUM(T1940:T1959)/SUMPRODUCT(N1940:N1959,--ISNUMBER(T1940:T1959))</f>
        <v>#DIV/0!</v>
      </c>
      <c r="U1960" s="28"/>
      <c r="V1960" s="28"/>
      <c r="W1960" s="28"/>
      <c r="Y1960" s="249"/>
      <c r="AO1960" s="91"/>
      <c r="AP1960" s="28"/>
      <c r="AQ1960" s="28"/>
      <c r="AR1960" s="28"/>
      <c r="AS1960" s="245" t="s">
        <v>136</v>
      </c>
      <c r="AT1960" s="307" t="e">
        <f>AVERAGE(AT1940:AT1959)</f>
        <v>#DIV/0!</v>
      </c>
      <c r="AU1960" s="307" t="e">
        <f>SUM(AU1940:AU1959)/COUNTIF(AU1940:AU1959,"&gt;0")</f>
        <v>#DIV/0!</v>
      </c>
      <c r="AV1960" s="245"/>
      <c r="AW1960" s="307" t="e">
        <f>AVERAGE(AW1940:AW1959)</f>
        <v>#DIV/0!</v>
      </c>
      <c r="AX1960" s="307" t="e">
        <f>SUM(AX1940:AX1959)/COUNTIF(AX1940:AX1959,"&gt;0")</f>
        <v>#DIV/0!</v>
      </c>
      <c r="AY1960" s="28"/>
      <c r="AZ1960" s="307" t="e">
        <f>AVERAGE(AZ1940:AZ1959)</f>
        <v>#DIV/0!</v>
      </c>
      <c r="BA1960" s="307" t="e">
        <f>SUM(BA1940:BA1959)/COUNTIF(BA1940:BA1959,"&gt;0")</f>
        <v>#DIV/0!</v>
      </c>
      <c r="BB1960" s="28"/>
      <c r="BC1960" s="307" t="e">
        <f>AVERAGE(BC1940:BC1959)</f>
        <v>#DIV/0!</v>
      </c>
      <c r="BD1960" s="307" t="e">
        <f>SUM(BD1940:BD1959)/COUNTIF(BD1940:BD1959,"&gt;0")</f>
        <v>#DIV/0!</v>
      </c>
      <c r="BE1960" s="28"/>
      <c r="BF1960" s="307" t="e">
        <f>AVERAGE(BF1940:BF1959)</f>
        <v>#DIV/0!</v>
      </c>
      <c r="BG1960" s="307" t="e">
        <f>SUM(BG1940:BG1959)/COUNTIF(BG1940:BG1959,"&gt;0")</f>
        <v>#DIV/0!</v>
      </c>
      <c r="BH1960" s="28"/>
      <c r="BI1960" s="307" t="e">
        <f>AVERAGE(BI1940:BI1959)</f>
        <v>#DIV/0!</v>
      </c>
      <c r="BJ1960" s="307" t="e">
        <f>SUM(BJ1940:BJ1959)/COUNTIF(BJ1940:BJ1959,"&gt;0")</f>
        <v>#DIV/0!</v>
      </c>
      <c r="BK1960" s="245"/>
      <c r="BL1960" s="307" t="e">
        <f>AVERAGE(BL1940:BL1959)</f>
        <v>#DIV/0!</v>
      </c>
      <c r="BM1960" s="307" t="e">
        <f>SUM(BM1940:BM1959)/COUNTIF(BM1940:BM1959,"&gt;0")</f>
        <v>#DIV/0!</v>
      </c>
      <c r="BN1960" s="28"/>
      <c r="BO1960" s="307" t="e">
        <f>AVERAGE(BO1940:BO1959)</f>
        <v>#DIV/0!</v>
      </c>
      <c r="BP1960" s="307" t="e">
        <f>SUM(BP1940:BP1959)/COUNTIF(BP1940:BP1959,"&gt;0")</f>
        <v>#DIV/0!</v>
      </c>
      <c r="BQ1960" s="28"/>
      <c r="BR1960" s="307" t="e">
        <f>AVERAGE(BR1940:BR1959)</f>
        <v>#DIV/0!</v>
      </c>
      <c r="BS1960" s="307" t="e">
        <f>SUM(BS1940:BS1959)/COUNTIF(BS1940:BS1959,"&gt;0")</f>
        <v>#DIV/0!</v>
      </c>
      <c r="BT1960" s="28"/>
      <c r="BU1960" s="307" t="e">
        <f>AVERAGE(BU1940:BU1959)</f>
        <v>#DIV/0!</v>
      </c>
      <c r="BV1960" s="307" t="e">
        <f>SUM(BV1940:BV1959)/COUNTIF(BV1940:BV1959,"&gt;0")</f>
        <v>#DIV/0!</v>
      </c>
      <c r="BW1960" s="28"/>
      <c r="BX1960" s="91"/>
    </row>
    <row r="1961" spans="1:76" s="55" customFormat="1" x14ac:dyDescent="0.25">
      <c r="A1961" s="195"/>
      <c r="B1961" s="244" t="s">
        <v>164</v>
      </c>
      <c r="C1961" s="199" t="s">
        <v>139</v>
      </c>
      <c r="D1961" s="252"/>
      <c r="E1961" s="253"/>
      <c r="F1961" s="253"/>
      <c r="G1961" s="253"/>
      <c r="H1961" s="253"/>
      <c r="I1961" s="253"/>
      <c r="J1961" s="254"/>
      <c r="K1961" s="122"/>
      <c r="L1961" s="122"/>
      <c r="M1961" s="122"/>
      <c r="N1961" s="122"/>
      <c r="O1961" s="122"/>
      <c r="P1961" s="122"/>
      <c r="Q1961" s="306" t="s">
        <v>144</v>
      </c>
      <c r="R1961" s="257" t="e">
        <f>R1960+U1961*R1964</f>
        <v>#DIV/0!</v>
      </c>
      <c r="S1961" s="257" t="e">
        <f>S1960+U1961*S1964</f>
        <v>#DIV/0!</v>
      </c>
      <c r="T1961" s="257" t="e">
        <f>T1960+U1961*T1964</f>
        <v>#DIV/0!</v>
      </c>
      <c r="U1961" s="258">
        <v>1</v>
      </c>
      <c r="V1961" s="122" t="s">
        <v>142</v>
      </c>
      <c r="W1961" s="28"/>
      <c r="X1961" s="259" t="s">
        <v>143</v>
      </c>
      <c r="Y1961" s="260"/>
      <c r="AO1961" s="91"/>
      <c r="AP1961" s="28"/>
      <c r="AQ1961" s="28"/>
      <c r="AR1961" s="28"/>
      <c r="AS1961" s="256" t="s">
        <v>144</v>
      </c>
      <c r="AT1961" s="261" t="e">
        <f>AT1960+(AT1966*AT1963)</f>
        <v>#DIV/0!</v>
      </c>
      <c r="AU1961" s="261" t="e">
        <f>AU1960+(AU1966*AT1963)</f>
        <v>#DIV/0!</v>
      </c>
      <c r="AV1961" s="256"/>
      <c r="AW1961" s="261" t="e">
        <f>AW1960+(AW1966*AW1963)</f>
        <v>#DIV/0!</v>
      </c>
      <c r="AX1961" s="261" t="e">
        <f>AX1960+(AX1966*AW1963)</f>
        <v>#DIV/0!</v>
      </c>
      <c r="AY1961" s="28"/>
      <c r="AZ1961" s="261" t="e">
        <f>AZ1960+(AZ1966*AZ1963)</f>
        <v>#DIV/0!</v>
      </c>
      <c r="BA1961" s="261" t="e">
        <f>BA1960+(BA1966*AZ1963)</f>
        <v>#DIV/0!</v>
      </c>
      <c r="BB1961" s="28"/>
      <c r="BC1961" s="261" t="e">
        <f>BC1960+(BC1966*BC1963)</f>
        <v>#DIV/0!</v>
      </c>
      <c r="BD1961" s="261" t="e">
        <f>BD1960+(BD1966*BC1963)</f>
        <v>#DIV/0!</v>
      </c>
      <c r="BE1961" s="28"/>
      <c r="BF1961" s="261" t="e">
        <f>BF1960+(BF1966*BF1963)</f>
        <v>#DIV/0!</v>
      </c>
      <c r="BG1961" s="261" t="e">
        <f>BG1960+(BG1966*BF1963)</f>
        <v>#DIV/0!</v>
      </c>
      <c r="BH1961" s="28"/>
      <c r="BI1961" s="261" t="e">
        <f>BI1960+(BI1966*BI1963)</f>
        <v>#DIV/0!</v>
      </c>
      <c r="BJ1961" s="261" t="e">
        <f>BJ1960+(BJ1966*BI1963)</f>
        <v>#DIV/0!</v>
      </c>
      <c r="BK1961" s="256"/>
      <c r="BL1961" s="261" t="e">
        <f>BL1960+(BL1966*BL1963)</f>
        <v>#DIV/0!</v>
      </c>
      <c r="BM1961" s="261" t="e">
        <f>BM1960+(BM1966*BL1963)</f>
        <v>#DIV/0!</v>
      </c>
      <c r="BN1961" s="28"/>
      <c r="BO1961" s="261" t="e">
        <f>BO1960+(BO1966*BO1963)</f>
        <v>#DIV/0!</v>
      </c>
      <c r="BP1961" s="261" t="e">
        <f>BP1960+(BP1966*BO1963)</f>
        <v>#DIV/0!</v>
      </c>
      <c r="BQ1961" s="28"/>
      <c r="BR1961" s="261" t="e">
        <f>BR1960+(BR1966*BR1963)</f>
        <v>#DIV/0!</v>
      </c>
      <c r="BS1961" s="261" t="e">
        <f>BS1960+(BS1966*BR1963)</f>
        <v>#DIV/0!</v>
      </c>
      <c r="BT1961" s="28"/>
      <c r="BU1961" s="261" t="e">
        <f>BU1960+(BU1966*BU1963)</f>
        <v>#DIV/0!</v>
      </c>
      <c r="BV1961" s="261" t="e">
        <f>BV1960+(BV1966*BU1963)</f>
        <v>#DIV/0!</v>
      </c>
      <c r="BW1961" s="28"/>
      <c r="BX1961" s="91"/>
    </row>
    <row r="1962" spans="1:76" s="55" customFormat="1" x14ac:dyDescent="0.25">
      <c r="A1962" s="195"/>
      <c r="B1962" s="244" t="s">
        <v>165</v>
      </c>
      <c r="C1962" s="195"/>
      <c r="D1962" s="263"/>
      <c r="E1962" s="264"/>
      <c r="F1962" s="264"/>
      <c r="G1962" s="264"/>
      <c r="H1962" s="264"/>
      <c r="I1962" s="264"/>
      <c r="J1962" s="265"/>
      <c r="K1962" s="28"/>
      <c r="L1962" s="28"/>
      <c r="M1962" s="122"/>
      <c r="N1962" s="122"/>
      <c r="O1962" s="122"/>
      <c r="P1962" s="122"/>
      <c r="Q1962" s="306" t="s">
        <v>150</v>
      </c>
      <c r="R1962" s="257" t="e">
        <f>IF($X1962="Y",MIN(R1940:R1959),R1960-$U1962*R1964)</f>
        <v>#DIV/0!</v>
      </c>
      <c r="S1962" s="257" t="e">
        <f>IF($X1962="Y",MIN(S1940:S1959),S1960-$U1962*S1964)</f>
        <v>#DIV/0!</v>
      </c>
      <c r="T1962" s="257" t="e">
        <f>IF($X1962="Y",MIN(T1940:T1959),T1960-$U1962*T1964)</f>
        <v>#DIV/0!</v>
      </c>
      <c r="U1962" s="258">
        <v>1</v>
      </c>
      <c r="V1962" s="122" t="s">
        <v>148</v>
      </c>
      <c r="W1962" s="28"/>
      <c r="X1962" s="266" t="s">
        <v>149</v>
      </c>
      <c r="Y1962" s="260"/>
      <c r="AO1962" s="91"/>
      <c r="AP1962" s="28"/>
      <c r="AQ1962" s="28"/>
      <c r="AR1962" s="28"/>
      <c r="AS1962" s="256" t="s">
        <v>150</v>
      </c>
      <c r="AT1962" s="261" t="e">
        <f>AT1960-(AT1966*AT1964)</f>
        <v>#DIV/0!</v>
      </c>
      <c r="AU1962" s="261" t="e">
        <f>AU1960-(AU1966*AT1964)</f>
        <v>#DIV/0!</v>
      </c>
      <c r="AV1962" s="256"/>
      <c r="AW1962" s="261" t="e">
        <f>AW1960-(AW1966*AW1964)</f>
        <v>#DIV/0!</v>
      </c>
      <c r="AX1962" s="261" t="e">
        <f>AX1960-(AX1966*AW1964)</f>
        <v>#DIV/0!</v>
      </c>
      <c r="AY1962" s="28"/>
      <c r="AZ1962" s="261" t="e">
        <f>AZ1960-(AZ1966*AZ1964)</f>
        <v>#DIV/0!</v>
      </c>
      <c r="BA1962" s="261" t="e">
        <f>BA1960-(BA1966*AZ1964)</f>
        <v>#DIV/0!</v>
      </c>
      <c r="BB1962" s="28"/>
      <c r="BC1962" s="261" t="e">
        <f>BC1960-(BC1966*BC1964)</f>
        <v>#DIV/0!</v>
      </c>
      <c r="BD1962" s="261" t="e">
        <f>BD1960-(BD1966*BC1964)</f>
        <v>#DIV/0!</v>
      </c>
      <c r="BE1962" s="28"/>
      <c r="BF1962" s="261" t="e">
        <f>BF1960-(BF1966*BF1964)</f>
        <v>#DIV/0!</v>
      </c>
      <c r="BG1962" s="261" t="e">
        <f>BG1960-(BG1966*BF1964)</f>
        <v>#DIV/0!</v>
      </c>
      <c r="BH1962" s="28"/>
      <c r="BI1962" s="261" t="e">
        <f>BI1960-(BI1966*BI1964)</f>
        <v>#DIV/0!</v>
      </c>
      <c r="BJ1962" s="261" t="e">
        <f>BJ1960-(BJ1966*BI1964)</f>
        <v>#DIV/0!</v>
      </c>
      <c r="BK1962" s="256"/>
      <c r="BL1962" s="261" t="e">
        <f>BL1960-(BL1966*BL1964)</f>
        <v>#DIV/0!</v>
      </c>
      <c r="BM1962" s="261" t="e">
        <f>BM1960-(BM1966*BL1964)</f>
        <v>#DIV/0!</v>
      </c>
      <c r="BN1962" s="28"/>
      <c r="BO1962" s="261" t="e">
        <f>BO1960-(BO1966*BO1964)</f>
        <v>#DIV/0!</v>
      </c>
      <c r="BP1962" s="261" t="e">
        <f>BP1960-(BP1966*BO1964)</f>
        <v>#DIV/0!</v>
      </c>
      <c r="BQ1962" s="28"/>
      <c r="BR1962" s="261" t="e">
        <f>BR1960-(BR1966*BR1964)</f>
        <v>#DIV/0!</v>
      </c>
      <c r="BS1962" s="261" t="e">
        <f>BS1960-(BS1966*BR1964)</f>
        <v>#DIV/0!</v>
      </c>
      <c r="BT1962" s="28"/>
      <c r="BU1962" s="261" t="e">
        <f>BU1960-(BU1966*BU1964)</f>
        <v>#DIV/0!</v>
      </c>
      <c r="BV1962" s="261" t="e">
        <f>BV1960-(BV1966*BU1964)</f>
        <v>#DIV/0!</v>
      </c>
      <c r="BW1962" s="28"/>
      <c r="BX1962" s="91"/>
    </row>
    <row r="1963" spans="1:76" s="55" customFormat="1" ht="14.25" x14ac:dyDescent="0.2">
      <c r="A1963" s="195"/>
      <c r="B1963" s="195"/>
      <c r="C1963" s="195"/>
      <c r="D1963" s="263"/>
      <c r="E1963" s="264"/>
      <c r="F1963" s="264"/>
      <c r="G1963" s="264"/>
      <c r="H1963" s="264"/>
      <c r="I1963" s="264"/>
      <c r="J1963" s="265"/>
      <c r="K1963" s="122"/>
      <c r="L1963" s="122"/>
      <c r="M1963" s="122"/>
      <c r="N1963" s="122"/>
      <c r="O1963" s="122"/>
      <c r="P1963" s="122"/>
      <c r="Q1963" s="306" t="s">
        <v>151</v>
      </c>
      <c r="R1963" s="257" t="e">
        <f>IF((0.67*R1964)&gt;R1960,"no","yes")</f>
        <v>#DIV/0!</v>
      </c>
      <c r="S1963" s="257" t="e">
        <f>IF((0.67*S1964)&gt;S1960,"no","yes")</f>
        <v>#DIV/0!</v>
      </c>
      <c r="T1963" s="257" t="e">
        <f>IF((0.67*T1964)&gt;T1960,"no","yes")</f>
        <v>#DIV/0!</v>
      </c>
      <c r="U1963" s="122"/>
      <c r="V1963" s="122"/>
      <c r="W1963" s="122"/>
      <c r="Y1963" s="260"/>
      <c r="AO1963" s="91"/>
      <c r="AP1963" s="122"/>
      <c r="AQ1963" s="122"/>
      <c r="AR1963" s="267" t="s">
        <v>152</v>
      </c>
      <c r="AS1963" s="268"/>
      <c r="AT1963" s="258">
        <v>1</v>
      </c>
      <c r="AU1963" s="122"/>
      <c r="AV1963" s="308"/>
      <c r="AW1963" s="258">
        <v>1</v>
      </c>
      <c r="AX1963" s="122"/>
      <c r="AY1963" s="122"/>
      <c r="AZ1963" s="258">
        <v>1</v>
      </c>
      <c r="BA1963" s="122"/>
      <c r="BB1963" s="122"/>
      <c r="BC1963" s="258">
        <v>1</v>
      </c>
      <c r="BD1963" s="122"/>
      <c r="BE1963" s="122"/>
      <c r="BF1963" s="258">
        <v>1</v>
      </c>
      <c r="BG1963" s="122"/>
      <c r="BH1963" s="122"/>
      <c r="BI1963" s="258">
        <v>1</v>
      </c>
      <c r="BJ1963" s="122"/>
      <c r="BK1963" s="256"/>
      <c r="BL1963" s="258">
        <v>1</v>
      </c>
      <c r="BM1963" s="122"/>
      <c r="BN1963" s="122"/>
      <c r="BO1963" s="258">
        <v>1</v>
      </c>
      <c r="BP1963" s="122"/>
      <c r="BQ1963" s="122"/>
      <c r="BR1963" s="258">
        <v>1</v>
      </c>
      <c r="BS1963" s="122"/>
      <c r="BT1963" s="122"/>
      <c r="BU1963" s="258">
        <v>1</v>
      </c>
      <c r="BV1963" s="122"/>
      <c r="BW1963" s="122"/>
      <c r="BX1963" s="91"/>
    </row>
    <row r="1964" spans="1:76" s="55" customFormat="1" ht="28.5" x14ac:dyDescent="0.2">
      <c r="A1964" s="195"/>
      <c r="B1964" s="195"/>
      <c r="C1964" s="195"/>
      <c r="D1964" s="263"/>
      <c r="E1964" s="264"/>
      <c r="F1964" s="264"/>
      <c r="G1964" s="264"/>
      <c r="H1964" s="264"/>
      <c r="I1964" s="264"/>
      <c r="J1964" s="265"/>
      <c r="K1964" s="122"/>
      <c r="L1964" s="122"/>
      <c r="M1964" s="122"/>
      <c r="N1964" s="122"/>
      <c r="O1964" s="122"/>
      <c r="P1964" s="122"/>
      <c r="Q1964" s="306" t="s">
        <v>157</v>
      </c>
      <c r="R1964" s="257">
        <f>IF(COUNT(R1940:R1959)&gt;1,_xlfn.STDEV.S(R1940:R1959),0)</f>
        <v>0</v>
      </c>
      <c r="S1964" s="257" t="e">
        <f t="array" ref="S1964">IF(R1968="Y",SQRT(SUM(IFERROR(N1940:N1959*(R1940:R1959-(S1960))^2,0))/((COUNT(S1940:S1959)-1)/COUNT(S1940:S1959)*SUMPRODUCT(N1940:N1959,--ISNUMBER(S1940:S1959)))),_xlfn.STDEV.S(S1940:S1959))</f>
        <v>#DIV/0!</v>
      </c>
      <c r="T1964" s="257" t="e">
        <f t="array" ref="T1964">SQRT(SUM(IFERROR(N1940:N1959*(R1940:R1959-(T1960))^2,0))/((COUNT(T1940:T1959)-1)/COUNT(T1940:T1959)*SUMPRODUCT(N1940:N1959,--ISNUMBER(T1940:T1959))))</f>
        <v>#DIV/0!</v>
      </c>
      <c r="U1964" s="122"/>
      <c r="V1964" s="122"/>
      <c r="W1964" s="122"/>
      <c r="Y1964" s="260"/>
      <c r="AO1964" s="91"/>
      <c r="AP1964" s="122"/>
      <c r="AQ1964" s="122"/>
      <c r="AR1964" s="267"/>
      <c r="AS1964" s="268"/>
      <c r="AT1964" s="258">
        <v>1</v>
      </c>
      <c r="AU1964" s="122"/>
      <c r="AV1964" s="308"/>
      <c r="AW1964" s="258">
        <v>1</v>
      </c>
      <c r="AX1964" s="122"/>
      <c r="AY1964" s="122"/>
      <c r="AZ1964" s="258">
        <v>1</v>
      </c>
      <c r="BA1964" s="122"/>
      <c r="BB1964" s="122"/>
      <c r="BC1964" s="258">
        <v>1</v>
      </c>
      <c r="BD1964" s="122"/>
      <c r="BE1964" s="122"/>
      <c r="BF1964" s="258">
        <v>1</v>
      </c>
      <c r="BG1964" s="122"/>
      <c r="BH1964" s="122"/>
      <c r="BI1964" s="258">
        <v>1</v>
      </c>
      <c r="BJ1964" s="122"/>
      <c r="BK1964" s="256"/>
      <c r="BL1964" s="258">
        <v>1</v>
      </c>
      <c r="BM1964" s="122"/>
      <c r="BN1964" s="122"/>
      <c r="BO1964" s="258">
        <v>1</v>
      </c>
      <c r="BP1964" s="122"/>
      <c r="BQ1964" s="122"/>
      <c r="BR1964" s="258">
        <v>1</v>
      </c>
      <c r="BS1964" s="122"/>
      <c r="BT1964" s="122"/>
      <c r="BU1964" s="258">
        <v>1</v>
      </c>
      <c r="BV1964" s="122"/>
      <c r="BW1964" s="122"/>
      <c r="BX1964" s="91"/>
    </row>
    <row r="1965" spans="1:76" s="55" customFormat="1" ht="15" customHeight="1" x14ac:dyDescent="0.25">
      <c r="A1965" s="122"/>
      <c r="B1965" s="122"/>
      <c r="C1965" s="195"/>
      <c r="D1965" s="263"/>
      <c r="E1965" s="264"/>
      <c r="F1965" s="264"/>
      <c r="G1965" s="264"/>
      <c r="H1965" s="264"/>
      <c r="I1965" s="264"/>
      <c r="J1965" s="265"/>
      <c r="K1965" s="122"/>
      <c r="L1965" s="122"/>
      <c r="M1965" s="122"/>
      <c r="N1965" s="122"/>
      <c r="O1965" s="122"/>
      <c r="P1965" s="122"/>
      <c r="Q1965" s="309" t="s">
        <v>159</v>
      </c>
      <c r="R1965" s="310">
        <f>COUNT(R1940:R1959)</f>
        <v>0</v>
      </c>
      <c r="S1965" s="310">
        <f>COUNT(S1940:S1959)</f>
        <v>0</v>
      </c>
      <c r="T1965" s="118"/>
      <c r="U1965" s="273" t="s">
        <v>155</v>
      </c>
      <c r="V1965" s="122"/>
      <c r="W1965" s="122"/>
      <c r="Y1965" s="91"/>
      <c r="AO1965" s="91"/>
      <c r="AP1965" s="122"/>
      <c r="AQ1965" s="122"/>
      <c r="AR1965" s="122"/>
      <c r="AS1965" s="256" t="s">
        <v>151</v>
      </c>
      <c r="AT1965" s="261" t="e">
        <f>IF((0.67*AT1966)&gt;AT1960,"no","yes")</f>
        <v>#DIV/0!</v>
      </c>
      <c r="AU1965" s="261" t="e">
        <f>IF((0.67*AU1966)&gt;AU1960,"no","yes")</f>
        <v>#DIV/0!</v>
      </c>
      <c r="AV1965" s="256"/>
      <c r="AW1965" s="261" t="e">
        <f>IF((0.67*AW1966)&gt;AW1960,"no","yes")</f>
        <v>#DIV/0!</v>
      </c>
      <c r="AX1965" s="261" t="e">
        <f>IF((0.67*AX1966)&gt;AX1960,"no","yes")</f>
        <v>#DIV/0!</v>
      </c>
      <c r="AY1965" s="122"/>
      <c r="AZ1965" s="261" t="e">
        <f>IF((0.67*AZ1966)&gt;AZ1960,"no","yes")</f>
        <v>#DIV/0!</v>
      </c>
      <c r="BA1965" s="261" t="e">
        <f>IF((0.67*BA1966)&gt;BA1960,"no","yes")</f>
        <v>#DIV/0!</v>
      </c>
      <c r="BB1965" s="122"/>
      <c r="BC1965" s="261" t="e">
        <f>IF((0.67*BC1966)&gt;BC1960,"no","yes")</f>
        <v>#DIV/0!</v>
      </c>
      <c r="BD1965" s="261" t="e">
        <f>IF((0.67*BD1966)&gt;BD1960,"no","yes")</f>
        <v>#DIV/0!</v>
      </c>
      <c r="BE1965" s="122"/>
      <c r="BF1965" s="261" t="e">
        <f>IF((0.67*BF1966)&gt;BF1960,"no","yes")</f>
        <v>#DIV/0!</v>
      </c>
      <c r="BG1965" s="261" t="e">
        <f>IF((0.67*BG1966)&gt;BG1960,"no","yes")</f>
        <v>#DIV/0!</v>
      </c>
      <c r="BH1965" s="122"/>
      <c r="BI1965" s="261" t="e">
        <f>IF((0.67*BI1966)&gt;BI1960,"no","yes")</f>
        <v>#DIV/0!</v>
      </c>
      <c r="BJ1965" s="261" t="e">
        <f>IF((0.67*BJ1966)&gt;BJ1960,"no","yes")</f>
        <v>#DIV/0!</v>
      </c>
      <c r="BK1965" s="133"/>
      <c r="BL1965" s="261" t="e">
        <f>IF((0.67*BL1966)&gt;BL1960,"no","yes")</f>
        <v>#DIV/0!</v>
      </c>
      <c r="BM1965" s="261" t="e">
        <f>IF((0.67*BM1966)&gt;BM1960,"no","yes")</f>
        <v>#DIV/0!</v>
      </c>
      <c r="BN1965" s="122"/>
      <c r="BO1965" s="261" t="e">
        <f>IF((0.67*BO1966)&gt;BO1960,"no","yes")</f>
        <v>#DIV/0!</v>
      </c>
      <c r="BP1965" s="261" t="e">
        <f>IF((0.67*BP1966)&gt;BP1960,"no","yes")</f>
        <v>#DIV/0!</v>
      </c>
      <c r="BQ1965" s="122"/>
      <c r="BR1965" s="261" t="e">
        <f>IF((0.67*BR1966)&gt;BR1960,"no","yes")</f>
        <v>#DIV/0!</v>
      </c>
      <c r="BS1965" s="261" t="e">
        <f>IF((0.67*BS1966)&gt;BS1960,"no","yes")</f>
        <v>#DIV/0!</v>
      </c>
      <c r="BT1965" s="122"/>
      <c r="BU1965" s="261" t="e">
        <f>IF((0.67*BU1966)&gt;BU1960,"no","yes")</f>
        <v>#DIV/0!</v>
      </c>
      <c r="BV1965" s="261" t="e">
        <f>IF((0.67*BV1966)&gt;BV1960,"no","yes")</f>
        <v>#DIV/0!</v>
      </c>
      <c r="BW1965" s="122"/>
      <c r="BX1965" s="91"/>
    </row>
    <row r="1966" spans="1:76" s="55" customFormat="1" ht="14.25" x14ac:dyDescent="0.2">
      <c r="C1966" s="195"/>
      <c r="D1966" s="263"/>
      <c r="E1966" s="264"/>
      <c r="F1966" s="264"/>
      <c r="G1966" s="264"/>
      <c r="H1966" s="264"/>
      <c r="I1966" s="264"/>
      <c r="J1966" s="265"/>
      <c r="K1966" s="122"/>
      <c r="L1966" s="122"/>
      <c r="M1966" s="122"/>
      <c r="N1966" s="122"/>
      <c r="O1966" s="122"/>
      <c r="P1966" s="122"/>
      <c r="Q1966" s="311"/>
      <c r="R1966" s="389"/>
      <c r="S1966" s="118"/>
      <c r="T1966" s="118"/>
      <c r="U1966" s="274"/>
      <c r="V1966" s="275"/>
      <c r="W1966" s="276"/>
      <c r="Y1966" s="91"/>
      <c r="AO1966" s="91"/>
      <c r="AP1966" s="122"/>
      <c r="AQ1966" s="122"/>
      <c r="AR1966" s="122"/>
      <c r="AS1966" s="256" t="s">
        <v>157</v>
      </c>
      <c r="AT1966" s="261">
        <f>IF(AT1967&gt;1,_xlfn.STDEV.S(AT1940:AT1959),0)</f>
        <v>0</v>
      </c>
      <c r="AU1966" s="261">
        <f>IF(AU1967&gt;1,_xlfn.STDEV.S(AU1940:AU1959),0)</f>
        <v>0</v>
      </c>
      <c r="AV1966" s="122"/>
      <c r="AW1966" s="261">
        <f t="shared" ref="AW1966:AX1966" si="1358">IF(AW1967&gt;1,_xlfn.STDEV.S(AW1940:AW1959),0)</f>
        <v>0</v>
      </c>
      <c r="AX1966" s="261">
        <f t="shared" si="1358"/>
        <v>0</v>
      </c>
      <c r="AY1966" s="122"/>
      <c r="AZ1966" s="261">
        <f t="shared" ref="AZ1966:BA1966" si="1359">IF(AZ1967&gt;1,_xlfn.STDEV.S(AZ1940:AZ1959),0)</f>
        <v>0</v>
      </c>
      <c r="BA1966" s="261">
        <f t="shared" si="1359"/>
        <v>0</v>
      </c>
      <c r="BB1966" s="122"/>
      <c r="BC1966" s="261">
        <f t="shared" ref="BC1966:BD1966" si="1360">IF(BC1967&gt;1,_xlfn.STDEV.S(BC1940:BC1959),0)</f>
        <v>0</v>
      </c>
      <c r="BD1966" s="261">
        <f t="shared" si="1360"/>
        <v>0</v>
      </c>
      <c r="BE1966" s="122"/>
      <c r="BF1966" s="261">
        <f t="shared" ref="BF1966:BG1966" si="1361">IF(BF1967&gt;1,_xlfn.STDEV.S(BF1940:BF1959),0)</f>
        <v>0</v>
      </c>
      <c r="BG1966" s="261">
        <f t="shared" si="1361"/>
        <v>0</v>
      </c>
      <c r="BH1966" s="122"/>
      <c r="BI1966" s="261">
        <f t="shared" ref="BI1966:BJ1966" si="1362">IF(BI1967&gt;1,_xlfn.STDEV.S(BI1940:BI1959),0)</f>
        <v>0</v>
      </c>
      <c r="BJ1966" s="261">
        <f t="shared" si="1362"/>
        <v>0</v>
      </c>
      <c r="BK1966" s="122"/>
      <c r="BL1966" s="261">
        <f t="shared" ref="BL1966:BM1966" si="1363">IF(BL1967&gt;1,_xlfn.STDEV.S(BL1940:BL1959),0)</f>
        <v>0</v>
      </c>
      <c r="BM1966" s="261">
        <f t="shared" si="1363"/>
        <v>0</v>
      </c>
      <c r="BN1966" s="122"/>
      <c r="BO1966" s="261">
        <f t="shared" ref="BO1966:BP1966" si="1364">IF(BO1967&gt;1,_xlfn.STDEV.S(BO1940:BO1959),0)</f>
        <v>0</v>
      </c>
      <c r="BP1966" s="261">
        <f t="shared" si="1364"/>
        <v>0</v>
      </c>
      <c r="BQ1966" s="122"/>
      <c r="BR1966" s="261">
        <f t="shared" ref="BR1966:BS1966" si="1365">IF(BR1967&gt;1,_xlfn.STDEV.S(BR1940:BR1959),0)</f>
        <v>0</v>
      </c>
      <c r="BS1966" s="261">
        <f t="shared" si="1365"/>
        <v>0</v>
      </c>
      <c r="BT1966" s="122"/>
      <c r="BU1966" s="261">
        <f t="shared" ref="BU1966:BV1966" si="1366">IF(BU1967&gt;1,_xlfn.STDEV.S(BU1940:BU1959),0)</f>
        <v>0</v>
      </c>
      <c r="BV1966" s="261">
        <f t="shared" si="1366"/>
        <v>0</v>
      </c>
      <c r="BW1966" s="122"/>
      <c r="BX1966" s="91"/>
    </row>
    <row r="1967" spans="1:76" s="55" customFormat="1" x14ac:dyDescent="0.2">
      <c r="A1967" s="270" t="e">
        <f ca="1">HYPERLINK("#"&amp;"'"&amp;A$1&amp;"'!a1","Back to top")</f>
        <v>#VALUE!</v>
      </c>
      <c r="B1967" s="270"/>
      <c r="C1967" s="122"/>
      <c r="D1967" s="277"/>
      <c r="E1967" s="278"/>
      <c r="F1967" s="278"/>
      <c r="G1967" s="278"/>
      <c r="H1967" s="278"/>
      <c r="I1967" s="278"/>
      <c r="J1967" s="279"/>
      <c r="Q1967" s="81"/>
      <c r="R1967" s="362" t="s">
        <v>158</v>
      </c>
      <c r="T1967" s="122"/>
      <c r="U1967" s="281"/>
      <c r="V1967" s="282"/>
      <c r="W1967" s="283"/>
      <c r="Y1967" s="91"/>
      <c r="AO1967" s="91"/>
      <c r="AP1967" s="122"/>
      <c r="AQ1967" s="122"/>
      <c r="AR1967" s="122"/>
      <c r="AS1967" s="133" t="s">
        <v>159</v>
      </c>
      <c r="AT1967" s="284">
        <f>COUNT(AT1940:AT1959)</f>
        <v>0</v>
      </c>
      <c r="AU1967" s="284">
        <f>COUNT(AU1940:AU1959)</f>
        <v>0</v>
      </c>
      <c r="AV1967" s="122"/>
      <c r="AW1967" s="284">
        <f t="shared" ref="AW1967:AX1967" si="1367">COUNT(AW1940:AW1959)</f>
        <v>0</v>
      </c>
      <c r="AX1967" s="284">
        <f t="shared" si="1367"/>
        <v>0</v>
      </c>
      <c r="AY1967" s="122"/>
      <c r="AZ1967" s="284">
        <f t="shared" ref="AZ1967:BA1967" si="1368">COUNT(AZ1940:AZ1959)</f>
        <v>0</v>
      </c>
      <c r="BA1967" s="284">
        <f t="shared" si="1368"/>
        <v>0</v>
      </c>
      <c r="BB1967" s="122"/>
      <c r="BC1967" s="284">
        <f t="shared" ref="BC1967:BD1967" si="1369">COUNT(BC1940:BC1959)</f>
        <v>0</v>
      </c>
      <c r="BD1967" s="284">
        <f t="shared" si="1369"/>
        <v>0</v>
      </c>
      <c r="BE1967" s="122"/>
      <c r="BF1967" s="284">
        <f t="shared" ref="BF1967:BG1967" si="1370">COUNT(BF1940:BF1959)</f>
        <v>0</v>
      </c>
      <c r="BG1967" s="284">
        <f t="shared" si="1370"/>
        <v>0</v>
      </c>
      <c r="BH1967" s="122"/>
      <c r="BI1967" s="284">
        <f t="shared" ref="BI1967:BJ1967" si="1371">COUNT(BI1940:BI1959)</f>
        <v>0</v>
      </c>
      <c r="BJ1967" s="284">
        <f t="shared" si="1371"/>
        <v>0</v>
      </c>
      <c r="BK1967" s="122"/>
      <c r="BL1967" s="284">
        <f t="shared" ref="BL1967:BM1967" si="1372">COUNT(BL1940:BL1959)</f>
        <v>0</v>
      </c>
      <c r="BM1967" s="284">
        <f t="shared" si="1372"/>
        <v>0</v>
      </c>
      <c r="BN1967" s="122"/>
      <c r="BO1967" s="284">
        <f t="shared" ref="BO1967:BP1967" si="1373">COUNT(BO1940:BO1959)</f>
        <v>0</v>
      </c>
      <c r="BP1967" s="284">
        <f t="shared" si="1373"/>
        <v>0</v>
      </c>
      <c r="BQ1967" s="122"/>
      <c r="BR1967" s="284">
        <f t="shared" ref="BR1967:BS1967" si="1374">COUNT(BR1940:BR1959)</f>
        <v>0</v>
      </c>
      <c r="BS1967" s="284">
        <f t="shared" si="1374"/>
        <v>0</v>
      </c>
      <c r="BT1967" s="122"/>
      <c r="BU1967" s="284">
        <f t="shared" ref="BU1967:BV1967" si="1375">COUNT(BU1940:BU1959)</f>
        <v>0</v>
      </c>
      <c r="BV1967" s="284">
        <f t="shared" si="1375"/>
        <v>0</v>
      </c>
      <c r="BW1967" s="122"/>
      <c r="BX1967" s="91"/>
    </row>
    <row r="1968" spans="1:76" s="55" customFormat="1" ht="14.25" x14ac:dyDescent="0.2">
      <c r="Q1968" s="81"/>
      <c r="R1968" s="287" t="s">
        <v>149</v>
      </c>
      <c r="T1968" s="122"/>
      <c r="U1968" s="281"/>
      <c r="V1968" s="282"/>
      <c r="W1968" s="283"/>
      <c r="Y1968" s="91"/>
      <c r="AO1968" s="91"/>
      <c r="BX1968" s="91"/>
    </row>
    <row r="1969" spans="1:76" s="55" customFormat="1" ht="14.25" x14ac:dyDescent="0.2">
      <c r="Q1969" s="81"/>
      <c r="T1969" s="122"/>
      <c r="U1969" s="288"/>
      <c r="V1969" s="289"/>
      <c r="W1969" s="290"/>
      <c r="Y1969" s="91"/>
      <c r="AO1969" s="91"/>
      <c r="BX1969" s="91"/>
    </row>
    <row r="1971" spans="1:76" s="55" customFormat="1" ht="18" x14ac:dyDescent="0.25">
      <c r="Q1971" s="81"/>
      <c r="T1971" s="122"/>
      <c r="U1971" s="122"/>
      <c r="V1971" s="122"/>
      <c r="W1971" s="122"/>
      <c r="Y1971" s="91"/>
      <c r="AO1971" s="296"/>
      <c r="AP1971" s="345"/>
      <c r="AQ1971" s="345"/>
      <c r="AR1971" s="346"/>
      <c r="AS1971" s="346"/>
      <c r="AT1971" s="346"/>
      <c r="AU1971" s="346"/>
      <c r="AV1971" s="346"/>
      <c r="AW1971" s="346"/>
      <c r="AX1971" s="346"/>
      <c r="AY1971" s="346"/>
      <c r="AZ1971" s="346"/>
      <c r="BA1971" s="346"/>
      <c r="BB1971" s="346"/>
      <c r="BC1971" s="346"/>
      <c r="BD1971" s="346"/>
      <c r="BE1971" s="346"/>
      <c r="BF1971" s="346"/>
      <c r="BG1971" s="346"/>
      <c r="BH1971" s="346"/>
      <c r="BI1971" s="346"/>
      <c r="BJ1971" s="346"/>
      <c r="BK1971" s="346"/>
      <c r="BL1971" s="346"/>
      <c r="BM1971" s="346"/>
      <c r="BN1971" s="346"/>
      <c r="BO1971" s="346"/>
      <c r="BP1971" s="346"/>
      <c r="BQ1971" s="346"/>
      <c r="BR1971" s="346"/>
      <c r="BS1971" s="346"/>
      <c r="BT1971" s="346"/>
      <c r="BU1971" s="346"/>
      <c r="BV1971" s="346"/>
      <c r="BW1971" s="346"/>
      <c r="BX1971" s="296"/>
    </row>
    <row r="1972" spans="1:76" x14ac:dyDescent="0.2">
      <c r="A1972" s="401"/>
      <c r="B1972" s="401"/>
      <c r="Y1972" s="9"/>
    </row>
    <row r="1973" spans="1:76" s="10" customFormat="1" ht="27.75" x14ac:dyDescent="0.4">
      <c r="A1973" s="402" t="s">
        <v>780</v>
      </c>
      <c r="B1973" s="402"/>
      <c r="C1973" s="86"/>
      <c r="D1973" s="86"/>
      <c r="E1973" s="86"/>
      <c r="F1973" s="86"/>
      <c r="G1973" s="86"/>
      <c r="H1973" s="86"/>
      <c r="I1973" s="86"/>
      <c r="J1973" s="86"/>
      <c r="K1973" s="86"/>
      <c r="L1973" s="86"/>
      <c r="M1973" s="86"/>
      <c r="N1973" s="86"/>
      <c r="O1973" s="4"/>
      <c r="Q1973" s="403"/>
      <c r="R1973" s="86"/>
      <c r="S1973" s="4"/>
      <c r="T1973" s="4"/>
      <c r="U1973" s="4"/>
      <c r="Y1973" s="7"/>
      <c r="AO1973" s="7"/>
      <c r="BX1973" s="7"/>
    </row>
    <row r="1974" spans="1:76" ht="36" customHeight="1" x14ac:dyDescent="0.2"/>
    <row r="1976" spans="1:76" ht="16.5" thickBot="1" x14ac:dyDescent="0.3">
      <c r="A1976" s="404" t="s">
        <v>781</v>
      </c>
      <c r="B1976" s="405"/>
      <c r="C1976" s="405"/>
      <c r="D1976" s="405"/>
      <c r="E1976" s="405"/>
      <c r="F1976" s="405"/>
      <c r="G1976" s="405"/>
      <c r="H1976" s="405"/>
      <c r="I1976" s="405"/>
      <c r="J1976" s="405"/>
      <c r="K1976" s="405"/>
      <c r="Q1976" s="8"/>
    </row>
    <row r="1977" spans="1:76" ht="15.75" thickBot="1" x14ac:dyDescent="0.25">
      <c r="C1977" s="406" t="s">
        <v>782</v>
      </c>
      <c r="D1977" s="407" t="e">
        <f>AVERAGE(G1981:G1988)</f>
        <v>#DIV/0!</v>
      </c>
      <c r="E1977" s="8" t="s">
        <v>783</v>
      </c>
    </row>
    <row r="1979" spans="1:76" ht="15.75" x14ac:dyDescent="0.25">
      <c r="A1979" s="408" t="s">
        <v>784</v>
      </c>
      <c r="B1979" s="408"/>
      <c r="C1979" s="86" t="s">
        <v>785</v>
      </c>
      <c r="D1979" s="86" t="s">
        <v>786</v>
      </c>
      <c r="E1979" s="409" t="s">
        <v>787</v>
      </c>
      <c r="F1979" s="409"/>
      <c r="G1979" s="409" t="s">
        <v>788</v>
      </c>
    </row>
    <row r="1980" spans="1:76" x14ac:dyDescent="0.2">
      <c r="C1980" s="410"/>
      <c r="D1980" s="411"/>
      <c r="E1980" s="409"/>
      <c r="F1980" s="409"/>
      <c r="G1980" s="409"/>
    </row>
    <row r="1981" spans="1:76" x14ac:dyDescent="0.2">
      <c r="C1981" s="410"/>
      <c r="D1981" s="411"/>
      <c r="E1981" s="412" t="str">
        <f>IF(C1981="","",LOG(D1981/D1980)/LOG(C1981/C1980))</f>
        <v/>
      </c>
      <c r="F1981" s="412"/>
      <c r="G1981" s="413" t="str">
        <f>IF(C1981="","",10^(E1981*LOG(2)))</f>
        <v/>
      </c>
    </row>
    <row r="1982" spans="1:76" x14ac:dyDescent="0.2">
      <c r="C1982" s="410"/>
      <c r="D1982" s="411"/>
      <c r="E1982" s="412" t="str">
        <f>IF(C1982="","",LOG(D1982/D1981)/LOG(C1982/C1981))</f>
        <v/>
      </c>
      <c r="F1982" s="412"/>
      <c r="G1982" s="413" t="str">
        <f t="shared" ref="G1982:G1988" si="1376">IF(C1982="","",10^(E1982*LOG(2)))</f>
        <v/>
      </c>
    </row>
    <row r="1983" spans="1:76" x14ac:dyDescent="0.2">
      <c r="C1983" s="410"/>
      <c r="D1983" s="411"/>
      <c r="E1983" s="412" t="str">
        <f t="shared" ref="E1983:E1988" si="1377">IF(C1983="","",LOG(D1983/D1982)/LOG(C1983/C1982))</f>
        <v/>
      </c>
      <c r="F1983" s="412"/>
      <c r="G1983" s="413" t="str">
        <f t="shared" si="1376"/>
        <v/>
      </c>
    </row>
    <row r="1984" spans="1:76" x14ac:dyDescent="0.2">
      <c r="C1984" s="410"/>
      <c r="D1984" s="411"/>
      <c r="E1984" s="412" t="str">
        <f t="shared" si="1377"/>
        <v/>
      </c>
      <c r="F1984" s="412"/>
      <c r="G1984" s="413" t="str">
        <f t="shared" si="1376"/>
        <v/>
      </c>
    </row>
    <row r="1985" spans="1:17" x14ac:dyDescent="0.2">
      <c r="C1985" s="410"/>
      <c r="D1985" s="411"/>
      <c r="E1985" s="412" t="str">
        <f t="shared" si="1377"/>
        <v/>
      </c>
      <c r="F1985" s="412"/>
      <c r="G1985" s="413" t="str">
        <f t="shared" si="1376"/>
        <v/>
      </c>
    </row>
    <row r="1986" spans="1:17" x14ac:dyDescent="0.2">
      <c r="C1986" s="410"/>
      <c r="D1986" s="411"/>
      <c r="E1986" s="412" t="str">
        <f t="shared" si="1377"/>
        <v/>
      </c>
      <c r="F1986" s="412"/>
      <c r="G1986" s="413" t="str">
        <f t="shared" si="1376"/>
        <v/>
      </c>
    </row>
    <row r="1987" spans="1:17" x14ac:dyDescent="0.2">
      <c r="C1987" s="410"/>
      <c r="D1987" s="411"/>
      <c r="E1987" s="412" t="str">
        <f t="shared" si="1377"/>
        <v/>
      </c>
      <c r="F1987" s="412"/>
      <c r="G1987" s="413" t="str">
        <f t="shared" si="1376"/>
        <v/>
      </c>
    </row>
    <row r="1988" spans="1:17" x14ac:dyDescent="0.2">
      <c r="C1988" s="410"/>
      <c r="D1988" s="411"/>
      <c r="E1988" s="412" t="str">
        <f t="shared" si="1377"/>
        <v/>
      </c>
      <c r="F1988" s="412"/>
      <c r="G1988" s="413" t="str">
        <f t="shared" si="1376"/>
        <v/>
      </c>
    </row>
    <row r="1991" spans="1:17" ht="18" x14ac:dyDescent="0.25">
      <c r="A1991" s="414" t="s">
        <v>789</v>
      </c>
      <c r="B1991" s="414"/>
      <c r="C1991" s="414"/>
      <c r="D1991" s="414"/>
      <c r="E1991" s="414"/>
      <c r="F1991" s="414"/>
      <c r="G1991" s="414"/>
      <c r="H1991" s="414"/>
      <c r="I1991" s="414"/>
      <c r="J1991" s="414"/>
      <c r="K1991" s="414"/>
      <c r="Q1991" s="8"/>
    </row>
    <row r="1992" spans="1:17" ht="31.5" x14ac:dyDescent="0.2">
      <c r="A1992" s="415" t="s">
        <v>790</v>
      </c>
      <c r="B1992" s="416"/>
      <c r="C1992" s="417" t="s">
        <v>791</v>
      </c>
      <c r="D1992" s="417" t="s">
        <v>792</v>
      </c>
      <c r="E1992" s="417" t="s">
        <v>793</v>
      </c>
      <c r="F1992" s="415" t="s">
        <v>794</v>
      </c>
      <c r="G1992" s="418" t="s">
        <v>795</v>
      </c>
      <c r="H1992" s="418" t="s">
        <v>796</v>
      </c>
      <c r="Q1992" s="8"/>
    </row>
    <row r="1993" spans="1:17" ht="15.75" x14ac:dyDescent="0.25">
      <c r="A1993" s="419" t="s">
        <v>797</v>
      </c>
      <c r="B1993" s="401"/>
      <c r="C1993" s="420"/>
      <c r="D1993" s="420"/>
      <c r="E1993" s="420"/>
      <c r="F1993" s="421" t="str">
        <f>IF(SUM(C1993:E1993)&gt;1,"&gt;100%!","")</f>
        <v/>
      </c>
    </row>
    <row r="1994" spans="1:17" x14ac:dyDescent="0.2">
      <c r="A1994" s="8" t="str">
        <f>'[1]Advanced Controls'!$B$99</f>
        <v>US$2014 to acquire+install per kg of protein</v>
      </c>
      <c r="B1994" s="401"/>
      <c r="C1994" s="422">
        <f t="shared" ref="C1994:D1994" si="1378">C1993*$F$1994</f>
        <v>0</v>
      </c>
      <c r="D1994" s="422">
        <f t="shared" si="1378"/>
        <v>0</v>
      </c>
      <c r="E1994" s="422">
        <f>E1993*$F$1994</f>
        <v>0</v>
      </c>
      <c r="F1994" s="423">
        <f>FirstCostSolution</f>
        <v>0</v>
      </c>
    </row>
    <row r="1995" spans="1:17" x14ac:dyDescent="0.2">
      <c r="A1995" s="419" t="str">
        <f>CONCATENATE("2014 production (in above implementation units)")</f>
        <v>2014 production (in above implementation units)</v>
      </c>
      <c r="B1995" s="401"/>
      <c r="C1995" s="424">
        <f>'[1]Helper Tables'!$C$27/'[1]Advanced Controls'!$F$113*'[1]First Cost'!$F$15</f>
        <v>9134560880.3101997</v>
      </c>
      <c r="D1995" s="424">
        <f>'[1]Helper Tables'!$C$27/'[1]Advanced Controls'!$F$113*'[1]First Cost'!$F$15</f>
        <v>9134560880.3101997</v>
      </c>
      <c r="E1995" s="424">
        <f>'[1]Helper Tables'!$C$27/'[1]Advanced Controls'!$F$113*'[1]First Cost'!$F$15</f>
        <v>9134560880.3101997</v>
      </c>
    </row>
    <row r="1996" spans="1:17" ht="15.75" x14ac:dyDescent="0.25">
      <c r="A1996" s="419" t="s">
        <v>798</v>
      </c>
      <c r="B1996" s="401"/>
      <c r="C1996" s="425"/>
      <c r="D1996" s="425"/>
      <c r="E1996" s="425"/>
      <c r="G1996" s="426" t="e">
        <f ca="1">10^((LOG(F1999/F1994)/LOG(C1998/C1995))*LOG(2))</f>
        <v>#DIV/0!</v>
      </c>
      <c r="H1996" s="426" t="e">
        <f ca="1">1-G1996</f>
        <v>#DIV/0!</v>
      </c>
    </row>
    <row r="1997" spans="1:17" x14ac:dyDescent="0.2">
      <c r="A1997" s="419" t="s">
        <v>799</v>
      </c>
      <c r="B1997" s="427"/>
      <c r="C1997" s="428">
        <v>2</v>
      </c>
      <c r="D1997" s="428">
        <v>2</v>
      </c>
      <c r="E1997" s="428">
        <v>2</v>
      </c>
      <c r="G1997" s="429" t="s">
        <v>800</v>
      </c>
      <c r="H1997" s="429"/>
      <c r="I1997" s="429"/>
      <c r="J1997" s="429"/>
      <c r="Q1997" s="8"/>
    </row>
    <row r="1998" spans="1:17" x14ac:dyDescent="0.2">
      <c r="A1998" s="419" t="str">
        <f>CONCATENATE("2014 production (in above implementation units)")</f>
        <v>2014 production (in above implementation units)</v>
      </c>
      <c r="B1998" s="401"/>
      <c r="C1998" s="424">
        <f ca="1">'[1]Helper Tables'!$C$127/'[1]Advanced Controls'!$F$113*'[1]First Cost'!$F$15</f>
        <v>35972531206.104919</v>
      </c>
      <c r="D1998" s="424">
        <f ca="1">'[1]Helper Tables'!$C$127/'[1]Advanced Controls'!$F$113*'[1]First Cost'!$F$15</f>
        <v>35972531206.104919</v>
      </c>
      <c r="E1998" s="424">
        <f ca="1">'[1]Helper Tables'!$C$127/'[1]Advanced Controls'!$F$113*'[1]First Cost'!$F$15</f>
        <v>35972531206.104919</v>
      </c>
    </row>
    <row r="1999" spans="1:17" x14ac:dyDescent="0.2">
      <c r="A1999" s="8" t="str">
        <f>'[1]Advanced Controls'!$B$99</f>
        <v>US$2014 to acquire+install per kg of protein</v>
      </c>
      <c r="B1999" s="401"/>
      <c r="C1999" s="422" t="e">
        <f ca="1">C1994*(C1998/C1995)^(LOG(C1996)/LOG(C1997))</f>
        <v>#NUM!</v>
      </c>
      <c r="D1999" s="422" t="e">
        <f t="shared" ref="D1999:E1999" ca="1" si="1379">D1994*(D1998/D1995)^(LOG(D1996)/LOG(D1997))</f>
        <v>#NUM!</v>
      </c>
      <c r="E1999" s="422" t="e">
        <f t="shared" ca="1" si="1379"/>
        <v>#NUM!</v>
      </c>
      <c r="F1999" s="422">
        <f t="array" aca="1" ref="F1999" ca="1">SUM(IF(NOT(ISERROR(C1999:E1999)),C1999:E1999,0))</f>
        <v>0</v>
      </c>
    </row>
    <row r="2000" spans="1:17" x14ac:dyDescent="0.2">
      <c r="A2000" s="430"/>
      <c r="B2000" s="431"/>
      <c r="C2000" s="432"/>
      <c r="D2000" s="433"/>
      <c r="E2000" s="433"/>
      <c r="F2000" s="433"/>
      <c r="G2000" s="433"/>
      <c r="H2000" s="433"/>
      <c r="Q2000" s="8"/>
    </row>
    <row r="2001" spans="1:17" ht="31.5" x14ac:dyDescent="0.25">
      <c r="A2001" s="434" t="s">
        <v>801</v>
      </c>
      <c r="B2001" s="427"/>
      <c r="C2001" s="417" t="s">
        <v>791</v>
      </c>
      <c r="D2001" s="417" t="s">
        <v>792</v>
      </c>
      <c r="E2001" s="417" t="s">
        <v>793</v>
      </c>
      <c r="F2001" s="434" t="s">
        <v>794</v>
      </c>
      <c r="G2001" s="418" t="s">
        <v>795</v>
      </c>
      <c r="H2001" s="418" t="s">
        <v>796</v>
      </c>
      <c r="Q2001" s="8"/>
    </row>
    <row r="2002" spans="1:17" ht="15.75" x14ac:dyDescent="0.25">
      <c r="A2002" s="419" t="s">
        <v>797</v>
      </c>
      <c r="B2002" s="401"/>
      <c r="C2002" s="420"/>
      <c r="D2002" s="420"/>
      <c r="E2002" s="420"/>
      <c r="F2002" s="421" t="str">
        <f>IF(SUM(C2002:E2002)&gt;1,"&gt;100%!","")</f>
        <v/>
      </c>
    </row>
    <row r="2003" spans="1:17" x14ac:dyDescent="0.2">
      <c r="A2003" s="8" t="str">
        <f>'[1]Advanced Controls'!$B$99</f>
        <v>US$2014 to acquire+install per kg of protein</v>
      </c>
      <c r="B2003" s="401"/>
      <c r="C2003" s="422">
        <f t="shared" ref="C2003:D2003" si="1380">C2002*$F$2003</f>
        <v>0</v>
      </c>
      <c r="D2003" s="422">
        <f t="shared" si="1380"/>
        <v>0</v>
      </c>
      <c r="E2003" s="422">
        <f>E2002*$F$2003</f>
        <v>0</v>
      </c>
      <c r="F2003" s="423">
        <f>FirstCostSolution</f>
        <v>0</v>
      </c>
    </row>
    <row r="2004" spans="1:17" x14ac:dyDescent="0.2">
      <c r="A2004" s="419" t="str">
        <f>CONCATENATE("2014 production (in above implementation units)")</f>
        <v>2014 production (in above implementation units)</v>
      </c>
      <c r="B2004" s="401"/>
      <c r="C2004" s="424">
        <f>'[1]Helper Tables'!$C$27/'[1]Advanced Controls'!$F$113*'[1]First Cost'!$F$15</f>
        <v>9134560880.3101997</v>
      </c>
      <c r="D2004" s="424">
        <f>'[1]Helper Tables'!$C$27/'[1]Advanced Controls'!$F$113*'[1]First Cost'!$F$15</f>
        <v>9134560880.3101997</v>
      </c>
      <c r="E2004" s="424">
        <f>'[1]Helper Tables'!$C$27/'[1]Advanced Controls'!$F$113*'[1]First Cost'!$F$15</f>
        <v>9134560880.3101997</v>
      </c>
    </row>
    <row r="2005" spans="1:17" ht="15.75" x14ac:dyDescent="0.25">
      <c r="A2005" s="419" t="s">
        <v>798</v>
      </c>
      <c r="B2005" s="401"/>
      <c r="C2005" s="425"/>
      <c r="D2005" s="425"/>
      <c r="E2005" s="425"/>
      <c r="G2005" s="426" t="e">
        <f ca="1">10^((LOG(F2008/F2003)/LOG(C2007/C2004))*LOG(2))</f>
        <v>#DIV/0!</v>
      </c>
      <c r="H2005" s="426" t="e">
        <f ca="1">1-G2005</f>
        <v>#DIV/0!</v>
      </c>
    </row>
    <row r="2006" spans="1:17" x14ac:dyDescent="0.2">
      <c r="A2006" s="419" t="s">
        <v>799</v>
      </c>
      <c r="B2006" s="427"/>
      <c r="C2006" s="428">
        <v>2</v>
      </c>
      <c r="D2006" s="428">
        <v>2</v>
      </c>
      <c r="E2006" s="428">
        <v>2</v>
      </c>
      <c r="G2006" s="429" t="s">
        <v>800</v>
      </c>
      <c r="H2006" s="429"/>
      <c r="I2006" s="429"/>
      <c r="J2006" s="429"/>
      <c r="Q2006" s="8"/>
    </row>
    <row r="2007" spans="1:17" x14ac:dyDescent="0.2">
      <c r="A2007" s="419" t="str">
        <f>CONCATENATE("2014 production (in above implementation units)")</f>
        <v>2014 production (in above implementation units)</v>
      </c>
      <c r="B2007" s="401"/>
      <c r="C2007" s="424">
        <f ca="1">'[1]Helper Tables'!$C$63/'[1]Advanced Controls'!$F$113*'[1]First Cost'!$F$15</f>
        <v>11988437012.930237</v>
      </c>
      <c r="D2007" s="424">
        <f ca="1">'[1]Helper Tables'!$C$63/'[1]Advanced Controls'!$F$113*'[1]First Cost'!$F$15</f>
        <v>11988437012.930237</v>
      </c>
      <c r="E2007" s="424">
        <f ca="1">'[1]Helper Tables'!$C$63/'[1]Advanced Controls'!$F$113*'[1]First Cost'!$F$15</f>
        <v>11988437012.930237</v>
      </c>
    </row>
    <row r="2008" spans="1:17" x14ac:dyDescent="0.2">
      <c r="A2008" s="8" t="str">
        <f>'[1]Advanced Controls'!$B$99</f>
        <v>US$2014 to acquire+install per kg of protein</v>
      </c>
      <c r="B2008" s="401"/>
      <c r="C2008" s="422" t="e">
        <f ca="1">C2003*(C2007/C2004)^(LOG(C2005)/LOG(C2006))</f>
        <v>#NUM!</v>
      </c>
      <c r="D2008" s="422" t="e">
        <f t="shared" ref="D2008:E2008" ca="1" si="1381">D2003*(D2007/D2004)^(LOG(D2005)/LOG(D2006))</f>
        <v>#NUM!</v>
      </c>
      <c r="E2008" s="422" t="e">
        <f t="shared" ca="1" si="1381"/>
        <v>#NUM!</v>
      </c>
      <c r="F2008" s="422">
        <f t="array" aca="1" ref="F2008" ca="1">SUM(IF(NOT(ISERROR(C2008:E2008)),C2008:E2008,0))</f>
        <v>0</v>
      </c>
    </row>
    <row r="2009" spans="1:17" x14ac:dyDescent="0.2">
      <c r="A2009" s="401"/>
      <c r="B2009" s="401"/>
      <c r="C2009" s="401"/>
      <c r="D2009" s="401"/>
      <c r="E2009" s="401"/>
      <c r="F2009" s="401"/>
      <c r="G2009" s="401"/>
    </row>
    <row r="2010" spans="1:17" x14ac:dyDescent="0.2">
      <c r="A2010" s="401"/>
      <c r="B2010" s="401"/>
    </row>
    <row r="2011" spans="1:17" x14ac:dyDescent="0.2">
      <c r="A2011" s="401"/>
      <c r="B2011" s="401"/>
    </row>
    <row r="2012" spans="1:17" x14ac:dyDescent="0.2">
      <c r="A2012" s="401" t="e">
        <f ca="1">HYPERLINK("#"&amp;"'"&amp;A$1&amp;"'!a1","Back to top")</f>
        <v>#VALUE!</v>
      </c>
      <c r="B2012" s="401"/>
    </row>
    <row r="2013" spans="1:17" x14ac:dyDescent="0.2">
      <c r="A2013" s="401"/>
      <c r="B2013" s="401"/>
    </row>
    <row r="2014" spans="1:17" ht="18" x14ac:dyDescent="0.25">
      <c r="A2014" s="414" t="s">
        <v>802</v>
      </c>
      <c r="B2014" s="414"/>
      <c r="C2014" s="414"/>
      <c r="D2014" s="414"/>
      <c r="E2014" s="414"/>
      <c r="F2014" s="414"/>
      <c r="G2014" s="414"/>
      <c r="H2014" s="414"/>
      <c r="I2014" s="414"/>
      <c r="J2014" s="414"/>
      <c r="K2014" s="414"/>
      <c r="Q2014" s="8"/>
    </row>
    <row r="2015" spans="1:17" x14ac:dyDescent="0.2">
      <c r="A2015" s="427" t="s">
        <v>803</v>
      </c>
      <c r="B2015" s="427"/>
      <c r="C2015" s="423">
        <f>FirstCostSolution</f>
        <v>0</v>
      </c>
      <c r="D2015" s="8" t="str">
        <f>'[1]Advanced Controls'!$B$99</f>
        <v>US$2014 to acquire+install per kg of protein</v>
      </c>
    </row>
    <row r="2016" spans="1:17" x14ac:dyDescent="0.2">
      <c r="A2016" s="427" t="s">
        <v>804</v>
      </c>
      <c r="B2016" s="427"/>
      <c r="C2016" s="435">
        <f>'[1]Helper Tables'!$C$91/'[1]Advanced Controls'!$F$113*'[1]First Cost'!$F$15</f>
        <v>9134560880.3101997</v>
      </c>
      <c r="D2016" s="8" t="s">
        <v>805</v>
      </c>
    </row>
    <row r="2017" spans="1:4" ht="15.75" x14ac:dyDescent="0.25">
      <c r="A2017" s="419" t="s">
        <v>798</v>
      </c>
      <c r="B2017" s="427"/>
      <c r="C2017" s="436">
        <f>1-C2018</f>
        <v>1</v>
      </c>
      <c r="D2017" s="8" t="s">
        <v>806</v>
      </c>
    </row>
    <row r="2018" spans="1:4" ht="15.75" x14ac:dyDescent="0.25">
      <c r="A2018" s="419" t="s">
        <v>807</v>
      </c>
      <c r="B2018" s="419"/>
      <c r="C2018" s="437"/>
      <c r="D2018" s="8" t="s">
        <v>808</v>
      </c>
    </row>
    <row r="2019" spans="1:4" x14ac:dyDescent="0.2">
      <c r="A2019" s="427" t="s">
        <v>809</v>
      </c>
      <c r="B2019" s="427"/>
      <c r="C2019" s="438">
        <f ca="1">('[1]Helper Tables'!C127-'[1]Helper Tables'!$C$91)/'[1]Advanced Controls'!$F$113*'[1]First Cost'!$F$15</f>
        <v>26837970325.79472</v>
      </c>
      <c r="D2019" s="8" t="s">
        <v>805</v>
      </c>
    </row>
    <row r="2020" spans="1:4" x14ac:dyDescent="0.2">
      <c r="C2020" s="439">
        <v>2</v>
      </c>
      <c r="D2020" s="440" t="s">
        <v>810</v>
      </c>
    </row>
    <row r="2021" spans="1:4" x14ac:dyDescent="0.2">
      <c r="A2021" s="427" t="s">
        <v>811</v>
      </c>
      <c r="B2021" s="427"/>
      <c r="C2021" s="441">
        <f>LOG(C2017)/LOG(C2020)</f>
        <v>0</v>
      </c>
    </row>
    <row r="2022" spans="1:4" x14ac:dyDescent="0.2">
      <c r="A2022" s="419" t="s">
        <v>812</v>
      </c>
      <c r="B2022" s="419"/>
      <c r="C2022" s="422">
        <f>C2015*(1/C2016)^C2021</f>
        <v>0</v>
      </c>
      <c r="D2022" s="8" t="str">
        <f>D2015</f>
        <v>US$2014 to acquire+install per kg of protein</v>
      </c>
    </row>
    <row r="2023" spans="1:4" x14ac:dyDescent="0.2">
      <c r="A2023" s="419" t="s">
        <v>813</v>
      </c>
      <c r="B2023" s="419"/>
      <c r="C2023" s="424">
        <f ca="1">C2019+C2016</f>
        <v>35972531206.104919</v>
      </c>
      <c r="D2023" s="8" t="s">
        <v>805</v>
      </c>
    </row>
    <row r="2024" spans="1:4" x14ac:dyDescent="0.2">
      <c r="A2024" s="427" t="s">
        <v>814</v>
      </c>
      <c r="B2024" s="427"/>
      <c r="C2024" s="422">
        <f ca="1">C2015*(C2023/C2016)^C2021</f>
        <v>0</v>
      </c>
      <c r="D2024" s="8" t="str">
        <f>D2015</f>
        <v>US$2014 to acquire+install per kg of protein</v>
      </c>
    </row>
    <row r="2026" spans="1:4" x14ac:dyDescent="0.2">
      <c r="A2026" s="401" t="e">
        <f ca="1">HYPERLINK("#"&amp;"'"&amp;A$1&amp;"'!a1","Back to top")</f>
        <v>#VALUE!</v>
      </c>
      <c r="B2026" s="401"/>
    </row>
    <row r="2027" spans="1:4" ht="18" x14ac:dyDescent="0.25">
      <c r="A2027" s="442" t="s">
        <v>815</v>
      </c>
      <c r="B2027" s="442"/>
      <c r="C2027" s="442"/>
      <c r="D2027" s="442"/>
    </row>
    <row r="2028" spans="1:4" ht="31.5" x14ac:dyDescent="0.25">
      <c r="A2028" s="443" t="s">
        <v>816</v>
      </c>
      <c r="B2028" s="443"/>
      <c r="C2028" s="444" t="s">
        <v>817</v>
      </c>
      <c r="D2028" s="444" t="s">
        <v>818</v>
      </c>
    </row>
    <row r="2029" spans="1:4" x14ac:dyDescent="0.2">
      <c r="A2029" s="412">
        <v>2015</v>
      </c>
      <c r="B2029" s="406"/>
      <c r="C2029" s="445">
        <f ca="1">'[1]Helper Tables'!C92/'[1]Advanced Controls'!$F$113*'[1]First Cost'!$F$15</f>
        <v>9880060056.0267372</v>
      </c>
      <c r="D2029" s="446">
        <f ca="1">C$2022*(C2029)^C$2021</f>
        <v>0</v>
      </c>
    </row>
    <row r="2030" spans="1:4" x14ac:dyDescent="0.2">
      <c r="A2030" s="412">
        <v>2016</v>
      </c>
      <c r="B2030" s="406"/>
      <c r="C2030" s="445">
        <f ca="1">'[1]Helper Tables'!C93/'[1]Advanced Controls'!$F$113*'[1]First Cost'!$F$15</f>
        <v>10625559231.743271</v>
      </c>
      <c r="D2030" s="446">
        <f t="shared" ref="D2030:D2074" ca="1" si="1382">C$2022*(C2030)^C$2021</f>
        <v>0</v>
      </c>
    </row>
    <row r="2031" spans="1:4" x14ac:dyDescent="0.2">
      <c r="A2031" s="412">
        <v>2017</v>
      </c>
      <c r="B2031" s="406"/>
      <c r="C2031" s="445">
        <f ca="1">'[1]Helper Tables'!C94/'[1]Advanced Controls'!$F$113*'[1]First Cost'!$F$15</f>
        <v>11371058407.459732</v>
      </c>
      <c r="D2031" s="446">
        <f t="shared" ca="1" si="1382"/>
        <v>0</v>
      </c>
    </row>
    <row r="2032" spans="1:4" x14ac:dyDescent="0.2">
      <c r="A2032" s="412">
        <v>2018</v>
      </c>
      <c r="B2032" s="406"/>
      <c r="C2032" s="445">
        <f ca="1">'[1]Helper Tables'!C95/'[1]Advanced Controls'!$F$113*'[1]First Cost'!$F$15</f>
        <v>12116557583.1763</v>
      </c>
      <c r="D2032" s="446">
        <f t="shared" ca="1" si="1382"/>
        <v>0</v>
      </c>
    </row>
    <row r="2033" spans="1:4" x14ac:dyDescent="0.2">
      <c r="A2033" s="412">
        <v>2019</v>
      </c>
      <c r="B2033" s="406"/>
      <c r="C2033" s="445">
        <f ca="1">'[1]Helper Tables'!C96/'[1]Advanced Controls'!$F$113*'[1]First Cost'!$F$15</f>
        <v>12862056758.892826</v>
      </c>
      <c r="D2033" s="446">
        <f t="shared" ca="1" si="1382"/>
        <v>0</v>
      </c>
    </row>
    <row r="2034" spans="1:4" x14ac:dyDescent="0.2">
      <c r="A2034" s="412">
        <v>2020</v>
      </c>
      <c r="B2034" s="406"/>
      <c r="C2034" s="445">
        <f ca="1">'[1]Helper Tables'!C97/'[1]Advanced Controls'!$F$113*'[1]First Cost'!$F$15</f>
        <v>13607555934.609364</v>
      </c>
      <c r="D2034" s="446">
        <f t="shared" ca="1" si="1382"/>
        <v>0</v>
      </c>
    </row>
    <row r="2035" spans="1:4" x14ac:dyDescent="0.2">
      <c r="A2035" s="412">
        <v>2021</v>
      </c>
      <c r="B2035" s="406"/>
      <c r="C2035" s="445">
        <f ca="1">'[1]Helper Tables'!C98/'[1]Advanced Controls'!$F$113*'[1]First Cost'!$F$15</f>
        <v>14353055110.325851</v>
      </c>
      <c r="D2035" s="446">
        <f t="shared" ca="1" si="1382"/>
        <v>0</v>
      </c>
    </row>
    <row r="2036" spans="1:4" x14ac:dyDescent="0.2">
      <c r="A2036" s="412">
        <v>2022</v>
      </c>
      <c r="B2036" s="406"/>
      <c r="C2036" s="445">
        <f ca="1">'[1]Helper Tables'!C99/'[1]Advanced Controls'!$F$113*'[1]First Cost'!$F$15</f>
        <v>15098554286.042376</v>
      </c>
      <c r="D2036" s="446">
        <f t="shared" ca="1" si="1382"/>
        <v>0</v>
      </c>
    </row>
    <row r="2037" spans="1:4" x14ac:dyDescent="0.2">
      <c r="A2037" s="412">
        <v>2023</v>
      </c>
      <c r="B2037" s="406"/>
      <c r="C2037" s="445">
        <f ca="1">'[1]Helper Tables'!C100/'[1]Advanced Controls'!$F$113*'[1]First Cost'!$F$15</f>
        <v>15844053461.758881</v>
      </c>
      <c r="D2037" s="446">
        <f t="shared" ca="1" si="1382"/>
        <v>0</v>
      </c>
    </row>
    <row r="2038" spans="1:4" x14ac:dyDescent="0.2">
      <c r="A2038" s="412">
        <v>2024</v>
      </c>
      <c r="B2038" s="406"/>
      <c r="C2038" s="445">
        <f ca="1">'[1]Helper Tables'!C101/'[1]Advanced Controls'!$F$113*'[1]First Cost'!$F$15</f>
        <v>16589552637.475407</v>
      </c>
      <c r="D2038" s="446">
        <f t="shared" ca="1" si="1382"/>
        <v>0</v>
      </c>
    </row>
    <row r="2039" spans="1:4" x14ac:dyDescent="0.2">
      <c r="A2039" s="412">
        <v>2025</v>
      </c>
      <c r="B2039" s="406"/>
      <c r="C2039" s="445">
        <f ca="1">'[1]Helper Tables'!C102/'[1]Advanced Controls'!$F$113*'[1]First Cost'!$F$15</f>
        <v>17335051813.191902</v>
      </c>
      <c r="D2039" s="446">
        <f t="shared" ca="1" si="1382"/>
        <v>0</v>
      </c>
    </row>
    <row r="2040" spans="1:4" x14ac:dyDescent="0.2">
      <c r="A2040" s="412">
        <v>2026</v>
      </c>
      <c r="B2040" s="406"/>
      <c r="C2040" s="445">
        <f ca="1">'[1]Helper Tables'!C103/'[1]Advanced Controls'!$F$113*'[1]First Cost'!$F$15</f>
        <v>18080550988.908474</v>
      </c>
      <c r="D2040" s="446">
        <f t="shared" ca="1" si="1382"/>
        <v>0</v>
      </c>
    </row>
    <row r="2041" spans="1:4" x14ac:dyDescent="0.2">
      <c r="A2041" s="412">
        <v>2027</v>
      </c>
      <c r="B2041" s="406"/>
      <c r="C2041" s="445">
        <f ca="1">'[1]Helper Tables'!C104/'[1]Advanced Controls'!$F$113*'[1]First Cost'!$F$15</f>
        <v>18826050164.624969</v>
      </c>
      <c r="D2041" s="446">
        <f t="shared" ca="1" si="1382"/>
        <v>0</v>
      </c>
    </row>
    <row r="2042" spans="1:4" x14ac:dyDescent="0.2">
      <c r="A2042" s="412">
        <v>2028</v>
      </c>
      <c r="B2042" s="406"/>
      <c r="C2042" s="445">
        <f ca="1">'[1]Helper Tables'!C105/'[1]Advanced Controls'!$F$113*'[1]First Cost'!$F$15</f>
        <v>19571549340.341522</v>
      </c>
      <c r="D2042" s="446">
        <f t="shared" ca="1" si="1382"/>
        <v>0</v>
      </c>
    </row>
    <row r="2043" spans="1:4" x14ac:dyDescent="0.2">
      <c r="A2043" s="412">
        <v>2029</v>
      </c>
      <c r="B2043" s="406"/>
      <c r="C2043" s="445">
        <f ca="1">'[1]Helper Tables'!C106/'[1]Advanced Controls'!$F$113*'[1]First Cost'!$F$15</f>
        <v>20317048516.058022</v>
      </c>
      <c r="D2043" s="446">
        <f t="shared" ca="1" si="1382"/>
        <v>0</v>
      </c>
    </row>
    <row r="2044" spans="1:4" x14ac:dyDescent="0.2">
      <c r="A2044" s="412">
        <v>2030</v>
      </c>
      <c r="B2044" s="406"/>
      <c r="C2044" s="445">
        <f ca="1">'[1]Helper Tables'!C107/'[1]Advanced Controls'!$F$113*'[1]First Cost'!$F$15</f>
        <v>21062547691.774551</v>
      </c>
      <c r="D2044" s="446">
        <f t="shared" ca="1" si="1382"/>
        <v>0</v>
      </c>
    </row>
    <row r="2045" spans="1:4" x14ac:dyDescent="0.2">
      <c r="A2045" s="412">
        <v>2031</v>
      </c>
      <c r="B2045" s="406"/>
      <c r="C2045" s="445">
        <f ca="1">'[1]Helper Tables'!C108/'[1]Advanced Controls'!$F$113*'[1]First Cost'!$F$15</f>
        <v>21808046867.491062</v>
      </c>
      <c r="D2045" s="446">
        <f t="shared" ca="1" si="1382"/>
        <v>0</v>
      </c>
    </row>
    <row r="2046" spans="1:4" x14ac:dyDescent="0.2">
      <c r="A2046" s="412">
        <v>2032</v>
      </c>
      <c r="B2046" s="406"/>
      <c r="C2046" s="445">
        <f ca="1">'[1]Helper Tables'!C109/'[1]Advanced Controls'!$F$113*'[1]First Cost'!$F$15</f>
        <v>22553546043.207512</v>
      </c>
      <c r="D2046" s="446">
        <f t="shared" ca="1" si="1382"/>
        <v>0</v>
      </c>
    </row>
    <row r="2047" spans="1:4" x14ac:dyDescent="0.2">
      <c r="A2047" s="412">
        <v>2033</v>
      </c>
      <c r="B2047" s="406"/>
      <c r="C2047" s="445">
        <f ca="1">'[1]Helper Tables'!C110/'[1]Advanced Controls'!$F$113*'[1]First Cost'!$F$15</f>
        <v>23299045218.924099</v>
      </c>
      <c r="D2047" s="446">
        <f t="shared" ca="1" si="1382"/>
        <v>0</v>
      </c>
    </row>
    <row r="2048" spans="1:4" x14ac:dyDescent="0.2">
      <c r="A2048" s="412">
        <v>2034</v>
      </c>
      <c r="B2048" s="406"/>
      <c r="C2048" s="445">
        <f ca="1">'[1]Helper Tables'!C111/'[1]Advanced Controls'!$F$113*'[1]First Cost'!$F$15</f>
        <v>24044544394.640594</v>
      </c>
      <c r="D2048" s="446">
        <f t="shared" ca="1" si="1382"/>
        <v>0</v>
      </c>
    </row>
    <row r="2049" spans="1:4" x14ac:dyDescent="0.2">
      <c r="A2049" s="412">
        <v>2035</v>
      </c>
      <c r="B2049" s="406"/>
      <c r="C2049" s="445">
        <f ca="1">'[1]Helper Tables'!C112/'[1]Advanced Controls'!$F$113*'[1]First Cost'!$F$15</f>
        <v>24790043570.357109</v>
      </c>
      <c r="D2049" s="446">
        <f t="shared" ca="1" si="1382"/>
        <v>0</v>
      </c>
    </row>
    <row r="2050" spans="1:4" x14ac:dyDescent="0.2">
      <c r="A2050" s="412">
        <v>2036</v>
      </c>
      <c r="B2050" s="406"/>
      <c r="C2050" s="445">
        <f ca="1">'[1]Helper Tables'!C113/'[1]Advanced Controls'!$F$113*'[1]First Cost'!$F$15</f>
        <v>25535542746.073654</v>
      </c>
      <c r="D2050" s="446">
        <f t="shared" ca="1" si="1382"/>
        <v>0</v>
      </c>
    </row>
    <row r="2051" spans="1:4" x14ac:dyDescent="0.2">
      <c r="A2051" s="412">
        <v>2037</v>
      </c>
      <c r="B2051" s="406"/>
      <c r="C2051" s="445">
        <f ca="1">'[1]Helper Tables'!C114/'[1]Advanced Controls'!$F$113*'[1]First Cost'!$F$15</f>
        <v>26281041921.790169</v>
      </c>
      <c r="D2051" s="446">
        <f t="shared" ca="1" si="1382"/>
        <v>0</v>
      </c>
    </row>
    <row r="2052" spans="1:4" x14ac:dyDescent="0.2">
      <c r="A2052" s="412">
        <v>2038</v>
      </c>
      <c r="B2052" s="406"/>
      <c r="C2052" s="445">
        <f ca="1">'[1]Helper Tables'!C115/'[1]Advanced Controls'!$F$113*'[1]First Cost'!$F$15</f>
        <v>27026541097.506691</v>
      </c>
      <c r="D2052" s="446">
        <f t="shared" ca="1" si="1382"/>
        <v>0</v>
      </c>
    </row>
    <row r="2053" spans="1:4" x14ac:dyDescent="0.2">
      <c r="A2053" s="412">
        <v>2039</v>
      </c>
      <c r="B2053" s="406"/>
      <c r="C2053" s="445">
        <f ca="1">'[1]Helper Tables'!C116/'[1]Advanced Controls'!$F$113*'[1]First Cost'!$F$15</f>
        <v>27772040273.223217</v>
      </c>
      <c r="D2053" s="446">
        <f t="shared" ca="1" si="1382"/>
        <v>0</v>
      </c>
    </row>
    <row r="2054" spans="1:4" x14ac:dyDescent="0.2">
      <c r="A2054" s="412">
        <v>2040</v>
      </c>
      <c r="B2054" s="406"/>
      <c r="C2054" s="445">
        <f ca="1">'[1]Helper Tables'!C117/'[1]Advanced Controls'!$F$113*'[1]First Cost'!$F$15</f>
        <v>28517539448.939732</v>
      </c>
      <c r="D2054" s="446">
        <f t="shared" ca="1" si="1382"/>
        <v>0</v>
      </c>
    </row>
    <row r="2055" spans="1:4" x14ac:dyDescent="0.2">
      <c r="A2055" s="412">
        <v>2041</v>
      </c>
      <c r="B2055" s="406"/>
      <c r="C2055" s="445">
        <f ca="1">'[1]Helper Tables'!C118/'[1]Advanced Controls'!$F$113*'[1]First Cost'!$F$15</f>
        <v>29263038624.656239</v>
      </c>
      <c r="D2055" s="446">
        <f t="shared" ca="1" si="1382"/>
        <v>0</v>
      </c>
    </row>
    <row r="2056" spans="1:4" x14ac:dyDescent="0.2">
      <c r="A2056" s="412">
        <v>2042</v>
      </c>
      <c r="B2056" s="406"/>
      <c r="C2056" s="445">
        <f ca="1">'[1]Helper Tables'!C119/'[1]Advanced Controls'!$F$113*'[1]First Cost'!$F$15</f>
        <v>30008537800.372704</v>
      </c>
      <c r="D2056" s="446">
        <f t="shared" ca="1" si="1382"/>
        <v>0</v>
      </c>
    </row>
    <row r="2057" spans="1:4" x14ac:dyDescent="0.2">
      <c r="A2057" s="412">
        <v>2043</v>
      </c>
      <c r="B2057" s="406"/>
      <c r="C2057" s="445">
        <f ca="1">'[1]Helper Tables'!C120/'[1]Advanced Controls'!$F$113*'[1]First Cost'!$F$15</f>
        <v>30754036976.089287</v>
      </c>
      <c r="D2057" s="446">
        <f t="shared" ca="1" si="1382"/>
        <v>0</v>
      </c>
    </row>
    <row r="2058" spans="1:4" x14ac:dyDescent="0.2">
      <c r="A2058" s="412">
        <v>2044</v>
      </c>
      <c r="B2058" s="406"/>
      <c r="C2058" s="445">
        <f ca="1">'[1]Helper Tables'!C121/'[1]Advanced Controls'!$F$113*'[1]First Cost'!$F$15</f>
        <v>31499536151.80584</v>
      </c>
      <c r="D2058" s="446">
        <f t="shared" ca="1" si="1382"/>
        <v>0</v>
      </c>
    </row>
    <row r="2059" spans="1:4" ht="15" customHeight="1" x14ac:dyDescent="0.2">
      <c r="A2059" s="412">
        <v>2045</v>
      </c>
      <c r="B2059" s="406"/>
      <c r="C2059" s="445">
        <f ca="1">'[1]Helper Tables'!C122/'[1]Advanced Controls'!$F$113*'[1]First Cost'!$F$15</f>
        <v>32245035327.522358</v>
      </c>
      <c r="D2059" s="446">
        <f t="shared" ca="1" si="1382"/>
        <v>0</v>
      </c>
    </row>
    <row r="2060" spans="1:4" x14ac:dyDescent="0.2">
      <c r="A2060" s="412">
        <v>2046</v>
      </c>
      <c r="B2060" s="406"/>
      <c r="C2060" s="445">
        <f ca="1">'[1]Helper Tables'!C123/'[1]Advanced Controls'!$F$113*'[1]First Cost'!$F$15</f>
        <v>32990534503.238838</v>
      </c>
      <c r="D2060" s="446">
        <f t="shared" ca="1" si="1382"/>
        <v>0</v>
      </c>
    </row>
    <row r="2061" spans="1:4" x14ac:dyDescent="0.2">
      <c r="A2061" s="412">
        <v>2047</v>
      </c>
      <c r="B2061" s="406"/>
      <c r="C2061" s="445">
        <f ca="1">'[1]Helper Tables'!C124/'[1]Advanced Controls'!$F$113*'[1]First Cost'!$F$15</f>
        <v>33736033678.955368</v>
      </c>
      <c r="D2061" s="446">
        <f t="shared" ca="1" si="1382"/>
        <v>0</v>
      </c>
    </row>
    <row r="2062" spans="1:4" x14ac:dyDescent="0.2">
      <c r="A2062" s="412">
        <v>2048</v>
      </c>
      <c r="B2062" s="406"/>
      <c r="C2062" s="445">
        <f ca="1">'[1]Helper Tables'!C125/'[1]Advanced Controls'!$F$113*'[1]First Cost'!$F$15</f>
        <v>34481532854.671883</v>
      </c>
      <c r="D2062" s="446">
        <f t="shared" ca="1" si="1382"/>
        <v>0</v>
      </c>
    </row>
    <row r="2063" spans="1:4" x14ac:dyDescent="0.2">
      <c r="A2063" s="412">
        <v>2049</v>
      </c>
      <c r="B2063" s="406"/>
      <c r="C2063" s="445">
        <f ca="1">'[1]Helper Tables'!C126/'[1]Advanced Controls'!$F$113*'[1]First Cost'!$F$15</f>
        <v>35227032030.388382</v>
      </c>
      <c r="D2063" s="446">
        <f t="shared" ca="1" si="1382"/>
        <v>0</v>
      </c>
    </row>
    <row r="2064" spans="1:4" x14ac:dyDescent="0.2">
      <c r="A2064" s="412">
        <v>2050</v>
      </c>
      <c r="B2064" s="406"/>
      <c r="C2064" s="445">
        <f ca="1">'[1]Helper Tables'!C127/'[1]Advanced Controls'!$F$113*'[1]First Cost'!$F$15</f>
        <v>35972531206.104919</v>
      </c>
      <c r="D2064" s="446">
        <f t="shared" ca="1" si="1382"/>
        <v>0</v>
      </c>
    </row>
    <row r="2065" spans="1:4" x14ac:dyDescent="0.2">
      <c r="A2065" s="412">
        <v>2051</v>
      </c>
      <c r="B2065" s="406"/>
      <c r="C2065" s="445">
        <f ca="1">'[1]Helper Tables'!C128/'[1]Advanced Controls'!$F$113*'[1]First Cost'!$F$15</f>
        <v>36718030381.821404</v>
      </c>
      <c r="D2065" s="446">
        <f t="shared" ca="1" si="1382"/>
        <v>0</v>
      </c>
    </row>
    <row r="2066" spans="1:4" x14ac:dyDescent="0.2">
      <c r="A2066" s="412">
        <v>2052</v>
      </c>
      <c r="B2066" s="406"/>
      <c r="C2066" s="445">
        <f ca="1">'[1]Helper Tables'!C129/'[1]Advanced Controls'!$F$113*'[1]First Cost'!$F$15</f>
        <v>37463529557.537918</v>
      </c>
      <c r="D2066" s="446">
        <f t="shared" ca="1" si="1382"/>
        <v>0</v>
      </c>
    </row>
    <row r="2067" spans="1:4" x14ac:dyDescent="0.2">
      <c r="A2067" s="412">
        <v>2053</v>
      </c>
      <c r="B2067" s="406"/>
      <c r="C2067" s="445">
        <f ca="1">'[1]Helper Tables'!C130/'[1]Advanced Controls'!$F$113*'[1]First Cost'!$F$15</f>
        <v>38209028733.254471</v>
      </c>
      <c r="D2067" s="446">
        <f t="shared" ca="1" si="1382"/>
        <v>0</v>
      </c>
    </row>
    <row r="2068" spans="1:4" x14ac:dyDescent="0.2">
      <c r="A2068" s="412">
        <v>2054</v>
      </c>
      <c r="B2068" s="406"/>
      <c r="C2068" s="445">
        <f ca="1">'[1]Helper Tables'!C131/'[1]Advanced Controls'!$F$113*'[1]First Cost'!$F$15</f>
        <v>38954527908.971046</v>
      </c>
      <c r="D2068" s="446">
        <f t="shared" ca="1" si="1382"/>
        <v>0</v>
      </c>
    </row>
    <row r="2069" spans="1:4" x14ac:dyDescent="0.2">
      <c r="A2069" s="412">
        <v>2055</v>
      </c>
      <c r="B2069" s="406"/>
      <c r="C2069" s="445">
        <f ca="1">'[1]Helper Tables'!C132/'[1]Advanced Controls'!$F$113*'[1]First Cost'!$F$15</f>
        <v>39700027084.687515</v>
      </c>
      <c r="D2069" s="446">
        <f t="shared" ca="1" si="1382"/>
        <v>0</v>
      </c>
    </row>
    <row r="2070" spans="1:4" x14ac:dyDescent="0.2">
      <c r="A2070" s="412">
        <v>2056</v>
      </c>
      <c r="B2070" s="406"/>
      <c r="C2070" s="445">
        <f ca="1">'[1]Helper Tables'!C133/'[1]Advanced Controls'!$F$113*'[1]First Cost'!$F$15</f>
        <v>40445526260.404022</v>
      </c>
      <c r="D2070" s="446">
        <f t="shared" ca="1" si="1382"/>
        <v>0</v>
      </c>
    </row>
    <row r="2071" spans="1:4" x14ac:dyDescent="0.2">
      <c r="A2071" s="412">
        <v>2057</v>
      </c>
      <c r="B2071" s="406"/>
      <c r="C2071" s="445">
        <f ca="1">'[1]Helper Tables'!C134/'[1]Advanced Controls'!$F$113*'[1]First Cost'!$F$15</f>
        <v>41191025436.120537</v>
      </c>
      <c r="D2071" s="446">
        <f t="shared" ca="1" si="1382"/>
        <v>0</v>
      </c>
    </row>
    <row r="2072" spans="1:4" x14ac:dyDescent="0.2">
      <c r="A2072" s="412">
        <v>2058</v>
      </c>
      <c r="B2072" s="406"/>
      <c r="C2072" s="445">
        <f ca="1">'[1]Helper Tables'!C135/'[1]Advanced Controls'!$F$113*'[1]First Cost'!$F$15</f>
        <v>41936524611.837067</v>
      </c>
      <c r="D2072" s="446">
        <f t="shared" ca="1" si="1382"/>
        <v>0</v>
      </c>
    </row>
    <row r="2073" spans="1:4" x14ac:dyDescent="0.2">
      <c r="A2073" s="412">
        <v>2059</v>
      </c>
      <c r="B2073" s="406"/>
      <c r="C2073" s="445">
        <f ca="1">'[1]Helper Tables'!C136/'[1]Advanced Controls'!$F$113*'[1]First Cost'!$F$15</f>
        <v>42682023787.553581</v>
      </c>
      <c r="D2073" s="446">
        <f t="shared" ca="1" si="1382"/>
        <v>0</v>
      </c>
    </row>
    <row r="2074" spans="1:4" x14ac:dyDescent="0.2">
      <c r="A2074" s="412">
        <v>2060</v>
      </c>
      <c r="B2074" s="406"/>
      <c r="C2074" s="445">
        <f ca="1">'[1]Helper Tables'!C137/'[1]Advanced Controls'!$F$113*'[1]First Cost'!$F$15</f>
        <v>43427522963.270103</v>
      </c>
      <c r="D2074" s="446">
        <f t="shared" ca="1" si="1382"/>
        <v>0</v>
      </c>
    </row>
    <row r="2077" spans="1:4" x14ac:dyDescent="0.2">
      <c r="A2077" s="401" t="e">
        <f ca="1">HYPERLINK("#"&amp;"'"&amp;A$1&amp;"'!a1","Back to top")</f>
        <v>#VALUE!</v>
      </c>
      <c r="B2077" s="401"/>
    </row>
  </sheetData>
  <sheetProtection formatCells="0" formatColumns="0" formatRows="0" insertColumns="0" insertRows="0" insertHyperlinks="0"/>
  <mergeCells count="136">
    <mergeCell ref="A2014:K2014"/>
    <mergeCell ref="A2027:D2027"/>
    <mergeCell ref="D1927:J1933"/>
    <mergeCell ref="AR1929:AS1930"/>
    <mergeCell ref="R1937:U1937"/>
    <mergeCell ref="D1961:J1967"/>
    <mergeCell ref="AR1963:AS1964"/>
    <mergeCell ref="A1991:K1991"/>
    <mergeCell ref="D1857:J1863"/>
    <mergeCell ref="AR1859:AS1860"/>
    <mergeCell ref="R1869:U1869"/>
    <mergeCell ref="D1893:J1899"/>
    <mergeCell ref="AR1895:AS1896"/>
    <mergeCell ref="R1903:U1903"/>
    <mergeCell ref="D1786:J1792"/>
    <mergeCell ref="AR1788:AS1789"/>
    <mergeCell ref="R1797:U1797"/>
    <mergeCell ref="D1821:J1827"/>
    <mergeCell ref="AR1823:AS1824"/>
    <mergeCell ref="R1833:U1833"/>
    <mergeCell ref="D1718:J1724"/>
    <mergeCell ref="AR1720:AS1721"/>
    <mergeCell ref="R1728:U1728"/>
    <mergeCell ref="D1752:J1758"/>
    <mergeCell ref="AR1754:AS1755"/>
    <mergeCell ref="R1762:U1762"/>
    <mergeCell ref="D1646:J1652"/>
    <mergeCell ref="AR1648:AS1649"/>
    <mergeCell ref="R1658:U1658"/>
    <mergeCell ref="D1682:J1688"/>
    <mergeCell ref="AR1684:AS1685"/>
    <mergeCell ref="R1694:U1694"/>
    <mergeCell ref="D1575:J1581"/>
    <mergeCell ref="AR1577:AS1578"/>
    <mergeCell ref="R1586:U1586"/>
    <mergeCell ref="D1610:J1616"/>
    <mergeCell ref="AR1612:AS1613"/>
    <mergeCell ref="R1622:U1622"/>
    <mergeCell ref="D1501:J1507"/>
    <mergeCell ref="AR1503:AS1504"/>
    <mergeCell ref="R1513:U1513"/>
    <mergeCell ref="D1537:J1543"/>
    <mergeCell ref="AR1539:AS1540"/>
    <mergeCell ref="R1551:U1551"/>
    <mergeCell ref="D1426:J1432"/>
    <mergeCell ref="AR1428:AS1429"/>
    <mergeCell ref="R1437:U1437"/>
    <mergeCell ref="D1461:J1467"/>
    <mergeCell ref="AR1463:AS1464"/>
    <mergeCell ref="R1477:U1477"/>
    <mergeCell ref="D1211:J1217"/>
    <mergeCell ref="AR1213:AS1214"/>
    <mergeCell ref="R1223:U1223"/>
    <mergeCell ref="D1316:J1322"/>
    <mergeCell ref="AR1318:AS1319"/>
    <mergeCell ref="R1327:U1327"/>
    <mergeCell ref="D903:J909"/>
    <mergeCell ref="AR905:AS906"/>
    <mergeCell ref="R915:U915"/>
    <mergeCell ref="D1049:J1055"/>
    <mergeCell ref="AR1051:AS1052"/>
    <mergeCell ref="R1061:U1061"/>
    <mergeCell ref="D650:J656"/>
    <mergeCell ref="AR652:AS653"/>
    <mergeCell ref="R660:U660"/>
    <mergeCell ref="D684:J690"/>
    <mergeCell ref="AR686:AS687"/>
    <mergeCell ref="R694:U694"/>
    <mergeCell ref="R556:U556"/>
    <mergeCell ref="D580:J586"/>
    <mergeCell ref="R592:U592"/>
    <mergeCell ref="D616:J622"/>
    <mergeCell ref="AR618:AS619"/>
    <mergeCell ref="R626:U626"/>
    <mergeCell ref="R482:U482"/>
    <mergeCell ref="D506:J512"/>
    <mergeCell ref="AR508:AS509"/>
    <mergeCell ref="R522:U522"/>
    <mergeCell ref="D546:J552"/>
    <mergeCell ref="AR548:AS549"/>
    <mergeCell ref="R328:U328"/>
    <mergeCell ref="D434:J440"/>
    <mergeCell ref="AR436:AS437"/>
    <mergeCell ref="R446:U446"/>
    <mergeCell ref="D470:J476"/>
    <mergeCell ref="AR472:AS473"/>
    <mergeCell ref="R256:U256"/>
    <mergeCell ref="D280:J286"/>
    <mergeCell ref="AR282:AS283"/>
    <mergeCell ref="R292:U292"/>
    <mergeCell ref="D316:J322"/>
    <mergeCell ref="AR318:AS319"/>
    <mergeCell ref="R187:U187"/>
    <mergeCell ref="D211:J217"/>
    <mergeCell ref="AR213:AS214"/>
    <mergeCell ref="R222:U222"/>
    <mergeCell ref="D246:J252"/>
    <mergeCell ref="AR248:AS249"/>
    <mergeCell ref="R115:U115"/>
    <mergeCell ref="D139:J145"/>
    <mergeCell ref="AR141:AS142"/>
    <mergeCell ref="R151:U151"/>
    <mergeCell ref="D176:J182"/>
    <mergeCell ref="AR177:AS178"/>
    <mergeCell ref="R46:U46"/>
    <mergeCell ref="Q47:U47"/>
    <mergeCell ref="D70:J76"/>
    <mergeCell ref="AR72:AS73"/>
    <mergeCell ref="R80:T80"/>
    <mergeCell ref="D105:J111"/>
    <mergeCell ref="AR108:AS109"/>
    <mergeCell ref="P30:P32"/>
    <mergeCell ref="P34:Q34"/>
    <mergeCell ref="R34:T34"/>
    <mergeCell ref="AJ34:AN34"/>
    <mergeCell ref="P37:P39"/>
    <mergeCell ref="R44:T44"/>
    <mergeCell ref="J18:L18"/>
    <mergeCell ref="P18:P23"/>
    <mergeCell ref="AJ18:AJ21"/>
    <mergeCell ref="P27:Q27"/>
    <mergeCell ref="R27:T27"/>
    <mergeCell ref="AJ27:AN27"/>
    <mergeCell ref="AQ2:AR2"/>
    <mergeCell ref="P5:P11"/>
    <mergeCell ref="AJ5:AJ8"/>
    <mergeCell ref="P15:Q15"/>
    <mergeCell ref="R15:W15"/>
    <mergeCell ref="AJ15:AK15"/>
    <mergeCell ref="AL15:AN15"/>
    <mergeCell ref="C1:M1"/>
    <mergeCell ref="P1:X1"/>
    <mergeCell ref="P2:Q2"/>
    <mergeCell ref="R2:X2"/>
    <mergeCell ref="AJ2:AK2"/>
    <mergeCell ref="AL2:AO2"/>
  </mergeCells>
  <conditionalFormatting sqref="Q42:Q43 Q40 Q45 Q80:Q81 G55:G68 I55:I68 G432 I432">
    <cfRule type="containsText" dxfId="1254" priority="1251" operator="containsText" text="no">
      <formula>NOT(ISERROR(SEARCH("no",G40)))</formula>
    </cfRule>
    <cfRule type="cellIs" dxfId="1253" priority="1255" operator="equal">
      <formula>#REF!</formula>
    </cfRule>
  </conditionalFormatting>
  <conditionalFormatting sqref="Q42:Q43 Q40 Q45 Q80:Q81 G55:G68 I55:I68 G432 I432">
    <cfRule type="containsText" dxfId="1252" priority="1252" operator="containsText" text="yes">
      <formula>NOT(ISERROR(SEARCH("yes",G40)))</formula>
    </cfRule>
  </conditionalFormatting>
  <conditionalFormatting sqref="S107">
    <cfRule type="expression" dxfId="1251" priority="1250">
      <formula>S107="no"</formula>
    </cfRule>
  </conditionalFormatting>
  <conditionalFormatting sqref="I663:I664">
    <cfRule type="containsText" dxfId="1250" priority="952" operator="containsText" text="no">
      <formula>NOT(ISERROR(SEARCH("no",I663)))</formula>
    </cfRule>
    <cfRule type="cellIs" dxfId="1249" priority="956" operator="equal">
      <formula>#REF!</formula>
    </cfRule>
  </conditionalFormatting>
  <conditionalFormatting sqref="I663:I664">
    <cfRule type="containsText" dxfId="1248" priority="953" operator="containsText" text="yes">
      <formula>NOT(ISERROR(SEARCH("yes",I663)))</formula>
    </cfRule>
  </conditionalFormatting>
  <conditionalFormatting sqref="S141">
    <cfRule type="expression" dxfId="1247" priority="1247">
      <formula>S141="no"</formula>
    </cfRule>
  </conditionalFormatting>
  <conditionalFormatting sqref="S177">
    <cfRule type="expression" dxfId="1246" priority="1246">
      <formula>S177="no"</formula>
    </cfRule>
  </conditionalFormatting>
  <conditionalFormatting sqref="S213">
    <cfRule type="expression" dxfId="1245" priority="1245">
      <formula>S213="no"</formula>
    </cfRule>
  </conditionalFormatting>
  <conditionalFormatting sqref="S248">
    <cfRule type="expression" dxfId="1244" priority="1244">
      <formula>S248="no"</formula>
    </cfRule>
  </conditionalFormatting>
  <conditionalFormatting sqref="S282">
    <cfRule type="expression" dxfId="1243" priority="1243">
      <formula>S282="no"</formula>
    </cfRule>
  </conditionalFormatting>
  <conditionalFormatting sqref="S318">
    <cfRule type="expression" dxfId="1242" priority="1242">
      <formula>S318="no"</formula>
    </cfRule>
  </conditionalFormatting>
  <conditionalFormatting sqref="S436">
    <cfRule type="expression" dxfId="1241" priority="1241">
      <formula>S436="no"</formula>
    </cfRule>
  </conditionalFormatting>
  <conditionalFormatting sqref="S472">
    <cfRule type="expression" dxfId="1240" priority="1240">
      <formula>S472="no"</formula>
    </cfRule>
  </conditionalFormatting>
  <conditionalFormatting sqref="S508">
    <cfRule type="expression" dxfId="1239" priority="1239">
      <formula>S508="no"</formula>
    </cfRule>
  </conditionalFormatting>
  <conditionalFormatting sqref="S548">
    <cfRule type="expression" dxfId="1238" priority="1238">
      <formula>S548="no"</formula>
    </cfRule>
  </conditionalFormatting>
  <conditionalFormatting sqref="S582">
    <cfRule type="expression" dxfId="1237" priority="1237">
      <formula>S582="no"</formula>
    </cfRule>
  </conditionalFormatting>
  <conditionalFormatting sqref="S618">
    <cfRule type="expression" dxfId="1236" priority="1236">
      <formula>S618="no"</formula>
    </cfRule>
  </conditionalFormatting>
  <conditionalFormatting sqref="S652">
    <cfRule type="expression" dxfId="1235" priority="1235">
      <formula>S652="no"</formula>
    </cfRule>
  </conditionalFormatting>
  <conditionalFormatting sqref="S686">
    <cfRule type="expression" dxfId="1234" priority="1234">
      <formula>S686="no"</formula>
    </cfRule>
  </conditionalFormatting>
  <conditionalFormatting sqref="S905">
    <cfRule type="expression" dxfId="1233" priority="1233">
      <formula>S905="no"</formula>
    </cfRule>
  </conditionalFormatting>
  <conditionalFormatting sqref="S1051">
    <cfRule type="expression" dxfId="1232" priority="1232">
      <formula>S1051="no"</formula>
    </cfRule>
  </conditionalFormatting>
  <conditionalFormatting sqref="S1213">
    <cfRule type="expression" dxfId="1231" priority="1231">
      <formula>S1213="no"</formula>
    </cfRule>
  </conditionalFormatting>
  <conditionalFormatting sqref="S1318">
    <cfRule type="expression" dxfId="1230" priority="1230">
      <formula>S1318="no"</formula>
    </cfRule>
  </conditionalFormatting>
  <conditionalFormatting sqref="S1428">
    <cfRule type="expression" dxfId="1229" priority="1229">
      <formula>S1428="no"</formula>
    </cfRule>
  </conditionalFormatting>
  <conditionalFormatting sqref="S1463">
    <cfRule type="expression" dxfId="1228" priority="1228">
      <formula>S1463="no"</formula>
    </cfRule>
  </conditionalFormatting>
  <conditionalFormatting sqref="S1503">
    <cfRule type="expression" dxfId="1227" priority="1227">
      <formula>S1503="no"</formula>
    </cfRule>
  </conditionalFormatting>
  <conditionalFormatting sqref="S1539">
    <cfRule type="expression" dxfId="1226" priority="1226">
      <formula>S1539="no"</formula>
    </cfRule>
  </conditionalFormatting>
  <conditionalFormatting sqref="S1577">
    <cfRule type="expression" dxfId="1225" priority="1225">
      <formula>S1577="no"</formula>
    </cfRule>
  </conditionalFormatting>
  <conditionalFormatting sqref="S1612">
    <cfRule type="expression" dxfId="1224" priority="1224">
      <formula>S1612="no"</formula>
    </cfRule>
  </conditionalFormatting>
  <conditionalFormatting sqref="S1648">
    <cfRule type="expression" dxfId="1223" priority="1223">
      <formula>S1648="no"</formula>
    </cfRule>
  </conditionalFormatting>
  <conditionalFormatting sqref="S1684">
    <cfRule type="expression" dxfId="1222" priority="1222">
      <formula>S1684="no"</formula>
    </cfRule>
  </conditionalFormatting>
  <conditionalFormatting sqref="S1720">
    <cfRule type="expression" dxfId="1221" priority="1221">
      <formula>S1720="no"</formula>
    </cfRule>
  </conditionalFormatting>
  <conditionalFormatting sqref="S1754">
    <cfRule type="expression" dxfId="1220" priority="1220">
      <formula>S1754="no"</formula>
    </cfRule>
  </conditionalFormatting>
  <conditionalFormatting sqref="S72">
    <cfRule type="expression" dxfId="1219" priority="1219">
      <formula>S72="no"</formula>
    </cfRule>
  </conditionalFormatting>
  <conditionalFormatting sqref="Q44">
    <cfRule type="containsText" dxfId="1218" priority="1214" operator="containsText" text="no">
      <formula>NOT(ISERROR(SEARCH("no",Q44)))</formula>
    </cfRule>
    <cfRule type="cellIs" dxfId="1217" priority="1218" operator="equal">
      <formula>#REF!</formula>
    </cfRule>
  </conditionalFormatting>
  <conditionalFormatting sqref="Q44">
    <cfRule type="containsText" dxfId="1216" priority="1215" operator="containsText" text="yes">
      <formula>NOT(ISERROR(SEARCH("yes",Q44)))</formula>
    </cfRule>
  </conditionalFormatting>
  <conditionalFormatting sqref="S1788">
    <cfRule type="expression" dxfId="1215" priority="1213">
      <formula>S1788="no"</formula>
    </cfRule>
  </conditionalFormatting>
  <conditionalFormatting sqref="S1823">
    <cfRule type="expression" dxfId="1214" priority="1212">
      <formula>S1823="no"</formula>
    </cfRule>
  </conditionalFormatting>
  <conditionalFormatting sqref="S1859">
    <cfRule type="expression" dxfId="1213" priority="1211">
      <formula>S1859="no"</formula>
    </cfRule>
  </conditionalFormatting>
  <conditionalFormatting sqref="S1895">
    <cfRule type="expression" dxfId="1212" priority="1210">
      <formula>S1895="no"</formula>
    </cfRule>
  </conditionalFormatting>
  <conditionalFormatting sqref="S1929">
    <cfRule type="expression" dxfId="1211" priority="1209">
      <formula>S1929="no"</formula>
    </cfRule>
  </conditionalFormatting>
  <conditionalFormatting sqref="S1963">
    <cfRule type="expression" dxfId="1210" priority="1208">
      <formula>S1963="no"</formula>
    </cfRule>
  </conditionalFormatting>
  <conditionalFormatting sqref="S73">
    <cfRule type="expression" dxfId="1209" priority="1207">
      <formula>S73="no"</formula>
    </cfRule>
  </conditionalFormatting>
  <conditionalFormatting sqref="G86:G103">
    <cfRule type="containsText" dxfId="1208" priority="1204" operator="containsText" text="no">
      <formula>NOT(ISERROR(SEARCH("no",G86)))</formula>
    </cfRule>
    <cfRule type="cellIs" dxfId="1207" priority="1206" operator="equal">
      <formula>#REF!</formula>
    </cfRule>
  </conditionalFormatting>
  <conditionalFormatting sqref="G86:G103">
    <cfRule type="containsText" dxfId="1206" priority="1205" operator="containsText" text="yes">
      <formula>NOT(ISERROR(SEARCH("yes",G86)))</formula>
    </cfRule>
  </conditionalFormatting>
  <conditionalFormatting sqref="G84:G85">
    <cfRule type="containsText" dxfId="1205" priority="1197" operator="containsText" text="no">
      <formula>NOT(ISERROR(SEARCH("no",G84)))</formula>
    </cfRule>
    <cfRule type="cellIs" dxfId="1204" priority="1201" operator="equal">
      <formula>#REF!</formula>
    </cfRule>
  </conditionalFormatting>
  <conditionalFormatting sqref="G84:G85">
    <cfRule type="containsText" dxfId="1203" priority="1198" operator="containsText" text="yes">
      <formula>NOT(ISERROR(SEARCH("yes",G84)))</formula>
    </cfRule>
  </conditionalFormatting>
  <conditionalFormatting sqref="I86:I103">
    <cfRule type="containsText" dxfId="1202" priority="1194" operator="containsText" text="no">
      <formula>NOT(ISERROR(SEARCH("no",I86)))</formula>
    </cfRule>
    <cfRule type="cellIs" dxfId="1201" priority="1196" operator="equal">
      <formula>#REF!</formula>
    </cfRule>
  </conditionalFormatting>
  <conditionalFormatting sqref="I86:I103">
    <cfRule type="containsText" dxfId="1200" priority="1195" operator="containsText" text="yes">
      <formula>NOT(ISERROR(SEARCH("yes",I86)))</formula>
    </cfRule>
  </conditionalFormatting>
  <conditionalFormatting sqref="I84:I85">
    <cfRule type="containsText" dxfId="1199" priority="1187" operator="containsText" text="no">
      <formula>NOT(ISERROR(SEARCH("no",I84)))</formula>
    </cfRule>
    <cfRule type="cellIs" dxfId="1198" priority="1191" operator="equal">
      <formula>#REF!</formula>
    </cfRule>
  </conditionalFormatting>
  <conditionalFormatting sqref="I84:I85">
    <cfRule type="containsText" dxfId="1197" priority="1188" operator="containsText" text="yes">
      <formula>NOT(ISERROR(SEARCH("yes",I84)))</formula>
    </cfRule>
  </conditionalFormatting>
  <conditionalFormatting sqref="G120:G137">
    <cfRule type="containsText" dxfId="1196" priority="1184" operator="containsText" text="no">
      <formula>NOT(ISERROR(SEARCH("no",G120)))</formula>
    </cfRule>
    <cfRule type="cellIs" dxfId="1195" priority="1186" operator="equal">
      <formula>#REF!</formula>
    </cfRule>
  </conditionalFormatting>
  <conditionalFormatting sqref="G120:G137">
    <cfRule type="containsText" dxfId="1194" priority="1185" operator="containsText" text="yes">
      <formula>NOT(ISERROR(SEARCH("yes",G120)))</formula>
    </cfRule>
  </conditionalFormatting>
  <conditionalFormatting sqref="G118:G119">
    <cfRule type="containsText" dxfId="1193" priority="1177" operator="containsText" text="no">
      <formula>NOT(ISERROR(SEARCH("no",G118)))</formula>
    </cfRule>
    <cfRule type="cellIs" dxfId="1192" priority="1181" operator="equal">
      <formula>#REF!</formula>
    </cfRule>
  </conditionalFormatting>
  <conditionalFormatting sqref="G118:G119">
    <cfRule type="containsText" dxfId="1191" priority="1178" operator="containsText" text="yes">
      <formula>NOT(ISERROR(SEARCH("yes",G118)))</formula>
    </cfRule>
  </conditionalFormatting>
  <conditionalFormatting sqref="I120:I137">
    <cfRule type="containsText" dxfId="1190" priority="1174" operator="containsText" text="no">
      <formula>NOT(ISERROR(SEARCH("no",I120)))</formula>
    </cfRule>
    <cfRule type="cellIs" dxfId="1189" priority="1176" operator="equal">
      <formula>#REF!</formula>
    </cfRule>
  </conditionalFormatting>
  <conditionalFormatting sqref="I120:I137">
    <cfRule type="containsText" dxfId="1188" priority="1175" operator="containsText" text="yes">
      <formula>NOT(ISERROR(SEARCH("yes",I120)))</formula>
    </cfRule>
  </conditionalFormatting>
  <conditionalFormatting sqref="I118:I119">
    <cfRule type="containsText" dxfId="1187" priority="1167" operator="containsText" text="no">
      <formula>NOT(ISERROR(SEARCH("no",I118)))</formula>
    </cfRule>
    <cfRule type="cellIs" dxfId="1186" priority="1171" operator="equal">
      <formula>#REF!</formula>
    </cfRule>
  </conditionalFormatting>
  <conditionalFormatting sqref="I118:I119">
    <cfRule type="containsText" dxfId="1185" priority="1168" operator="containsText" text="yes">
      <formula>NOT(ISERROR(SEARCH("yes",I118)))</formula>
    </cfRule>
  </conditionalFormatting>
  <conditionalFormatting sqref="G156:G173">
    <cfRule type="containsText" dxfId="1184" priority="1164" operator="containsText" text="no">
      <formula>NOT(ISERROR(SEARCH("no",G156)))</formula>
    </cfRule>
    <cfRule type="cellIs" dxfId="1183" priority="1166" operator="equal">
      <formula>#REF!</formula>
    </cfRule>
  </conditionalFormatting>
  <conditionalFormatting sqref="G156:G173">
    <cfRule type="containsText" dxfId="1182" priority="1165" operator="containsText" text="yes">
      <formula>NOT(ISERROR(SEARCH("yes",G156)))</formula>
    </cfRule>
  </conditionalFormatting>
  <conditionalFormatting sqref="G154:G155">
    <cfRule type="containsText" dxfId="1181" priority="1157" operator="containsText" text="no">
      <formula>NOT(ISERROR(SEARCH("no",G154)))</formula>
    </cfRule>
    <cfRule type="cellIs" dxfId="1180" priority="1161" operator="equal">
      <formula>#REF!</formula>
    </cfRule>
  </conditionalFormatting>
  <conditionalFormatting sqref="G154:G155">
    <cfRule type="containsText" dxfId="1179" priority="1158" operator="containsText" text="yes">
      <formula>NOT(ISERROR(SEARCH("yes",G154)))</formula>
    </cfRule>
  </conditionalFormatting>
  <conditionalFormatting sqref="I156:I173">
    <cfRule type="containsText" dxfId="1178" priority="1154" operator="containsText" text="no">
      <formula>NOT(ISERROR(SEARCH("no",I156)))</formula>
    </cfRule>
    <cfRule type="cellIs" dxfId="1177" priority="1156" operator="equal">
      <formula>#REF!</formula>
    </cfRule>
  </conditionalFormatting>
  <conditionalFormatting sqref="I156:I173">
    <cfRule type="containsText" dxfId="1176" priority="1155" operator="containsText" text="yes">
      <formula>NOT(ISERROR(SEARCH("yes",I156)))</formula>
    </cfRule>
  </conditionalFormatting>
  <conditionalFormatting sqref="I154:I155">
    <cfRule type="containsText" dxfId="1175" priority="1147" operator="containsText" text="no">
      <formula>NOT(ISERROR(SEARCH("no",I154)))</formula>
    </cfRule>
    <cfRule type="cellIs" dxfId="1174" priority="1151" operator="equal">
      <formula>#REF!</formula>
    </cfRule>
  </conditionalFormatting>
  <conditionalFormatting sqref="I154:I155">
    <cfRule type="containsText" dxfId="1173" priority="1148" operator="containsText" text="yes">
      <formula>NOT(ISERROR(SEARCH("yes",I154)))</formula>
    </cfRule>
  </conditionalFormatting>
  <conditionalFormatting sqref="G192:G209">
    <cfRule type="containsText" dxfId="1172" priority="1144" operator="containsText" text="no">
      <formula>NOT(ISERROR(SEARCH("no",G192)))</formula>
    </cfRule>
    <cfRule type="cellIs" dxfId="1171" priority="1146" operator="equal">
      <formula>#REF!</formula>
    </cfRule>
  </conditionalFormatting>
  <conditionalFormatting sqref="G192:G209">
    <cfRule type="containsText" dxfId="1170" priority="1145" operator="containsText" text="yes">
      <formula>NOT(ISERROR(SEARCH("yes",G192)))</formula>
    </cfRule>
  </conditionalFormatting>
  <conditionalFormatting sqref="G190:G191">
    <cfRule type="containsText" dxfId="1169" priority="1137" operator="containsText" text="no">
      <formula>NOT(ISERROR(SEARCH("no",G190)))</formula>
    </cfRule>
    <cfRule type="cellIs" dxfId="1168" priority="1141" operator="equal">
      <formula>#REF!</formula>
    </cfRule>
  </conditionalFormatting>
  <conditionalFormatting sqref="G190:G191">
    <cfRule type="containsText" dxfId="1167" priority="1138" operator="containsText" text="yes">
      <formula>NOT(ISERROR(SEARCH("yes",G190)))</formula>
    </cfRule>
  </conditionalFormatting>
  <conditionalFormatting sqref="I192:I209">
    <cfRule type="containsText" dxfId="1166" priority="1134" operator="containsText" text="no">
      <formula>NOT(ISERROR(SEARCH("no",I192)))</formula>
    </cfRule>
    <cfRule type="cellIs" dxfId="1165" priority="1136" operator="equal">
      <formula>#REF!</formula>
    </cfRule>
  </conditionalFormatting>
  <conditionalFormatting sqref="I192:I209">
    <cfRule type="containsText" dxfId="1164" priority="1135" operator="containsText" text="yes">
      <formula>NOT(ISERROR(SEARCH("yes",I192)))</formula>
    </cfRule>
  </conditionalFormatting>
  <conditionalFormatting sqref="I190:I191">
    <cfRule type="containsText" dxfId="1163" priority="1127" operator="containsText" text="no">
      <formula>NOT(ISERROR(SEARCH("no",I190)))</formula>
    </cfRule>
    <cfRule type="cellIs" dxfId="1162" priority="1131" operator="equal">
      <formula>#REF!</formula>
    </cfRule>
  </conditionalFormatting>
  <conditionalFormatting sqref="I190:I191">
    <cfRule type="containsText" dxfId="1161" priority="1128" operator="containsText" text="yes">
      <formula>NOT(ISERROR(SEARCH("yes",I190)))</formula>
    </cfRule>
  </conditionalFormatting>
  <conditionalFormatting sqref="G227:G244">
    <cfRule type="containsText" dxfId="1160" priority="1124" operator="containsText" text="no">
      <formula>NOT(ISERROR(SEARCH("no",G227)))</formula>
    </cfRule>
    <cfRule type="cellIs" dxfId="1159" priority="1126" operator="equal">
      <formula>#REF!</formula>
    </cfRule>
  </conditionalFormatting>
  <conditionalFormatting sqref="G227:G244">
    <cfRule type="containsText" dxfId="1158" priority="1125" operator="containsText" text="yes">
      <formula>NOT(ISERROR(SEARCH("yes",G227)))</formula>
    </cfRule>
  </conditionalFormatting>
  <conditionalFormatting sqref="G225:G226">
    <cfRule type="containsText" dxfId="1157" priority="1117" operator="containsText" text="no">
      <formula>NOT(ISERROR(SEARCH("no",G225)))</formula>
    </cfRule>
    <cfRule type="cellIs" dxfId="1156" priority="1121" operator="equal">
      <formula>#REF!</formula>
    </cfRule>
  </conditionalFormatting>
  <conditionalFormatting sqref="G225:G226">
    <cfRule type="containsText" dxfId="1155" priority="1118" operator="containsText" text="yes">
      <formula>NOT(ISERROR(SEARCH("yes",G225)))</formula>
    </cfRule>
  </conditionalFormatting>
  <conditionalFormatting sqref="I227:I244">
    <cfRule type="containsText" dxfId="1154" priority="1114" operator="containsText" text="no">
      <formula>NOT(ISERROR(SEARCH("no",I227)))</formula>
    </cfRule>
    <cfRule type="cellIs" dxfId="1153" priority="1116" operator="equal">
      <formula>#REF!</formula>
    </cfRule>
  </conditionalFormatting>
  <conditionalFormatting sqref="I227:I244">
    <cfRule type="containsText" dxfId="1152" priority="1115" operator="containsText" text="yes">
      <formula>NOT(ISERROR(SEARCH("yes",I227)))</formula>
    </cfRule>
  </conditionalFormatting>
  <conditionalFormatting sqref="I225:I226">
    <cfRule type="containsText" dxfId="1151" priority="1107" operator="containsText" text="no">
      <formula>NOT(ISERROR(SEARCH("no",I225)))</formula>
    </cfRule>
    <cfRule type="cellIs" dxfId="1150" priority="1111" operator="equal">
      <formula>#REF!</formula>
    </cfRule>
  </conditionalFormatting>
  <conditionalFormatting sqref="I225:I226">
    <cfRule type="containsText" dxfId="1149" priority="1108" operator="containsText" text="yes">
      <formula>NOT(ISERROR(SEARCH("yes",I225)))</formula>
    </cfRule>
  </conditionalFormatting>
  <conditionalFormatting sqref="G261:G278">
    <cfRule type="containsText" dxfId="1148" priority="1104" operator="containsText" text="no">
      <formula>NOT(ISERROR(SEARCH("no",G261)))</formula>
    </cfRule>
    <cfRule type="cellIs" dxfId="1147" priority="1106" operator="equal">
      <formula>#REF!</formula>
    </cfRule>
  </conditionalFormatting>
  <conditionalFormatting sqref="G261:G278">
    <cfRule type="containsText" dxfId="1146" priority="1105" operator="containsText" text="yes">
      <formula>NOT(ISERROR(SEARCH("yes",G261)))</formula>
    </cfRule>
  </conditionalFormatting>
  <conditionalFormatting sqref="G259:G260">
    <cfRule type="containsText" dxfId="1145" priority="1097" operator="containsText" text="no">
      <formula>NOT(ISERROR(SEARCH("no",G259)))</formula>
    </cfRule>
    <cfRule type="cellIs" dxfId="1144" priority="1101" operator="equal">
      <formula>#REF!</formula>
    </cfRule>
  </conditionalFormatting>
  <conditionalFormatting sqref="G259:G260">
    <cfRule type="containsText" dxfId="1143" priority="1098" operator="containsText" text="yes">
      <formula>NOT(ISERROR(SEARCH("yes",G259)))</formula>
    </cfRule>
  </conditionalFormatting>
  <conditionalFormatting sqref="I261:I278">
    <cfRule type="containsText" dxfId="1142" priority="1094" operator="containsText" text="no">
      <formula>NOT(ISERROR(SEARCH("no",I261)))</formula>
    </cfRule>
    <cfRule type="cellIs" dxfId="1141" priority="1096" operator="equal">
      <formula>#REF!</formula>
    </cfRule>
  </conditionalFormatting>
  <conditionalFormatting sqref="I261:I278">
    <cfRule type="containsText" dxfId="1140" priority="1095" operator="containsText" text="yes">
      <formula>NOT(ISERROR(SEARCH("yes",I261)))</formula>
    </cfRule>
  </conditionalFormatting>
  <conditionalFormatting sqref="I259:I260">
    <cfRule type="containsText" dxfId="1139" priority="1087" operator="containsText" text="no">
      <formula>NOT(ISERROR(SEARCH("no",I259)))</formula>
    </cfRule>
    <cfRule type="cellIs" dxfId="1138" priority="1091" operator="equal">
      <formula>#REF!</formula>
    </cfRule>
  </conditionalFormatting>
  <conditionalFormatting sqref="I259:I260">
    <cfRule type="containsText" dxfId="1137" priority="1088" operator="containsText" text="yes">
      <formula>NOT(ISERROR(SEARCH("yes",I259)))</formula>
    </cfRule>
  </conditionalFormatting>
  <conditionalFormatting sqref="I1442:I1459">
    <cfRule type="containsText" dxfId="1136" priority="894" operator="containsText" text="no">
      <formula>NOT(ISERROR(SEARCH("no",I1442)))</formula>
    </cfRule>
    <cfRule type="cellIs" dxfId="1135" priority="896" operator="equal">
      <formula>#REF!</formula>
    </cfRule>
  </conditionalFormatting>
  <conditionalFormatting sqref="I1442:I1459">
    <cfRule type="containsText" dxfId="1134" priority="895" operator="containsText" text="yes">
      <formula>NOT(ISERROR(SEARCH("yes",I1442)))</formula>
    </cfRule>
  </conditionalFormatting>
  <conditionalFormatting sqref="I1440:I1441">
    <cfRule type="containsText" dxfId="1133" priority="887" operator="containsText" text="no">
      <formula>NOT(ISERROR(SEARCH("no",I1440)))</formula>
    </cfRule>
    <cfRule type="cellIs" dxfId="1132" priority="891" operator="equal">
      <formula>#REF!</formula>
    </cfRule>
  </conditionalFormatting>
  <conditionalFormatting sqref="I1440:I1441">
    <cfRule type="containsText" dxfId="1131" priority="888" operator="containsText" text="yes">
      <formula>NOT(ISERROR(SEARCH("yes",I1440)))</formula>
    </cfRule>
  </conditionalFormatting>
  <conditionalFormatting sqref="G1482:G1499">
    <cfRule type="containsText" dxfId="1130" priority="884" operator="containsText" text="no">
      <formula>NOT(ISERROR(SEARCH("no",G1482)))</formula>
    </cfRule>
    <cfRule type="cellIs" dxfId="1129" priority="886" operator="equal">
      <formula>#REF!</formula>
    </cfRule>
  </conditionalFormatting>
  <conditionalFormatting sqref="G1482:G1499">
    <cfRule type="containsText" dxfId="1128" priority="885" operator="containsText" text="yes">
      <formula>NOT(ISERROR(SEARCH("yes",G1482)))</formula>
    </cfRule>
  </conditionalFormatting>
  <conditionalFormatting sqref="G1480:G1481">
    <cfRule type="containsText" dxfId="1127" priority="877" operator="containsText" text="no">
      <formula>NOT(ISERROR(SEARCH("no",G1480)))</formula>
    </cfRule>
    <cfRule type="cellIs" dxfId="1126" priority="881" operator="equal">
      <formula>#REF!</formula>
    </cfRule>
  </conditionalFormatting>
  <conditionalFormatting sqref="G1480:G1481">
    <cfRule type="containsText" dxfId="1125" priority="878" operator="containsText" text="yes">
      <formula>NOT(ISERROR(SEARCH("yes",G1480)))</formula>
    </cfRule>
  </conditionalFormatting>
  <conditionalFormatting sqref="G1185:G1209">
    <cfRule type="containsText" dxfId="1124" priority="937" operator="containsText" text="no">
      <formula>NOT(ISERROR(SEARCH("no",G1185)))</formula>
    </cfRule>
    <cfRule type="cellIs" dxfId="1123" priority="941" operator="equal">
      <formula>#REF!</formula>
    </cfRule>
  </conditionalFormatting>
  <conditionalFormatting sqref="G1185:G1209">
    <cfRule type="containsText" dxfId="1122" priority="938" operator="containsText" text="yes">
      <formula>NOT(ISERROR(SEARCH("yes",G1185)))</formula>
    </cfRule>
  </conditionalFormatting>
  <conditionalFormatting sqref="G451:G468">
    <cfRule type="containsText" dxfId="1121" priority="1084" operator="containsText" text="no">
      <formula>NOT(ISERROR(SEARCH("no",G451)))</formula>
    </cfRule>
    <cfRule type="cellIs" dxfId="1120" priority="1086" operator="equal">
      <formula>#REF!</formula>
    </cfRule>
  </conditionalFormatting>
  <conditionalFormatting sqref="G451:G468">
    <cfRule type="containsText" dxfId="1119" priority="1085" operator="containsText" text="yes">
      <formula>NOT(ISERROR(SEARCH("yes",G451)))</formula>
    </cfRule>
  </conditionalFormatting>
  <conditionalFormatting sqref="G449:G450">
    <cfRule type="containsText" dxfId="1118" priority="1077" operator="containsText" text="no">
      <formula>NOT(ISERROR(SEARCH("no",G449)))</formula>
    </cfRule>
    <cfRule type="cellIs" dxfId="1117" priority="1081" operator="equal">
      <formula>#REF!</formula>
    </cfRule>
  </conditionalFormatting>
  <conditionalFormatting sqref="G449:G450">
    <cfRule type="containsText" dxfId="1116" priority="1078" operator="containsText" text="yes">
      <formula>NOT(ISERROR(SEARCH("yes",G449)))</formula>
    </cfRule>
  </conditionalFormatting>
  <conditionalFormatting sqref="I451:I468">
    <cfRule type="containsText" dxfId="1115" priority="1074" operator="containsText" text="no">
      <formula>NOT(ISERROR(SEARCH("no",I451)))</formula>
    </cfRule>
    <cfRule type="cellIs" dxfId="1114" priority="1076" operator="equal">
      <formula>#REF!</formula>
    </cfRule>
  </conditionalFormatting>
  <conditionalFormatting sqref="I451:I468">
    <cfRule type="containsText" dxfId="1113" priority="1075" operator="containsText" text="yes">
      <formula>NOT(ISERROR(SEARCH("yes",I451)))</formula>
    </cfRule>
  </conditionalFormatting>
  <conditionalFormatting sqref="I449:I450">
    <cfRule type="containsText" dxfId="1112" priority="1067" operator="containsText" text="no">
      <formula>NOT(ISERROR(SEARCH("no",I449)))</formula>
    </cfRule>
    <cfRule type="cellIs" dxfId="1111" priority="1071" operator="equal">
      <formula>#REF!</formula>
    </cfRule>
  </conditionalFormatting>
  <conditionalFormatting sqref="I449:I450">
    <cfRule type="containsText" dxfId="1110" priority="1068" operator="containsText" text="yes">
      <formula>NOT(ISERROR(SEARCH("yes",I449)))</formula>
    </cfRule>
  </conditionalFormatting>
  <conditionalFormatting sqref="G503:G504">
    <cfRule type="containsText" dxfId="1109" priority="1064" operator="containsText" text="no">
      <formula>NOT(ISERROR(SEARCH("no",G503)))</formula>
    </cfRule>
    <cfRule type="cellIs" dxfId="1108" priority="1066" operator="equal">
      <formula>#REF!</formula>
    </cfRule>
  </conditionalFormatting>
  <conditionalFormatting sqref="G503:G504">
    <cfRule type="containsText" dxfId="1107" priority="1065" operator="containsText" text="yes">
      <formula>NOT(ISERROR(SEARCH("yes",G503)))</formula>
    </cfRule>
  </conditionalFormatting>
  <conditionalFormatting sqref="G559:G560">
    <cfRule type="containsText" dxfId="1106" priority="1022" operator="containsText" text="no">
      <formula>NOT(ISERROR(SEARCH("no",G559)))</formula>
    </cfRule>
    <cfRule type="cellIs" dxfId="1105" priority="1026" operator="equal">
      <formula>#REF!</formula>
    </cfRule>
  </conditionalFormatting>
  <conditionalFormatting sqref="G559:G560">
    <cfRule type="containsText" dxfId="1104" priority="1023" operator="containsText" text="yes">
      <formula>NOT(ISERROR(SEARCH("yes",G559)))</formula>
    </cfRule>
  </conditionalFormatting>
  <conditionalFormatting sqref="I487:I504">
    <cfRule type="containsText" dxfId="1103" priority="1059" operator="containsText" text="no">
      <formula>NOT(ISERROR(SEARCH("no",I487)))</formula>
    </cfRule>
    <cfRule type="cellIs" dxfId="1102" priority="1061" operator="equal">
      <formula>#REF!</formula>
    </cfRule>
  </conditionalFormatting>
  <conditionalFormatting sqref="I487:I504">
    <cfRule type="containsText" dxfId="1101" priority="1060" operator="containsText" text="yes">
      <formula>NOT(ISERROR(SEARCH("yes",I487)))</formula>
    </cfRule>
  </conditionalFormatting>
  <conditionalFormatting sqref="I485:I486">
    <cfRule type="containsText" dxfId="1100" priority="1052" operator="containsText" text="no">
      <formula>NOT(ISERROR(SEARCH("no",I485)))</formula>
    </cfRule>
    <cfRule type="cellIs" dxfId="1099" priority="1056" operator="equal">
      <formula>#REF!</formula>
    </cfRule>
  </conditionalFormatting>
  <conditionalFormatting sqref="I485:I486">
    <cfRule type="containsText" dxfId="1098" priority="1053" operator="containsText" text="yes">
      <formula>NOT(ISERROR(SEARCH("yes",I485)))</formula>
    </cfRule>
  </conditionalFormatting>
  <conditionalFormatting sqref="G527:G544">
    <cfRule type="containsText" dxfId="1097" priority="1049" operator="containsText" text="no">
      <formula>NOT(ISERROR(SEARCH("no",G527)))</formula>
    </cfRule>
    <cfRule type="cellIs" dxfId="1096" priority="1051" operator="equal">
      <formula>#REF!</formula>
    </cfRule>
  </conditionalFormatting>
  <conditionalFormatting sqref="G527:G544">
    <cfRule type="containsText" dxfId="1095" priority="1050" operator="containsText" text="yes">
      <formula>NOT(ISERROR(SEARCH("yes",G527)))</formula>
    </cfRule>
  </conditionalFormatting>
  <conditionalFormatting sqref="G525:G526">
    <cfRule type="containsText" dxfId="1094" priority="1042" operator="containsText" text="no">
      <formula>NOT(ISERROR(SEARCH("no",G525)))</formula>
    </cfRule>
    <cfRule type="cellIs" dxfId="1093" priority="1046" operator="equal">
      <formula>#REF!</formula>
    </cfRule>
  </conditionalFormatting>
  <conditionalFormatting sqref="G525:G526">
    <cfRule type="containsText" dxfId="1092" priority="1043" operator="containsText" text="yes">
      <formula>NOT(ISERROR(SEARCH("yes",G525)))</formula>
    </cfRule>
  </conditionalFormatting>
  <conditionalFormatting sqref="I527:I544">
    <cfRule type="containsText" dxfId="1091" priority="1039" operator="containsText" text="no">
      <formula>NOT(ISERROR(SEARCH("no",I527)))</formula>
    </cfRule>
    <cfRule type="cellIs" dxfId="1090" priority="1041" operator="equal">
      <formula>#REF!</formula>
    </cfRule>
  </conditionalFormatting>
  <conditionalFormatting sqref="I527:I544">
    <cfRule type="containsText" dxfId="1089" priority="1040" operator="containsText" text="yes">
      <formula>NOT(ISERROR(SEARCH("yes",I527)))</formula>
    </cfRule>
  </conditionalFormatting>
  <conditionalFormatting sqref="I525:I526">
    <cfRule type="containsText" dxfId="1088" priority="1032" operator="containsText" text="no">
      <formula>NOT(ISERROR(SEARCH("no",I525)))</formula>
    </cfRule>
    <cfRule type="cellIs" dxfId="1087" priority="1036" operator="equal">
      <formula>#REF!</formula>
    </cfRule>
  </conditionalFormatting>
  <conditionalFormatting sqref="I525:I526">
    <cfRule type="containsText" dxfId="1086" priority="1033" operator="containsText" text="yes">
      <formula>NOT(ISERROR(SEARCH("yes",I525)))</formula>
    </cfRule>
  </conditionalFormatting>
  <conditionalFormatting sqref="G561:G578">
    <cfRule type="containsText" dxfId="1085" priority="1029" operator="containsText" text="no">
      <formula>NOT(ISERROR(SEARCH("no",G561)))</formula>
    </cfRule>
    <cfRule type="cellIs" dxfId="1084" priority="1031" operator="equal">
      <formula>#REF!</formula>
    </cfRule>
  </conditionalFormatting>
  <conditionalFormatting sqref="G561:G578">
    <cfRule type="containsText" dxfId="1083" priority="1030" operator="containsText" text="yes">
      <formula>NOT(ISERROR(SEARCH("yes",G561)))</formula>
    </cfRule>
  </conditionalFormatting>
  <conditionalFormatting sqref="I561:I578">
    <cfRule type="containsText" dxfId="1082" priority="1019" operator="containsText" text="no">
      <formula>NOT(ISERROR(SEARCH("no",I561)))</formula>
    </cfRule>
    <cfRule type="cellIs" dxfId="1081" priority="1021" operator="equal">
      <formula>#REF!</formula>
    </cfRule>
  </conditionalFormatting>
  <conditionalFormatting sqref="I561:I578">
    <cfRule type="containsText" dxfId="1080" priority="1020" operator="containsText" text="yes">
      <formula>NOT(ISERROR(SEARCH("yes",I561)))</formula>
    </cfRule>
  </conditionalFormatting>
  <conditionalFormatting sqref="I559:I560">
    <cfRule type="containsText" dxfId="1079" priority="1012" operator="containsText" text="no">
      <formula>NOT(ISERROR(SEARCH("no",I559)))</formula>
    </cfRule>
    <cfRule type="cellIs" dxfId="1078" priority="1016" operator="equal">
      <formula>#REF!</formula>
    </cfRule>
  </conditionalFormatting>
  <conditionalFormatting sqref="I559:I560">
    <cfRule type="containsText" dxfId="1077" priority="1013" operator="containsText" text="yes">
      <formula>NOT(ISERROR(SEARCH("yes",I559)))</formula>
    </cfRule>
  </conditionalFormatting>
  <conditionalFormatting sqref="G597:G614">
    <cfRule type="containsText" dxfId="1076" priority="1009" operator="containsText" text="no">
      <formula>NOT(ISERROR(SEARCH("no",G597)))</formula>
    </cfRule>
    <cfRule type="cellIs" dxfId="1075" priority="1011" operator="equal">
      <formula>#REF!</formula>
    </cfRule>
  </conditionalFormatting>
  <conditionalFormatting sqref="G597:G614">
    <cfRule type="containsText" dxfId="1074" priority="1010" operator="containsText" text="yes">
      <formula>NOT(ISERROR(SEARCH("yes",G597)))</formula>
    </cfRule>
  </conditionalFormatting>
  <conditionalFormatting sqref="G595:G596">
    <cfRule type="containsText" dxfId="1073" priority="1002" operator="containsText" text="no">
      <formula>NOT(ISERROR(SEARCH("no",G595)))</formula>
    </cfRule>
    <cfRule type="cellIs" dxfId="1072" priority="1006" operator="equal">
      <formula>#REF!</formula>
    </cfRule>
  </conditionalFormatting>
  <conditionalFormatting sqref="G595:G596">
    <cfRule type="containsText" dxfId="1071" priority="1003" operator="containsText" text="yes">
      <formula>NOT(ISERROR(SEARCH("yes",G595)))</formula>
    </cfRule>
  </conditionalFormatting>
  <conditionalFormatting sqref="I597:I614">
    <cfRule type="containsText" dxfId="1070" priority="999" operator="containsText" text="no">
      <formula>NOT(ISERROR(SEARCH("no",I597)))</formula>
    </cfRule>
    <cfRule type="cellIs" dxfId="1069" priority="1001" operator="equal">
      <formula>#REF!</formula>
    </cfRule>
  </conditionalFormatting>
  <conditionalFormatting sqref="I597:I614">
    <cfRule type="containsText" dxfId="1068" priority="1000" operator="containsText" text="yes">
      <formula>NOT(ISERROR(SEARCH("yes",I597)))</formula>
    </cfRule>
  </conditionalFormatting>
  <conditionalFormatting sqref="I595:I596">
    <cfRule type="containsText" dxfId="1067" priority="992" operator="containsText" text="no">
      <formula>NOT(ISERROR(SEARCH("no",I595)))</formula>
    </cfRule>
    <cfRule type="cellIs" dxfId="1066" priority="996" operator="equal">
      <formula>#REF!</formula>
    </cfRule>
  </conditionalFormatting>
  <conditionalFormatting sqref="I595:I596">
    <cfRule type="containsText" dxfId="1065" priority="993" operator="containsText" text="yes">
      <formula>NOT(ISERROR(SEARCH("yes",I595)))</formula>
    </cfRule>
  </conditionalFormatting>
  <conditionalFormatting sqref="G631:G648">
    <cfRule type="containsText" dxfId="1064" priority="989" operator="containsText" text="no">
      <formula>NOT(ISERROR(SEARCH("no",G631)))</formula>
    </cfRule>
    <cfRule type="cellIs" dxfId="1063" priority="991" operator="equal">
      <formula>#REF!</formula>
    </cfRule>
  </conditionalFormatting>
  <conditionalFormatting sqref="G631:G648">
    <cfRule type="containsText" dxfId="1062" priority="990" operator="containsText" text="yes">
      <formula>NOT(ISERROR(SEARCH("yes",G631)))</formula>
    </cfRule>
  </conditionalFormatting>
  <conditionalFormatting sqref="G629:G630">
    <cfRule type="containsText" dxfId="1061" priority="982" operator="containsText" text="no">
      <formula>NOT(ISERROR(SEARCH("no",G629)))</formula>
    </cfRule>
    <cfRule type="cellIs" dxfId="1060" priority="986" operator="equal">
      <formula>#REF!</formula>
    </cfRule>
  </conditionalFormatting>
  <conditionalFormatting sqref="G629:G630">
    <cfRule type="containsText" dxfId="1059" priority="983" operator="containsText" text="yes">
      <formula>NOT(ISERROR(SEARCH("yes",G629)))</formula>
    </cfRule>
  </conditionalFormatting>
  <conditionalFormatting sqref="I631:I648">
    <cfRule type="containsText" dxfId="1058" priority="979" operator="containsText" text="no">
      <formula>NOT(ISERROR(SEARCH("no",I631)))</formula>
    </cfRule>
    <cfRule type="cellIs" dxfId="1057" priority="981" operator="equal">
      <formula>#REF!</formula>
    </cfRule>
  </conditionalFormatting>
  <conditionalFormatting sqref="I631:I648">
    <cfRule type="containsText" dxfId="1056" priority="980" operator="containsText" text="yes">
      <formula>NOT(ISERROR(SEARCH("yes",I631)))</formula>
    </cfRule>
  </conditionalFormatting>
  <conditionalFormatting sqref="I629:I630">
    <cfRule type="containsText" dxfId="1055" priority="972" operator="containsText" text="no">
      <formula>NOT(ISERROR(SEARCH("no",I629)))</formula>
    </cfRule>
    <cfRule type="cellIs" dxfId="1054" priority="976" operator="equal">
      <formula>#REF!</formula>
    </cfRule>
  </conditionalFormatting>
  <conditionalFormatting sqref="I629:I630">
    <cfRule type="containsText" dxfId="1053" priority="973" operator="containsText" text="yes">
      <formula>NOT(ISERROR(SEARCH("yes",I629)))</formula>
    </cfRule>
  </conditionalFormatting>
  <conditionalFormatting sqref="G665:G682">
    <cfRule type="containsText" dxfId="1052" priority="969" operator="containsText" text="no">
      <formula>NOT(ISERROR(SEARCH("no",G665)))</formula>
    </cfRule>
    <cfRule type="cellIs" dxfId="1051" priority="971" operator="equal">
      <formula>#REF!</formula>
    </cfRule>
  </conditionalFormatting>
  <conditionalFormatting sqref="G665:G682">
    <cfRule type="containsText" dxfId="1050" priority="970" operator="containsText" text="yes">
      <formula>NOT(ISERROR(SEARCH("yes",G665)))</formula>
    </cfRule>
  </conditionalFormatting>
  <conditionalFormatting sqref="G663:G664">
    <cfRule type="containsText" dxfId="1049" priority="962" operator="containsText" text="no">
      <formula>NOT(ISERROR(SEARCH("no",G663)))</formula>
    </cfRule>
    <cfRule type="cellIs" dxfId="1048" priority="966" operator="equal">
      <formula>#REF!</formula>
    </cfRule>
  </conditionalFormatting>
  <conditionalFormatting sqref="G663:G664">
    <cfRule type="containsText" dxfId="1047" priority="963" operator="containsText" text="yes">
      <formula>NOT(ISERROR(SEARCH("yes",G663)))</formula>
    </cfRule>
  </conditionalFormatting>
  <conditionalFormatting sqref="I665:I682">
    <cfRule type="containsText" dxfId="1046" priority="959" operator="containsText" text="no">
      <formula>NOT(ISERROR(SEARCH("no",I665)))</formula>
    </cfRule>
    <cfRule type="cellIs" dxfId="1045" priority="961" operator="equal">
      <formula>#REF!</formula>
    </cfRule>
  </conditionalFormatting>
  <conditionalFormatting sqref="I665:I682">
    <cfRule type="containsText" dxfId="1044" priority="960" operator="containsText" text="yes">
      <formula>NOT(ISERROR(SEARCH("yes",I665)))</formula>
    </cfRule>
  </conditionalFormatting>
  <conditionalFormatting sqref="I1044:I1047">
    <cfRule type="containsText" dxfId="1043" priority="944" operator="containsText" text="no">
      <formula>NOT(ISERROR(SEARCH("no",I1044)))</formula>
    </cfRule>
    <cfRule type="cellIs" dxfId="1042" priority="946" operator="equal">
      <formula>#REF!</formula>
    </cfRule>
  </conditionalFormatting>
  <conditionalFormatting sqref="I1044:I1047">
    <cfRule type="containsText" dxfId="1041" priority="945" operator="containsText" text="yes">
      <formula>NOT(ISERROR(SEARCH("yes",I1044)))</formula>
    </cfRule>
  </conditionalFormatting>
  <conditionalFormatting sqref="G1044:G1047">
    <cfRule type="containsText" dxfId="1040" priority="949" operator="containsText" text="no">
      <formula>NOT(ISERROR(SEARCH("no",G1044)))</formula>
    </cfRule>
    <cfRule type="cellIs" dxfId="1039" priority="951" operator="equal">
      <formula>#REF!</formula>
    </cfRule>
  </conditionalFormatting>
  <conditionalFormatting sqref="G1044:G1047">
    <cfRule type="containsText" dxfId="1038" priority="950" operator="containsText" text="yes">
      <formula>NOT(ISERROR(SEARCH("yes",G1044)))</formula>
    </cfRule>
  </conditionalFormatting>
  <conditionalFormatting sqref="I1226:I1227">
    <cfRule type="containsText" dxfId="1037" priority="917" operator="containsText" text="no">
      <formula>NOT(ISERROR(SEARCH("no",I1226)))</formula>
    </cfRule>
    <cfRule type="cellIs" dxfId="1036" priority="921" operator="equal">
      <formula>#REF!</formula>
    </cfRule>
  </conditionalFormatting>
  <conditionalFormatting sqref="I1226:I1227">
    <cfRule type="containsText" dxfId="1035" priority="918" operator="containsText" text="yes">
      <formula>NOT(ISERROR(SEARCH("yes",I1226)))</formula>
    </cfRule>
  </conditionalFormatting>
  <conditionalFormatting sqref="G1310:G1314">
    <cfRule type="containsText" dxfId="1034" priority="929" operator="containsText" text="no">
      <formula>NOT(ISERROR(SEARCH("no",G1310)))</formula>
    </cfRule>
    <cfRule type="cellIs" dxfId="1033" priority="931" operator="equal">
      <formula>#REF!</formula>
    </cfRule>
  </conditionalFormatting>
  <conditionalFormatting sqref="G1310:G1314">
    <cfRule type="containsText" dxfId="1032" priority="930" operator="containsText" text="yes">
      <formula>NOT(ISERROR(SEARCH("yes",G1310)))</formula>
    </cfRule>
  </conditionalFormatting>
  <conditionalFormatting sqref="I1185:I1209">
    <cfRule type="containsText" dxfId="1031" priority="932" operator="containsText" text="no">
      <formula>NOT(ISERROR(SEARCH("no",I1185)))</formula>
    </cfRule>
    <cfRule type="cellIs" dxfId="1030" priority="936" operator="equal">
      <formula>#REF!</formula>
    </cfRule>
  </conditionalFormatting>
  <conditionalFormatting sqref="I1185:I1209">
    <cfRule type="containsText" dxfId="1029" priority="933" operator="containsText" text="yes">
      <formula>NOT(ISERROR(SEARCH("yes",I1185)))</formula>
    </cfRule>
  </conditionalFormatting>
  <conditionalFormatting sqref="I1228:I1314">
    <cfRule type="containsText" dxfId="1028" priority="924" operator="containsText" text="no">
      <formula>NOT(ISERROR(SEARCH("no",I1228)))</formula>
    </cfRule>
    <cfRule type="cellIs" dxfId="1027" priority="926" operator="equal">
      <formula>#REF!</formula>
    </cfRule>
  </conditionalFormatting>
  <conditionalFormatting sqref="I1228:I1314">
    <cfRule type="containsText" dxfId="1026" priority="925" operator="containsText" text="yes">
      <formula>NOT(ISERROR(SEARCH("yes",I1228)))</formula>
    </cfRule>
  </conditionalFormatting>
  <conditionalFormatting sqref="G1416:G1424">
    <cfRule type="containsText" dxfId="1025" priority="912" operator="containsText" text="no">
      <formula>NOT(ISERROR(SEARCH("no",G1416)))</formula>
    </cfRule>
    <cfRule type="cellIs" dxfId="1024" priority="916" operator="equal">
      <formula>#REF!</formula>
    </cfRule>
  </conditionalFormatting>
  <conditionalFormatting sqref="G1416:G1424">
    <cfRule type="containsText" dxfId="1023" priority="913" operator="containsText" text="yes">
      <formula>NOT(ISERROR(SEARCH("yes",G1416)))</formula>
    </cfRule>
  </conditionalFormatting>
  <conditionalFormatting sqref="I1416:I1424">
    <cfRule type="containsText" dxfId="1022" priority="907" operator="containsText" text="no">
      <formula>NOT(ISERROR(SEARCH("no",I1416)))</formula>
    </cfRule>
    <cfRule type="cellIs" dxfId="1021" priority="911" operator="equal">
      <formula>#REF!</formula>
    </cfRule>
  </conditionalFormatting>
  <conditionalFormatting sqref="I1416:I1424">
    <cfRule type="containsText" dxfId="1020" priority="908" operator="containsText" text="yes">
      <formula>NOT(ISERROR(SEARCH("yes",I1416)))</formula>
    </cfRule>
  </conditionalFormatting>
  <conditionalFormatting sqref="G1442:G1459">
    <cfRule type="containsText" dxfId="1019" priority="904" operator="containsText" text="no">
      <formula>NOT(ISERROR(SEARCH("no",G1442)))</formula>
    </cfRule>
    <cfRule type="cellIs" dxfId="1018" priority="906" operator="equal">
      <formula>#REF!</formula>
    </cfRule>
  </conditionalFormatting>
  <conditionalFormatting sqref="G1442:G1459">
    <cfRule type="containsText" dxfId="1017" priority="905" operator="containsText" text="yes">
      <formula>NOT(ISERROR(SEARCH("yes",G1442)))</formula>
    </cfRule>
  </conditionalFormatting>
  <conditionalFormatting sqref="G1440:G1441">
    <cfRule type="containsText" dxfId="1016" priority="897" operator="containsText" text="no">
      <formula>NOT(ISERROR(SEARCH("no",G1440)))</formula>
    </cfRule>
    <cfRule type="cellIs" dxfId="1015" priority="901" operator="equal">
      <formula>#REF!</formula>
    </cfRule>
  </conditionalFormatting>
  <conditionalFormatting sqref="G1440:G1441">
    <cfRule type="containsText" dxfId="1014" priority="898" operator="containsText" text="yes">
      <formula>NOT(ISERROR(SEARCH("yes",G1440)))</formula>
    </cfRule>
  </conditionalFormatting>
  <conditionalFormatting sqref="I1482:I1499">
    <cfRule type="containsText" dxfId="1013" priority="874" operator="containsText" text="no">
      <formula>NOT(ISERROR(SEARCH("no",I1482)))</formula>
    </cfRule>
    <cfRule type="cellIs" dxfId="1012" priority="876" operator="equal">
      <formula>#REF!</formula>
    </cfRule>
  </conditionalFormatting>
  <conditionalFormatting sqref="I1482:I1499">
    <cfRule type="containsText" dxfId="1011" priority="875" operator="containsText" text="yes">
      <formula>NOT(ISERROR(SEARCH("yes",I1482)))</formula>
    </cfRule>
  </conditionalFormatting>
  <conditionalFormatting sqref="I1480:I1481">
    <cfRule type="containsText" dxfId="1010" priority="867" operator="containsText" text="no">
      <formula>NOT(ISERROR(SEARCH("no",I1480)))</formula>
    </cfRule>
    <cfRule type="cellIs" dxfId="1009" priority="871" operator="equal">
      <formula>#REF!</formula>
    </cfRule>
  </conditionalFormatting>
  <conditionalFormatting sqref="I1480:I1481">
    <cfRule type="containsText" dxfId="1008" priority="868" operator="containsText" text="yes">
      <formula>NOT(ISERROR(SEARCH("yes",I1480)))</formula>
    </cfRule>
  </conditionalFormatting>
  <conditionalFormatting sqref="G1518:G1535">
    <cfRule type="containsText" dxfId="1007" priority="864" operator="containsText" text="no">
      <formula>NOT(ISERROR(SEARCH("no",G1518)))</formula>
    </cfRule>
    <cfRule type="cellIs" dxfId="1006" priority="866" operator="equal">
      <formula>#REF!</formula>
    </cfRule>
  </conditionalFormatting>
  <conditionalFormatting sqref="G1518:G1535">
    <cfRule type="containsText" dxfId="1005" priority="865" operator="containsText" text="yes">
      <formula>NOT(ISERROR(SEARCH("yes",G1518)))</formula>
    </cfRule>
  </conditionalFormatting>
  <conditionalFormatting sqref="G1516:G1517">
    <cfRule type="containsText" dxfId="1004" priority="857" operator="containsText" text="no">
      <formula>NOT(ISERROR(SEARCH("no",G1516)))</formula>
    </cfRule>
    <cfRule type="cellIs" dxfId="1003" priority="861" operator="equal">
      <formula>#REF!</formula>
    </cfRule>
  </conditionalFormatting>
  <conditionalFormatting sqref="G1516:G1517">
    <cfRule type="containsText" dxfId="1002" priority="858" operator="containsText" text="yes">
      <formula>NOT(ISERROR(SEARCH("yes",G1516)))</formula>
    </cfRule>
  </conditionalFormatting>
  <conditionalFormatting sqref="I1518:I1535">
    <cfRule type="containsText" dxfId="1001" priority="854" operator="containsText" text="no">
      <formula>NOT(ISERROR(SEARCH("no",I1518)))</formula>
    </cfRule>
    <cfRule type="cellIs" dxfId="1000" priority="856" operator="equal">
      <formula>#REF!</formula>
    </cfRule>
  </conditionalFormatting>
  <conditionalFormatting sqref="I1518:I1535">
    <cfRule type="containsText" dxfId="999" priority="855" operator="containsText" text="yes">
      <formula>NOT(ISERROR(SEARCH("yes",I1518)))</formula>
    </cfRule>
  </conditionalFormatting>
  <conditionalFormatting sqref="I1516:I1517">
    <cfRule type="containsText" dxfId="998" priority="847" operator="containsText" text="no">
      <formula>NOT(ISERROR(SEARCH("no",I1516)))</formula>
    </cfRule>
    <cfRule type="cellIs" dxfId="997" priority="851" operator="equal">
      <formula>#REF!</formula>
    </cfRule>
  </conditionalFormatting>
  <conditionalFormatting sqref="I1516:I1517">
    <cfRule type="containsText" dxfId="996" priority="848" operator="containsText" text="yes">
      <formula>NOT(ISERROR(SEARCH("yes",I1516)))</formula>
    </cfRule>
  </conditionalFormatting>
  <conditionalFormatting sqref="G1562:G1573">
    <cfRule type="containsText" dxfId="995" priority="844" operator="containsText" text="no">
      <formula>NOT(ISERROR(SEARCH("no",G1562)))</formula>
    </cfRule>
    <cfRule type="cellIs" dxfId="994" priority="846" operator="equal">
      <formula>#REF!</formula>
    </cfRule>
  </conditionalFormatting>
  <conditionalFormatting sqref="G1562:G1573">
    <cfRule type="containsText" dxfId="993" priority="845" operator="containsText" text="yes">
      <formula>NOT(ISERROR(SEARCH("yes",G1562)))</formula>
    </cfRule>
  </conditionalFormatting>
  <conditionalFormatting sqref="I1562:I1573">
    <cfRule type="containsText" dxfId="992" priority="839" operator="containsText" text="no">
      <formula>NOT(ISERROR(SEARCH("no",I1562)))</formula>
    </cfRule>
    <cfRule type="cellIs" dxfId="991" priority="841" operator="equal">
      <formula>#REF!</formula>
    </cfRule>
  </conditionalFormatting>
  <conditionalFormatting sqref="I1562:I1573">
    <cfRule type="containsText" dxfId="990" priority="840" operator="containsText" text="yes">
      <formula>NOT(ISERROR(SEARCH("yes",I1562)))</formula>
    </cfRule>
  </conditionalFormatting>
  <conditionalFormatting sqref="G1607:G1608">
    <cfRule type="containsText" dxfId="989" priority="834" operator="containsText" text="no">
      <formula>NOT(ISERROR(SEARCH("no",G1607)))</formula>
    </cfRule>
    <cfRule type="cellIs" dxfId="988" priority="836" operator="equal">
      <formula>#REF!</formula>
    </cfRule>
  </conditionalFormatting>
  <conditionalFormatting sqref="G1607:G1608">
    <cfRule type="containsText" dxfId="987" priority="835" operator="containsText" text="yes">
      <formula>NOT(ISERROR(SEARCH("yes",G1607)))</formula>
    </cfRule>
  </conditionalFormatting>
  <conditionalFormatting sqref="I1607:I1608">
    <cfRule type="containsText" dxfId="986" priority="829" operator="containsText" text="no">
      <formula>NOT(ISERROR(SEARCH("no",I1607)))</formula>
    </cfRule>
    <cfRule type="cellIs" dxfId="985" priority="831" operator="equal">
      <formula>#REF!</formula>
    </cfRule>
  </conditionalFormatting>
  <conditionalFormatting sqref="I1607:I1608">
    <cfRule type="containsText" dxfId="984" priority="830" operator="containsText" text="yes">
      <formula>NOT(ISERROR(SEARCH("yes",I1607)))</formula>
    </cfRule>
  </conditionalFormatting>
  <conditionalFormatting sqref="G1627:G1644">
    <cfRule type="containsText" dxfId="983" priority="824" operator="containsText" text="no">
      <formula>NOT(ISERROR(SEARCH("no",G1627)))</formula>
    </cfRule>
    <cfRule type="cellIs" dxfId="982" priority="826" operator="equal">
      <formula>#REF!</formula>
    </cfRule>
  </conditionalFormatting>
  <conditionalFormatting sqref="G1627:G1644">
    <cfRule type="containsText" dxfId="981" priority="825" operator="containsText" text="yes">
      <formula>NOT(ISERROR(SEARCH("yes",G1627)))</formula>
    </cfRule>
  </conditionalFormatting>
  <conditionalFormatting sqref="G1625:G1626">
    <cfRule type="containsText" dxfId="980" priority="817" operator="containsText" text="no">
      <formula>NOT(ISERROR(SEARCH("no",G1625)))</formula>
    </cfRule>
    <cfRule type="cellIs" dxfId="979" priority="821" operator="equal">
      <formula>#REF!</formula>
    </cfRule>
  </conditionalFormatting>
  <conditionalFormatting sqref="G1625:G1626">
    <cfRule type="containsText" dxfId="978" priority="818" operator="containsText" text="yes">
      <formula>NOT(ISERROR(SEARCH("yes",G1625)))</formula>
    </cfRule>
  </conditionalFormatting>
  <conditionalFormatting sqref="I1627:I1644">
    <cfRule type="containsText" dxfId="977" priority="814" operator="containsText" text="no">
      <formula>NOT(ISERROR(SEARCH("no",I1627)))</formula>
    </cfRule>
    <cfRule type="cellIs" dxfId="976" priority="816" operator="equal">
      <formula>#REF!</formula>
    </cfRule>
  </conditionalFormatting>
  <conditionalFormatting sqref="I1627:I1644">
    <cfRule type="containsText" dxfId="975" priority="815" operator="containsText" text="yes">
      <formula>NOT(ISERROR(SEARCH("yes",I1627)))</formula>
    </cfRule>
  </conditionalFormatting>
  <conditionalFormatting sqref="I1625:I1626">
    <cfRule type="containsText" dxfId="974" priority="807" operator="containsText" text="no">
      <formula>NOT(ISERROR(SEARCH("no",I1625)))</formula>
    </cfRule>
    <cfRule type="cellIs" dxfId="973" priority="811" operator="equal">
      <formula>#REF!</formula>
    </cfRule>
  </conditionalFormatting>
  <conditionalFormatting sqref="I1625:I1626">
    <cfRule type="containsText" dxfId="972" priority="808" operator="containsText" text="yes">
      <formula>NOT(ISERROR(SEARCH("yes",I1625)))</formula>
    </cfRule>
  </conditionalFormatting>
  <conditionalFormatting sqref="G1663:G1680">
    <cfRule type="containsText" dxfId="971" priority="804" operator="containsText" text="no">
      <formula>NOT(ISERROR(SEARCH("no",G1663)))</formula>
    </cfRule>
    <cfRule type="cellIs" dxfId="970" priority="806" operator="equal">
      <formula>#REF!</formula>
    </cfRule>
  </conditionalFormatting>
  <conditionalFormatting sqref="G1663:G1680">
    <cfRule type="containsText" dxfId="969" priority="805" operator="containsText" text="yes">
      <formula>NOT(ISERROR(SEARCH("yes",G1663)))</formula>
    </cfRule>
  </conditionalFormatting>
  <conditionalFormatting sqref="G1661:G1662">
    <cfRule type="containsText" dxfId="968" priority="797" operator="containsText" text="no">
      <formula>NOT(ISERROR(SEARCH("no",G1661)))</formula>
    </cfRule>
    <cfRule type="cellIs" dxfId="967" priority="801" operator="equal">
      <formula>#REF!</formula>
    </cfRule>
  </conditionalFormatting>
  <conditionalFormatting sqref="G1661:G1662">
    <cfRule type="containsText" dxfId="966" priority="798" operator="containsText" text="yes">
      <formula>NOT(ISERROR(SEARCH("yes",G1661)))</formula>
    </cfRule>
  </conditionalFormatting>
  <conditionalFormatting sqref="I1663:I1680">
    <cfRule type="containsText" dxfId="965" priority="794" operator="containsText" text="no">
      <formula>NOT(ISERROR(SEARCH("no",I1663)))</formula>
    </cfRule>
    <cfRule type="cellIs" dxfId="964" priority="796" operator="equal">
      <formula>#REF!</formula>
    </cfRule>
  </conditionalFormatting>
  <conditionalFormatting sqref="I1663:I1680">
    <cfRule type="containsText" dxfId="963" priority="795" operator="containsText" text="yes">
      <formula>NOT(ISERROR(SEARCH("yes",I1663)))</formula>
    </cfRule>
  </conditionalFormatting>
  <conditionalFormatting sqref="I1661:I1662">
    <cfRule type="containsText" dxfId="962" priority="787" operator="containsText" text="no">
      <formula>NOT(ISERROR(SEARCH("no",I1661)))</formula>
    </cfRule>
    <cfRule type="cellIs" dxfId="961" priority="791" operator="equal">
      <formula>#REF!</formula>
    </cfRule>
  </conditionalFormatting>
  <conditionalFormatting sqref="I1661:I1662">
    <cfRule type="containsText" dxfId="960" priority="788" operator="containsText" text="yes">
      <formula>NOT(ISERROR(SEARCH("yes",I1661)))</formula>
    </cfRule>
  </conditionalFormatting>
  <conditionalFormatting sqref="G1699:G1716">
    <cfRule type="containsText" dxfId="959" priority="784" operator="containsText" text="no">
      <formula>NOT(ISERROR(SEARCH("no",G1699)))</formula>
    </cfRule>
    <cfRule type="cellIs" dxfId="958" priority="786" operator="equal">
      <formula>#REF!</formula>
    </cfRule>
  </conditionalFormatting>
  <conditionalFormatting sqref="G1699:G1716">
    <cfRule type="containsText" dxfId="957" priority="785" operator="containsText" text="yes">
      <formula>NOT(ISERROR(SEARCH("yes",G1699)))</formula>
    </cfRule>
  </conditionalFormatting>
  <conditionalFormatting sqref="G1697:G1698">
    <cfRule type="containsText" dxfId="956" priority="777" operator="containsText" text="no">
      <formula>NOT(ISERROR(SEARCH("no",G1697)))</formula>
    </cfRule>
    <cfRule type="cellIs" dxfId="955" priority="781" operator="equal">
      <formula>#REF!</formula>
    </cfRule>
  </conditionalFormatting>
  <conditionalFormatting sqref="G1697:G1698">
    <cfRule type="containsText" dxfId="954" priority="778" operator="containsText" text="yes">
      <formula>NOT(ISERROR(SEARCH("yes",G1697)))</formula>
    </cfRule>
  </conditionalFormatting>
  <conditionalFormatting sqref="I1699:I1716">
    <cfRule type="containsText" dxfId="953" priority="774" operator="containsText" text="no">
      <formula>NOT(ISERROR(SEARCH("no",I1699)))</formula>
    </cfRule>
    <cfRule type="cellIs" dxfId="952" priority="776" operator="equal">
      <formula>#REF!</formula>
    </cfRule>
  </conditionalFormatting>
  <conditionalFormatting sqref="I1699:I1716">
    <cfRule type="containsText" dxfId="951" priority="775" operator="containsText" text="yes">
      <formula>NOT(ISERROR(SEARCH("yes",I1699)))</formula>
    </cfRule>
  </conditionalFormatting>
  <conditionalFormatting sqref="I1697:I1698">
    <cfRule type="containsText" dxfId="950" priority="767" operator="containsText" text="no">
      <formula>NOT(ISERROR(SEARCH("no",I1697)))</formula>
    </cfRule>
    <cfRule type="cellIs" dxfId="949" priority="771" operator="equal">
      <formula>#REF!</formula>
    </cfRule>
  </conditionalFormatting>
  <conditionalFormatting sqref="I1697:I1698">
    <cfRule type="containsText" dxfId="948" priority="768" operator="containsText" text="yes">
      <formula>NOT(ISERROR(SEARCH("yes",I1697)))</formula>
    </cfRule>
  </conditionalFormatting>
  <conditionalFormatting sqref="G1733:G1750">
    <cfRule type="containsText" dxfId="947" priority="764" operator="containsText" text="no">
      <formula>NOT(ISERROR(SEARCH("no",G1733)))</formula>
    </cfRule>
    <cfRule type="cellIs" dxfId="946" priority="766" operator="equal">
      <formula>#REF!</formula>
    </cfRule>
  </conditionalFormatting>
  <conditionalFormatting sqref="G1733:G1750">
    <cfRule type="containsText" dxfId="945" priority="765" operator="containsText" text="yes">
      <formula>NOT(ISERROR(SEARCH("yes",G1733)))</formula>
    </cfRule>
  </conditionalFormatting>
  <conditionalFormatting sqref="G1731:G1732">
    <cfRule type="containsText" dxfId="944" priority="757" operator="containsText" text="no">
      <formula>NOT(ISERROR(SEARCH("no",G1731)))</formula>
    </cfRule>
    <cfRule type="cellIs" dxfId="943" priority="761" operator="equal">
      <formula>#REF!</formula>
    </cfRule>
  </conditionalFormatting>
  <conditionalFormatting sqref="G1731:G1732">
    <cfRule type="containsText" dxfId="942" priority="758" operator="containsText" text="yes">
      <formula>NOT(ISERROR(SEARCH("yes",G1731)))</formula>
    </cfRule>
  </conditionalFormatting>
  <conditionalFormatting sqref="I1733:I1750">
    <cfRule type="containsText" dxfId="941" priority="754" operator="containsText" text="no">
      <formula>NOT(ISERROR(SEARCH("no",I1733)))</formula>
    </cfRule>
    <cfRule type="cellIs" dxfId="940" priority="756" operator="equal">
      <formula>#REF!</formula>
    </cfRule>
  </conditionalFormatting>
  <conditionalFormatting sqref="I1733:I1750">
    <cfRule type="containsText" dxfId="939" priority="755" operator="containsText" text="yes">
      <formula>NOT(ISERROR(SEARCH("yes",I1733)))</formula>
    </cfRule>
  </conditionalFormatting>
  <conditionalFormatting sqref="I1731:I1732">
    <cfRule type="containsText" dxfId="938" priority="747" operator="containsText" text="no">
      <formula>NOT(ISERROR(SEARCH("no",I1731)))</formula>
    </cfRule>
    <cfRule type="cellIs" dxfId="937" priority="751" operator="equal">
      <formula>#REF!</formula>
    </cfRule>
  </conditionalFormatting>
  <conditionalFormatting sqref="I1731:I1732">
    <cfRule type="containsText" dxfId="936" priority="748" operator="containsText" text="yes">
      <formula>NOT(ISERROR(SEARCH("yes",I1731)))</formula>
    </cfRule>
  </conditionalFormatting>
  <conditionalFormatting sqref="G1767:G1784">
    <cfRule type="containsText" dxfId="935" priority="744" operator="containsText" text="no">
      <formula>NOT(ISERROR(SEARCH("no",G1767)))</formula>
    </cfRule>
    <cfRule type="cellIs" dxfId="934" priority="746" operator="equal">
      <formula>#REF!</formula>
    </cfRule>
  </conditionalFormatting>
  <conditionalFormatting sqref="G1767:G1784">
    <cfRule type="containsText" dxfId="933" priority="745" operator="containsText" text="yes">
      <formula>NOT(ISERROR(SEARCH("yes",G1767)))</formula>
    </cfRule>
  </conditionalFormatting>
  <conditionalFormatting sqref="G1765:G1766">
    <cfRule type="containsText" dxfId="932" priority="737" operator="containsText" text="no">
      <formula>NOT(ISERROR(SEARCH("no",G1765)))</formula>
    </cfRule>
    <cfRule type="cellIs" dxfId="931" priority="741" operator="equal">
      <formula>#REF!</formula>
    </cfRule>
  </conditionalFormatting>
  <conditionalFormatting sqref="G1765:G1766">
    <cfRule type="containsText" dxfId="930" priority="738" operator="containsText" text="yes">
      <formula>NOT(ISERROR(SEARCH("yes",G1765)))</formula>
    </cfRule>
  </conditionalFormatting>
  <conditionalFormatting sqref="I1767:I1784">
    <cfRule type="containsText" dxfId="929" priority="734" operator="containsText" text="no">
      <formula>NOT(ISERROR(SEARCH("no",I1767)))</formula>
    </cfRule>
    <cfRule type="cellIs" dxfId="928" priority="736" operator="equal">
      <formula>#REF!</formula>
    </cfRule>
  </conditionalFormatting>
  <conditionalFormatting sqref="I1767:I1784">
    <cfRule type="containsText" dxfId="927" priority="735" operator="containsText" text="yes">
      <formula>NOT(ISERROR(SEARCH("yes",I1767)))</formula>
    </cfRule>
  </conditionalFormatting>
  <conditionalFormatting sqref="I1765:I1766">
    <cfRule type="containsText" dxfId="926" priority="727" operator="containsText" text="no">
      <formula>NOT(ISERROR(SEARCH("no",I1765)))</formula>
    </cfRule>
    <cfRule type="cellIs" dxfId="925" priority="731" operator="equal">
      <formula>#REF!</formula>
    </cfRule>
  </conditionalFormatting>
  <conditionalFormatting sqref="I1765:I1766">
    <cfRule type="containsText" dxfId="924" priority="728" operator="containsText" text="yes">
      <formula>NOT(ISERROR(SEARCH("yes",I1765)))</formula>
    </cfRule>
  </conditionalFormatting>
  <conditionalFormatting sqref="G1802:G1819">
    <cfRule type="containsText" dxfId="923" priority="724" operator="containsText" text="no">
      <formula>NOT(ISERROR(SEARCH("no",G1802)))</formula>
    </cfRule>
    <cfRule type="cellIs" dxfId="922" priority="726" operator="equal">
      <formula>#REF!</formula>
    </cfRule>
  </conditionalFormatting>
  <conditionalFormatting sqref="G1802:G1819">
    <cfRule type="containsText" dxfId="921" priority="725" operator="containsText" text="yes">
      <formula>NOT(ISERROR(SEARCH("yes",G1802)))</formula>
    </cfRule>
  </conditionalFormatting>
  <conditionalFormatting sqref="G1800:G1801">
    <cfRule type="containsText" dxfId="920" priority="717" operator="containsText" text="no">
      <formula>NOT(ISERROR(SEARCH("no",G1800)))</formula>
    </cfRule>
    <cfRule type="cellIs" dxfId="919" priority="721" operator="equal">
      <formula>#REF!</formula>
    </cfRule>
  </conditionalFormatting>
  <conditionalFormatting sqref="G1800:G1801">
    <cfRule type="containsText" dxfId="918" priority="718" operator="containsText" text="yes">
      <formula>NOT(ISERROR(SEARCH("yes",G1800)))</formula>
    </cfRule>
  </conditionalFormatting>
  <conditionalFormatting sqref="I1802:I1819">
    <cfRule type="containsText" dxfId="917" priority="714" operator="containsText" text="no">
      <formula>NOT(ISERROR(SEARCH("no",I1802)))</formula>
    </cfRule>
    <cfRule type="cellIs" dxfId="916" priority="716" operator="equal">
      <formula>#REF!</formula>
    </cfRule>
  </conditionalFormatting>
  <conditionalFormatting sqref="I1802:I1819">
    <cfRule type="containsText" dxfId="915" priority="715" operator="containsText" text="yes">
      <formula>NOT(ISERROR(SEARCH("yes",I1802)))</formula>
    </cfRule>
  </conditionalFormatting>
  <conditionalFormatting sqref="I1800:I1801">
    <cfRule type="containsText" dxfId="914" priority="707" operator="containsText" text="no">
      <formula>NOT(ISERROR(SEARCH("no",I1800)))</formula>
    </cfRule>
    <cfRule type="cellIs" dxfId="913" priority="711" operator="equal">
      <formula>#REF!</formula>
    </cfRule>
  </conditionalFormatting>
  <conditionalFormatting sqref="I1800:I1801">
    <cfRule type="containsText" dxfId="912" priority="708" operator="containsText" text="yes">
      <formula>NOT(ISERROR(SEARCH("yes",I1800)))</formula>
    </cfRule>
  </conditionalFormatting>
  <conditionalFormatting sqref="G1838:G1855">
    <cfRule type="containsText" dxfId="911" priority="704" operator="containsText" text="no">
      <formula>NOT(ISERROR(SEARCH("no",G1838)))</formula>
    </cfRule>
    <cfRule type="cellIs" dxfId="910" priority="706" operator="equal">
      <formula>#REF!</formula>
    </cfRule>
  </conditionalFormatting>
  <conditionalFormatting sqref="G1838:G1855">
    <cfRule type="containsText" dxfId="909" priority="705" operator="containsText" text="yes">
      <formula>NOT(ISERROR(SEARCH("yes",G1838)))</formula>
    </cfRule>
  </conditionalFormatting>
  <conditionalFormatting sqref="G1836:G1837">
    <cfRule type="containsText" dxfId="908" priority="697" operator="containsText" text="no">
      <formula>NOT(ISERROR(SEARCH("no",G1836)))</formula>
    </cfRule>
    <cfRule type="cellIs" dxfId="907" priority="701" operator="equal">
      <formula>#REF!</formula>
    </cfRule>
  </conditionalFormatting>
  <conditionalFormatting sqref="G1836:G1837">
    <cfRule type="containsText" dxfId="906" priority="698" operator="containsText" text="yes">
      <formula>NOT(ISERROR(SEARCH("yes",G1836)))</formula>
    </cfRule>
  </conditionalFormatting>
  <conditionalFormatting sqref="I1838:I1855">
    <cfRule type="containsText" dxfId="905" priority="694" operator="containsText" text="no">
      <formula>NOT(ISERROR(SEARCH("no",I1838)))</formula>
    </cfRule>
    <cfRule type="cellIs" dxfId="904" priority="696" operator="equal">
      <formula>#REF!</formula>
    </cfRule>
  </conditionalFormatting>
  <conditionalFormatting sqref="I1838:I1855">
    <cfRule type="containsText" dxfId="903" priority="695" operator="containsText" text="yes">
      <formula>NOT(ISERROR(SEARCH("yes",I1838)))</formula>
    </cfRule>
  </conditionalFormatting>
  <conditionalFormatting sqref="I1836:I1837">
    <cfRule type="containsText" dxfId="902" priority="687" operator="containsText" text="no">
      <formula>NOT(ISERROR(SEARCH("no",I1836)))</formula>
    </cfRule>
    <cfRule type="cellIs" dxfId="901" priority="691" operator="equal">
      <formula>#REF!</formula>
    </cfRule>
  </conditionalFormatting>
  <conditionalFormatting sqref="I1836:I1837">
    <cfRule type="containsText" dxfId="900" priority="688" operator="containsText" text="yes">
      <formula>NOT(ISERROR(SEARCH("yes",I1836)))</formula>
    </cfRule>
  </conditionalFormatting>
  <conditionalFormatting sqref="G1874:G1891">
    <cfRule type="containsText" dxfId="899" priority="684" operator="containsText" text="no">
      <formula>NOT(ISERROR(SEARCH("no",G1874)))</formula>
    </cfRule>
    <cfRule type="cellIs" dxfId="898" priority="686" operator="equal">
      <formula>#REF!</formula>
    </cfRule>
  </conditionalFormatting>
  <conditionalFormatting sqref="G1874:G1891">
    <cfRule type="containsText" dxfId="897" priority="685" operator="containsText" text="yes">
      <formula>NOT(ISERROR(SEARCH("yes",G1874)))</formula>
    </cfRule>
  </conditionalFormatting>
  <conditionalFormatting sqref="G1872:G1873">
    <cfRule type="containsText" dxfId="896" priority="677" operator="containsText" text="no">
      <formula>NOT(ISERROR(SEARCH("no",G1872)))</formula>
    </cfRule>
    <cfRule type="cellIs" dxfId="895" priority="681" operator="equal">
      <formula>#REF!</formula>
    </cfRule>
  </conditionalFormatting>
  <conditionalFormatting sqref="G1872:G1873">
    <cfRule type="containsText" dxfId="894" priority="678" operator="containsText" text="yes">
      <formula>NOT(ISERROR(SEARCH("yes",G1872)))</formula>
    </cfRule>
  </conditionalFormatting>
  <conditionalFormatting sqref="I1874:I1891">
    <cfRule type="containsText" dxfId="893" priority="674" operator="containsText" text="no">
      <formula>NOT(ISERROR(SEARCH("no",I1874)))</formula>
    </cfRule>
    <cfRule type="cellIs" dxfId="892" priority="676" operator="equal">
      <formula>#REF!</formula>
    </cfRule>
  </conditionalFormatting>
  <conditionalFormatting sqref="I1874:I1891">
    <cfRule type="containsText" dxfId="891" priority="675" operator="containsText" text="yes">
      <formula>NOT(ISERROR(SEARCH("yes",I1874)))</formula>
    </cfRule>
  </conditionalFormatting>
  <conditionalFormatting sqref="I1872:I1873">
    <cfRule type="containsText" dxfId="890" priority="667" operator="containsText" text="no">
      <formula>NOT(ISERROR(SEARCH("no",I1872)))</formula>
    </cfRule>
    <cfRule type="cellIs" dxfId="889" priority="671" operator="equal">
      <formula>#REF!</formula>
    </cfRule>
  </conditionalFormatting>
  <conditionalFormatting sqref="I1872:I1873">
    <cfRule type="containsText" dxfId="888" priority="668" operator="containsText" text="yes">
      <formula>NOT(ISERROR(SEARCH("yes",I1872)))</formula>
    </cfRule>
  </conditionalFormatting>
  <conditionalFormatting sqref="G1908:G1925">
    <cfRule type="containsText" dxfId="887" priority="664" operator="containsText" text="no">
      <formula>NOT(ISERROR(SEARCH("no",G1908)))</formula>
    </cfRule>
    <cfRule type="cellIs" dxfId="886" priority="666" operator="equal">
      <formula>#REF!</formula>
    </cfRule>
  </conditionalFormatting>
  <conditionalFormatting sqref="G1908:G1925">
    <cfRule type="containsText" dxfId="885" priority="665" operator="containsText" text="yes">
      <formula>NOT(ISERROR(SEARCH("yes",G1908)))</formula>
    </cfRule>
  </conditionalFormatting>
  <conditionalFormatting sqref="G1906:G1907">
    <cfRule type="containsText" dxfId="884" priority="657" operator="containsText" text="no">
      <formula>NOT(ISERROR(SEARCH("no",G1906)))</formula>
    </cfRule>
    <cfRule type="cellIs" dxfId="883" priority="661" operator="equal">
      <formula>#REF!</formula>
    </cfRule>
  </conditionalFormatting>
  <conditionalFormatting sqref="G1906:G1907">
    <cfRule type="containsText" dxfId="882" priority="658" operator="containsText" text="yes">
      <formula>NOT(ISERROR(SEARCH("yes",G1906)))</formula>
    </cfRule>
  </conditionalFormatting>
  <conditionalFormatting sqref="I1908:I1925">
    <cfRule type="containsText" dxfId="881" priority="654" operator="containsText" text="no">
      <formula>NOT(ISERROR(SEARCH("no",I1908)))</formula>
    </cfRule>
    <cfRule type="cellIs" dxfId="880" priority="656" operator="equal">
      <formula>#REF!</formula>
    </cfRule>
  </conditionalFormatting>
  <conditionalFormatting sqref="I1908:I1925">
    <cfRule type="containsText" dxfId="879" priority="655" operator="containsText" text="yes">
      <formula>NOT(ISERROR(SEARCH("yes",I1908)))</formula>
    </cfRule>
  </conditionalFormatting>
  <conditionalFormatting sqref="I1906:I1907">
    <cfRule type="containsText" dxfId="878" priority="647" operator="containsText" text="no">
      <formula>NOT(ISERROR(SEARCH("no",I1906)))</formula>
    </cfRule>
    <cfRule type="cellIs" dxfId="877" priority="651" operator="equal">
      <formula>#REF!</formula>
    </cfRule>
  </conditionalFormatting>
  <conditionalFormatting sqref="I1906:I1907">
    <cfRule type="containsText" dxfId="876" priority="648" operator="containsText" text="yes">
      <formula>NOT(ISERROR(SEARCH("yes",I1906)))</formula>
    </cfRule>
  </conditionalFormatting>
  <conditionalFormatting sqref="G1942:G1959">
    <cfRule type="containsText" dxfId="875" priority="644" operator="containsText" text="no">
      <formula>NOT(ISERROR(SEARCH("no",G1942)))</formula>
    </cfRule>
    <cfRule type="cellIs" dxfId="874" priority="646" operator="equal">
      <formula>#REF!</formula>
    </cfRule>
  </conditionalFormatting>
  <conditionalFormatting sqref="G1942:G1959">
    <cfRule type="containsText" dxfId="873" priority="645" operator="containsText" text="yes">
      <formula>NOT(ISERROR(SEARCH("yes",G1942)))</formula>
    </cfRule>
  </conditionalFormatting>
  <conditionalFormatting sqref="G1940:G1941">
    <cfRule type="containsText" dxfId="872" priority="637" operator="containsText" text="no">
      <formula>NOT(ISERROR(SEARCH("no",G1940)))</formula>
    </cfRule>
    <cfRule type="cellIs" dxfId="871" priority="641" operator="equal">
      <formula>#REF!</formula>
    </cfRule>
  </conditionalFormatting>
  <conditionalFormatting sqref="G1940:G1941">
    <cfRule type="containsText" dxfId="870" priority="638" operator="containsText" text="yes">
      <formula>NOT(ISERROR(SEARCH("yes",G1940)))</formula>
    </cfRule>
  </conditionalFormatting>
  <conditionalFormatting sqref="I1942:I1959">
    <cfRule type="containsText" dxfId="869" priority="634" operator="containsText" text="no">
      <formula>NOT(ISERROR(SEARCH("no",I1942)))</formula>
    </cfRule>
    <cfRule type="cellIs" dxfId="868" priority="636" operator="equal">
      <formula>#REF!</formula>
    </cfRule>
  </conditionalFormatting>
  <conditionalFormatting sqref="I1942:I1959">
    <cfRule type="containsText" dxfId="867" priority="635" operator="containsText" text="yes">
      <formula>NOT(ISERROR(SEARCH("yes",I1942)))</formula>
    </cfRule>
  </conditionalFormatting>
  <conditionalFormatting sqref="I1940:I1941">
    <cfRule type="containsText" dxfId="866" priority="627" operator="containsText" text="no">
      <formula>NOT(ISERROR(SEARCH("no",I1940)))</formula>
    </cfRule>
    <cfRule type="cellIs" dxfId="865" priority="631" operator="equal">
      <formula>#REF!</formula>
    </cfRule>
  </conditionalFormatting>
  <conditionalFormatting sqref="I1940:I1941">
    <cfRule type="containsText" dxfId="864" priority="628" operator="containsText" text="yes">
      <formula>NOT(ISERROR(SEARCH("yes",I1940)))</formula>
    </cfRule>
  </conditionalFormatting>
  <conditionalFormatting sqref="S108">
    <cfRule type="expression" dxfId="863" priority="626">
      <formula>S108="no"</formula>
    </cfRule>
  </conditionalFormatting>
  <conditionalFormatting sqref="S142">
    <cfRule type="expression" dxfId="862" priority="625">
      <formula>S142="no"</formula>
    </cfRule>
  </conditionalFormatting>
  <conditionalFormatting sqref="S178">
    <cfRule type="expression" dxfId="861" priority="624">
      <formula>S178="no"</formula>
    </cfRule>
  </conditionalFormatting>
  <conditionalFormatting sqref="S214">
    <cfRule type="expression" dxfId="860" priority="623">
      <formula>S214="no"</formula>
    </cfRule>
  </conditionalFormatting>
  <conditionalFormatting sqref="S249">
    <cfRule type="expression" dxfId="859" priority="622">
      <formula>S249="no"</formula>
    </cfRule>
  </conditionalFormatting>
  <conditionalFormatting sqref="S283">
    <cfRule type="expression" dxfId="858" priority="621">
      <formula>S283="no"</formula>
    </cfRule>
  </conditionalFormatting>
  <conditionalFormatting sqref="S319">
    <cfRule type="expression" dxfId="857" priority="620">
      <formula>S319="no"</formula>
    </cfRule>
  </conditionalFormatting>
  <conditionalFormatting sqref="S437">
    <cfRule type="expression" dxfId="856" priority="619">
      <formula>S437="no"</formula>
    </cfRule>
  </conditionalFormatting>
  <conditionalFormatting sqref="S473">
    <cfRule type="expression" dxfId="855" priority="618">
      <formula>S473="no"</formula>
    </cfRule>
  </conditionalFormatting>
  <conditionalFormatting sqref="S509">
    <cfRule type="expression" dxfId="854" priority="617">
      <formula>S509="no"</formula>
    </cfRule>
  </conditionalFormatting>
  <conditionalFormatting sqref="S549">
    <cfRule type="expression" dxfId="853" priority="616">
      <formula>S549="no"</formula>
    </cfRule>
  </conditionalFormatting>
  <conditionalFormatting sqref="S583">
    <cfRule type="expression" dxfId="852" priority="615">
      <formula>S583="no"</formula>
    </cfRule>
  </conditionalFormatting>
  <conditionalFormatting sqref="S619">
    <cfRule type="expression" dxfId="851" priority="614">
      <formula>S619="no"</formula>
    </cfRule>
  </conditionalFormatting>
  <conditionalFormatting sqref="S653">
    <cfRule type="expression" dxfId="850" priority="613">
      <formula>S653="no"</formula>
    </cfRule>
  </conditionalFormatting>
  <conditionalFormatting sqref="S687">
    <cfRule type="expression" dxfId="849" priority="612">
      <formula>S687="no"</formula>
    </cfRule>
  </conditionalFormatting>
  <conditionalFormatting sqref="S906">
    <cfRule type="expression" dxfId="848" priority="611">
      <formula>S906="no"</formula>
    </cfRule>
  </conditionalFormatting>
  <conditionalFormatting sqref="S1052">
    <cfRule type="expression" dxfId="847" priority="610">
      <formula>S1052="no"</formula>
    </cfRule>
  </conditionalFormatting>
  <conditionalFormatting sqref="S1214">
    <cfRule type="expression" dxfId="846" priority="609">
      <formula>S1214="no"</formula>
    </cfRule>
  </conditionalFormatting>
  <conditionalFormatting sqref="S1319">
    <cfRule type="expression" dxfId="845" priority="608">
      <formula>S1319="no"</formula>
    </cfRule>
  </conditionalFormatting>
  <conditionalFormatting sqref="S1429">
    <cfRule type="expression" dxfId="844" priority="607">
      <formula>S1429="no"</formula>
    </cfRule>
  </conditionalFormatting>
  <conditionalFormatting sqref="S1464">
    <cfRule type="expression" dxfId="843" priority="606">
      <formula>S1464="no"</formula>
    </cfRule>
  </conditionalFormatting>
  <conditionalFormatting sqref="S1504">
    <cfRule type="expression" dxfId="842" priority="605">
      <formula>S1504="no"</formula>
    </cfRule>
  </conditionalFormatting>
  <conditionalFormatting sqref="S1540">
    <cfRule type="expression" dxfId="841" priority="604">
      <formula>S1540="no"</formula>
    </cfRule>
  </conditionalFormatting>
  <conditionalFormatting sqref="S1578">
    <cfRule type="expression" dxfId="840" priority="603">
      <formula>S1578="no"</formula>
    </cfRule>
  </conditionalFormatting>
  <conditionalFormatting sqref="S1613">
    <cfRule type="expression" dxfId="839" priority="602">
      <formula>S1613="no"</formula>
    </cfRule>
  </conditionalFormatting>
  <conditionalFormatting sqref="S1649">
    <cfRule type="expression" dxfId="838" priority="601">
      <formula>S1649="no"</formula>
    </cfRule>
  </conditionalFormatting>
  <conditionalFormatting sqref="S1685">
    <cfRule type="expression" dxfId="837" priority="600">
      <formula>S1685="no"</formula>
    </cfRule>
  </conditionalFormatting>
  <conditionalFormatting sqref="S1721">
    <cfRule type="expression" dxfId="836" priority="599">
      <formula>S1721="no"</formula>
    </cfRule>
  </conditionalFormatting>
  <conditionalFormatting sqref="S1755">
    <cfRule type="expression" dxfId="835" priority="598">
      <formula>S1755="no"</formula>
    </cfRule>
  </conditionalFormatting>
  <conditionalFormatting sqref="S1789">
    <cfRule type="expression" dxfId="834" priority="597">
      <formula>S1789="no"</formula>
    </cfRule>
  </conditionalFormatting>
  <conditionalFormatting sqref="S1824">
    <cfRule type="expression" dxfId="833" priority="596">
      <formula>S1824="no"</formula>
    </cfRule>
  </conditionalFormatting>
  <conditionalFormatting sqref="S1860">
    <cfRule type="expression" dxfId="832" priority="595">
      <formula>S1860="no"</formula>
    </cfRule>
  </conditionalFormatting>
  <conditionalFormatting sqref="S1896">
    <cfRule type="expression" dxfId="831" priority="594">
      <formula>S1896="no"</formula>
    </cfRule>
  </conditionalFormatting>
  <conditionalFormatting sqref="S1930">
    <cfRule type="expression" dxfId="830" priority="593">
      <formula>S1930="no"</formula>
    </cfRule>
  </conditionalFormatting>
  <conditionalFormatting sqref="S1964">
    <cfRule type="expression" dxfId="829" priority="592">
      <formula>S1964="no"</formula>
    </cfRule>
  </conditionalFormatting>
  <conditionalFormatting sqref="G49">
    <cfRule type="containsText" dxfId="828" priority="587" operator="containsText" text="no">
      <formula>NOT(ISERROR(SEARCH("no",G49)))</formula>
    </cfRule>
    <cfRule type="cellIs" dxfId="827" priority="591" operator="equal">
      <formula>#REF!</formula>
    </cfRule>
  </conditionalFormatting>
  <conditionalFormatting sqref="G49">
    <cfRule type="containsText" dxfId="826" priority="588" operator="containsText" text="yes">
      <formula>NOT(ISERROR(SEARCH("yes",G49)))</formula>
    </cfRule>
  </conditionalFormatting>
  <conditionalFormatting sqref="I49">
    <cfRule type="containsText" dxfId="825" priority="582" operator="containsText" text="no">
      <formula>NOT(ISERROR(SEARCH("no",I49)))</formula>
    </cfRule>
    <cfRule type="cellIs" dxfId="824" priority="586" operator="equal">
      <formula>#REF!</formula>
    </cfRule>
  </conditionalFormatting>
  <conditionalFormatting sqref="I49">
    <cfRule type="containsText" dxfId="823" priority="583" operator="containsText" text="yes">
      <formula>NOT(ISERROR(SEARCH("yes",I49)))</formula>
    </cfRule>
  </conditionalFormatting>
  <conditionalFormatting sqref="G50">
    <cfRule type="containsText" dxfId="822" priority="577" operator="containsText" text="no">
      <formula>NOT(ISERROR(SEARCH("no",G50)))</formula>
    </cfRule>
    <cfRule type="cellIs" dxfId="821" priority="581" operator="equal">
      <formula>#REF!</formula>
    </cfRule>
  </conditionalFormatting>
  <conditionalFormatting sqref="G50">
    <cfRule type="containsText" dxfId="820" priority="578" operator="containsText" text="yes">
      <formula>NOT(ISERROR(SEARCH("yes",G50)))</formula>
    </cfRule>
  </conditionalFormatting>
  <conditionalFormatting sqref="I50">
    <cfRule type="containsText" dxfId="819" priority="572" operator="containsText" text="no">
      <formula>NOT(ISERROR(SEARCH("no",I50)))</formula>
    </cfRule>
    <cfRule type="cellIs" dxfId="818" priority="576" operator="equal">
      <formula>#REF!</formula>
    </cfRule>
  </conditionalFormatting>
  <conditionalFormatting sqref="I50">
    <cfRule type="containsText" dxfId="817" priority="573" operator="containsText" text="yes">
      <formula>NOT(ISERROR(SEARCH("yes",I50)))</formula>
    </cfRule>
  </conditionalFormatting>
  <conditionalFormatting sqref="G51">
    <cfRule type="containsText" dxfId="816" priority="567" operator="containsText" text="no">
      <formula>NOT(ISERROR(SEARCH("no",G51)))</formula>
    </cfRule>
    <cfRule type="cellIs" dxfId="815" priority="571" operator="equal">
      <formula>#REF!</formula>
    </cfRule>
  </conditionalFormatting>
  <conditionalFormatting sqref="G51">
    <cfRule type="containsText" dxfId="814" priority="568" operator="containsText" text="yes">
      <formula>NOT(ISERROR(SEARCH("yes",G51)))</formula>
    </cfRule>
  </conditionalFormatting>
  <conditionalFormatting sqref="I51">
    <cfRule type="containsText" dxfId="813" priority="562" operator="containsText" text="no">
      <formula>NOT(ISERROR(SEARCH("no",I51)))</formula>
    </cfRule>
    <cfRule type="cellIs" dxfId="812" priority="566" operator="equal">
      <formula>#REF!</formula>
    </cfRule>
  </conditionalFormatting>
  <conditionalFormatting sqref="I51">
    <cfRule type="containsText" dxfId="811" priority="563" operator="containsText" text="yes">
      <formula>NOT(ISERROR(SEARCH("yes",I51)))</formula>
    </cfRule>
  </conditionalFormatting>
  <conditionalFormatting sqref="G52">
    <cfRule type="containsText" dxfId="810" priority="557" operator="containsText" text="no">
      <formula>NOT(ISERROR(SEARCH("no",G52)))</formula>
    </cfRule>
    <cfRule type="cellIs" dxfId="809" priority="561" operator="equal">
      <formula>#REF!</formula>
    </cfRule>
  </conditionalFormatting>
  <conditionalFormatting sqref="G52">
    <cfRule type="containsText" dxfId="808" priority="558" operator="containsText" text="yes">
      <formula>NOT(ISERROR(SEARCH("yes",G52)))</formula>
    </cfRule>
  </conditionalFormatting>
  <conditionalFormatting sqref="I52">
    <cfRule type="containsText" dxfId="807" priority="552" operator="containsText" text="no">
      <formula>NOT(ISERROR(SEARCH("no",I52)))</formula>
    </cfRule>
    <cfRule type="cellIs" dxfId="806" priority="556" operator="equal">
      <formula>#REF!</formula>
    </cfRule>
  </conditionalFormatting>
  <conditionalFormatting sqref="I52">
    <cfRule type="containsText" dxfId="805" priority="553" operator="containsText" text="yes">
      <formula>NOT(ISERROR(SEARCH("yes",I52)))</formula>
    </cfRule>
  </conditionalFormatting>
  <conditionalFormatting sqref="G53">
    <cfRule type="containsText" dxfId="804" priority="547" operator="containsText" text="no">
      <formula>NOT(ISERROR(SEARCH("no",G53)))</formula>
    </cfRule>
    <cfRule type="cellIs" dxfId="803" priority="551" operator="equal">
      <formula>#REF!</formula>
    </cfRule>
  </conditionalFormatting>
  <conditionalFormatting sqref="G53">
    <cfRule type="containsText" dxfId="802" priority="548" operator="containsText" text="yes">
      <formula>NOT(ISERROR(SEARCH("yes",G53)))</formula>
    </cfRule>
  </conditionalFormatting>
  <conditionalFormatting sqref="I53">
    <cfRule type="containsText" dxfId="801" priority="542" operator="containsText" text="no">
      <formula>NOT(ISERROR(SEARCH("no",I53)))</formula>
    </cfRule>
    <cfRule type="cellIs" dxfId="800" priority="546" operator="equal">
      <formula>#REF!</formula>
    </cfRule>
  </conditionalFormatting>
  <conditionalFormatting sqref="I53">
    <cfRule type="containsText" dxfId="799" priority="543" operator="containsText" text="yes">
      <formula>NOT(ISERROR(SEARCH("yes",I53)))</formula>
    </cfRule>
  </conditionalFormatting>
  <conditionalFormatting sqref="G54">
    <cfRule type="containsText" dxfId="798" priority="537" operator="containsText" text="no">
      <formula>NOT(ISERROR(SEARCH("no",G54)))</formula>
    </cfRule>
    <cfRule type="cellIs" dxfId="797" priority="541" operator="equal">
      <formula>#REF!</formula>
    </cfRule>
  </conditionalFormatting>
  <conditionalFormatting sqref="G54">
    <cfRule type="containsText" dxfId="796" priority="538" operator="containsText" text="yes">
      <formula>NOT(ISERROR(SEARCH("yes",G54)))</formula>
    </cfRule>
  </conditionalFormatting>
  <conditionalFormatting sqref="I54">
    <cfRule type="containsText" dxfId="795" priority="532" operator="containsText" text="no">
      <formula>NOT(ISERROR(SEARCH("no",I54)))</formula>
    </cfRule>
    <cfRule type="cellIs" dxfId="794" priority="536" operator="equal">
      <formula>#REF!</formula>
    </cfRule>
  </conditionalFormatting>
  <conditionalFormatting sqref="I54">
    <cfRule type="containsText" dxfId="793" priority="533" operator="containsText" text="yes">
      <formula>NOT(ISERROR(SEARCH("yes",I54)))</formula>
    </cfRule>
  </conditionalFormatting>
  <conditionalFormatting sqref="I295:I314">
    <cfRule type="containsText" dxfId="792" priority="527" operator="containsText" text="no">
      <formula>NOT(ISERROR(SEARCH("no",I295)))</formula>
    </cfRule>
    <cfRule type="cellIs" dxfId="791" priority="531" operator="equal">
      <formula>#REF!</formula>
    </cfRule>
  </conditionalFormatting>
  <conditionalFormatting sqref="I295:I314">
    <cfRule type="containsText" dxfId="790" priority="528" operator="containsText" text="yes">
      <formula>NOT(ISERROR(SEARCH("yes",I295)))</formula>
    </cfRule>
  </conditionalFormatting>
  <conditionalFormatting sqref="G295 G297 G299 G301 G303 G305 G307 G309 G311 G313">
    <cfRule type="containsText" dxfId="789" priority="522" operator="containsText" text="no">
      <formula>NOT(ISERROR(SEARCH("no",G295)))</formula>
    </cfRule>
    <cfRule type="cellIs" dxfId="788" priority="526" operator="equal">
      <formula>#REF!</formula>
    </cfRule>
  </conditionalFormatting>
  <conditionalFormatting sqref="G295 G297 G299 G301 G303 G305 G307 G309 G311 G313">
    <cfRule type="containsText" dxfId="787" priority="523" operator="containsText" text="yes">
      <formula>NOT(ISERROR(SEARCH("yes",G295)))</formula>
    </cfRule>
  </conditionalFormatting>
  <conditionalFormatting sqref="G296 G298 G300 G302 G304 G306 G308 G310 G312 G314">
    <cfRule type="containsText" dxfId="786" priority="517" operator="containsText" text="no">
      <formula>NOT(ISERROR(SEARCH("no",G296)))</formula>
    </cfRule>
    <cfRule type="cellIs" dxfId="785" priority="521" operator="equal">
      <formula>#REF!</formula>
    </cfRule>
  </conditionalFormatting>
  <conditionalFormatting sqref="G296 G298 G300 G302 G304 G306 G308 G310 G312 G314">
    <cfRule type="containsText" dxfId="784" priority="518" operator="containsText" text="yes">
      <formula>NOT(ISERROR(SEARCH("yes",G296)))</formula>
    </cfRule>
  </conditionalFormatting>
  <conditionalFormatting sqref="G335">
    <cfRule type="containsText" dxfId="783" priority="512" operator="containsText" text="no">
      <formula>NOT(ISERROR(SEARCH("no",G335)))</formula>
    </cfRule>
    <cfRule type="cellIs" dxfId="782" priority="516" operator="equal">
      <formula>#REF!</formula>
    </cfRule>
  </conditionalFormatting>
  <conditionalFormatting sqref="G335">
    <cfRule type="containsText" dxfId="781" priority="513" operator="containsText" text="yes">
      <formula>NOT(ISERROR(SEARCH("yes",G335)))</formula>
    </cfRule>
  </conditionalFormatting>
  <conditionalFormatting sqref="I335">
    <cfRule type="containsText" dxfId="780" priority="507" operator="containsText" text="no">
      <formula>NOT(ISERROR(SEARCH("no",I335)))</formula>
    </cfRule>
    <cfRule type="cellIs" dxfId="779" priority="511" operator="equal">
      <formula>#REF!</formula>
    </cfRule>
  </conditionalFormatting>
  <conditionalFormatting sqref="I335">
    <cfRule type="containsText" dxfId="778" priority="508" operator="containsText" text="yes">
      <formula>NOT(ISERROR(SEARCH("yes",I335)))</formula>
    </cfRule>
  </conditionalFormatting>
  <conditionalFormatting sqref="G335:G349">
    <cfRule type="containsText" dxfId="777" priority="504" operator="containsText" text="no">
      <formula>NOT(ISERROR(SEARCH("no",G335)))</formula>
    </cfRule>
    <cfRule type="cellIs" dxfId="776" priority="506" operator="equal">
      <formula>#REF!</formula>
    </cfRule>
  </conditionalFormatting>
  <conditionalFormatting sqref="G335:G349">
    <cfRule type="containsText" dxfId="775" priority="505" operator="containsText" text="yes">
      <formula>NOT(ISERROR(SEARCH("yes",G335)))</formula>
    </cfRule>
  </conditionalFormatting>
  <conditionalFormatting sqref="G331:G332">
    <cfRule type="containsText" dxfId="774" priority="497" operator="containsText" text="no">
      <formula>NOT(ISERROR(SEARCH("no",G331)))</formula>
    </cfRule>
    <cfRule type="cellIs" dxfId="773" priority="501" operator="equal">
      <formula>#REF!</formula>
    </cfRule>
  </conditionalFormatting>
  <conditionalFormatting sqref="G331:G332">
    <cfRule type="containsText" dxfId="772" priority="498" operator="containsText" text="yes">
      <formula>NOT(ISERROR(SEARCH("yes",G331)))</formula>
    </cfRule>
  </conditionalFormatting>
  <conditionalFormatting sqref="I333:I349">
    <cfRule type="containsText" dxfId="771" priority="494" operator="containsText" text="no">
      <formula>NOT(ISERROR(SEARCH("no",I333)))</formula>
    </cfRule>
    <cfRule type="cellIs" dxfId="770" priority="496" operator="equal">
      <formula>#REF!</formula>
    </cfRule>
  </conditionalFormatting>
  <conditionalFormatting sqref="I333:I349">
    <cfRule type="containsText" dxfId="769" priority="495" operator="containsText" text="yes">
      <formula>NOT(ISERROR(SEARCH("yes",I333)))</formula>
    </cfRule>
  </conditionalFormatting>
  <conditionalFormatting sqref="I331:I332">
    <cfRule type="containsText" dxfId="768" priority="487" operator="containsText" text="no">
      <formula>NOT(ISERROR(SEARCH("no",I331)))</formula>
    </cfRule>
    <cfRule type="cellIs" dxfId="767" priority="491" operator="equal">
      <formula>#REF!</formula>
    </cfRule>
  </conditionalFormatting>
  <conditionalFormatting sqref="I331:I332">
    <cfRule type="containsText" dxfId="766" priority="488" operator="containsText" text="yes">
      <formula>NOT(ISERROR(SEARCH("yes",I331)))</formula>
    </cfRule>
  </conditionalFormatting>
  <conditionalFormatting sqref="G336">
    <cfRule type="containsText" dxfId="765" priority="482" operator="containsText" text="no">
      <formula>NOT(ISERROR(SEARCH("no",G336)))</formula>
    </cfRule>
    <cfRule type="cellIs" dxfId="764" priority="486" operator="equal">
      <formula>#REF!</formula>
    </cfRule>
  </conditionalFormatting>
  <conditionalFormatting sqref="G336">
    <cfRule type="containsText" dxfId="763" priority="483" operator="containsText" text="yes">
      <formula>NOT(ISERROR(SEARCH("yes",G336)))</formula>
    </cfRule>
  </conditionalFormatting>
  <conditionalFormatting sqref="I336">
    <cfRule type="containsText" dxfId="762" priority="477" operator="containsText" text="no">
      <formula>NOT(ISERROR(SEARCH("no",I336)))</formula>
    </cfRule>
    <cfRule type="cellIs" dxfId="761" priority="481" operator="equal">
      <formula>#REF!</formula>
    </cfRule>
  </conditionalFormatting>
  <conditionalFormatting sqref="I336">
    <cfRule type="containsText" dxfId="760" priority="478" operator="containsText" text="yes">
      <formula>NOT(ISERROR(SEARCH("yes",I336)))</formula>
    </cfRule>
  </conditionalFormatting>
  <conditionalFormatting sqref="G337">
    <cfRule type="containsText" dxfId="759" priority="472" operator="containsText" text="no">
      <formula>NOT(ISERROR(SEARCH("no",G337)))</formula>
    </cfRule>
    <cfRule type="cellIs" dxfId="758" priority="476" operator="equal">
      <formula>#REF!</formula>
    </cfRule>
  </conditionalFormatting>
  <conditionalFormatting sqref="G337">
    <cfRule type="containsText" dxfId="757" priority="473" operator="containsText" text="yes">
      <formula>NOT(ISERROR(SEARCH("yes",G337)))</formula>
    </cfRule>
  </conditionalFormatting>
  <conditionalFormatting sqref="I337">
    <cfRule type="containsText" dxfId="756" priority="467" operator="containsText" text="no">
      <formula>NOT(ISERROR(SEARCH("no",I337)))</formula>
    </cfRule>
    <cfRule type="cellIs" dxfId="755" priority="471" operator="equal">
      <formula>#REF!</formula>
    </cfRule>
  </conditionalFormatting>
  <conditionalFormatting sqref="I337">
    <cfRule type="containsText" dxfId="754" priority="468" operator="containsText" text="yes">
      <formula>NOT(ISERROR(SEARCH("yes",I337)))</formula>
    </cfRule>
  </conditionalFormatting>
  <conditionalFormatting sqref="G338">
    <cfRule type="containsText" dxfId="753" priority="462" operator="containsText" text="no">
      <formula>NOT(ISERROR(SEARCH("no",G338)))</formula>
    </cfRule>
    <cfRule type="cellIs" dxfId="752" priority="466" operator="equal">
      <formula>#REF!</formula>
    </cfRule>
  </conditionalFormatting>
  <conditionalFormatting sqref="G338">
    <cfRule type="containsText" dxfId="751" priority="463" operator="containsText" text="yes">
      <formula>NOT(ISERROR(SEARCH("yes",G338)))</formula>
    </cfRule>
  </conditionalFormatting>
  <conditionalFormatting sqref="I338">
    <cfRule type="containsText" dxfId="750" priority="457" operator="containsText" text="no">
      <formula>NOT(ISERROR(SEARCH("no",I338)))</formula>
    </cfRule>
    <cfRule type="cellIs" dxfId="749" priority="461" operator="equal">
      <formula>#REF!</formula>
    </cfRule>
  </conditionalFormatting>
  <conditionalFormatting sqref="I338">
    <cfRule type="containsText" dxfId="748" priority="458" operator="containsText" text="yes">
      <formula>NOT(ISERROR(SEARCH("yes",I338)))</formula>
    </cfRule>
  </conditionalFormatting>
  <conditionalFormatting sqref="G339">
    <cfRule type="containsText" dxfId="747" priority="452" operator="containsText" text="no">
      <formula>NOT(ISERROR(SEARCH("no",G339)))</formula>
    </cfRule>
    <cfRule type="cellIs" dxfId="746" priority="456" operator="equal">
      <formula>#REF!</formula>
    </cfRule>
  </conditionalFormatting>
  <conditionalFormatting sqref="G339">
    <cfRule type="containsText" dxfId="745" priority="453" operator="containsText" text="yes">
      <formula>NOT(ISERROR(SEARCH("yes",G339)))</formula>
    </cfRule>
  </conditionalFormatting>
  <conditionalFormatting sqref="I339">
    <cfRule type="containsText" dxfId="744" priority="447" operator="containsText" text="no">
      <formula>NOT(ISERROR(SEARCH("no",I339)))</formula>
    </cfRule>
    <cfRule type="cellIs" dxfId="743" priority="451" operator="equal">
      <formula>#REF!</formula>
    </cfRule>
  </conditionalFormatting>
  <conditionalFormatting sqref="I339">
    <cfRule type="containsText" dxfId="742" priority="448" operator="containsText" text="yes">
      <formula>NOT(ISERROR(SEARCH("yes",I339)))</formula>
    </cfRule>
  </conditionalFormatting>
  <conditionalFormatting sqref="G340">
    <cfRule type="containsText" dxfId="741" priority="442" operator="containsText" text="no">
      <formula>NOT(ISERROR(SEARCH("no",G340)))</formula>
    </cfRule>
    <cfRule type="cellIs" dxfId="740" priority="446" operator="equal">
      <formula>#REF!</formula>
    </cfRule>
  </conditionalFormatting>
  <conditionalFormatting sqref="G340">
    <cfRule type="containsText" dxfId="739" priority="443" operator="containsText" text="yes">
      <formula>NOT(ISERROR(SEARCH("yes",G340)))</formula>
    </cfRule>
  </conditionalFormatting>
  <conditionalFormatting sqref="I340">
    <cfRule type="containsText" dxfId="738" priority="437" operator="containsText" text="no">
      <formula>NOT(ISERROR(SEARCH("no",I340)))</formula>
    </cfRule>
    <cfRule type="cellIs" dxfId="737" priority="441" operator="equal">
      <formula>#REF!</formula>
    </cfRule>
  </conditionalFormatting>
  <conditionalFormatting sqref="I340">
    <cfRule type="containsText" dxfId="736" priority="438" operator="containsText" text="yes">
      <formula>NOT(ISERROR(SEARCH("yes",I340)))</formula>
    </cfRule>
  </conditionalFormatting>
  <conditionalFormatting sqref="G341">
    <cfRule type="containsText" dxfId="735" priority="432" operator="containsText" text="no">
      <formula>NOT(ISERROR(SEARCH("no",G341)))</formula>
    </cfRule>
    <cfRule type="cellIs" dxfId="734" priority="436" operator="equal">
      <formula>#REF!</formula>
    </cfRule>
  </conditionalFormatting>
  <conditionalFormatting sqref="G341">
    <cfRule type="containsText" dxfId="733" priority="433" operator="containsText" text="yes">
      <formula>NOT(ISERROR(SEARCH("yes",G341)))</formula>
    </cfRule>
  </conditionalFormatting>
  <conditionalFormatting sqref="I341">
    <cfRule type="containsText" dxfId="732" priority="427" operator="containsText" text="no">
      <formula>NOT(ISERROR(SEARCH("no",I341)))</formula>
    </cfRule>
    <cfRule type="cellIs" dxfId="731" priority="431" operator="equal">
      <formula>#REF!</formula>
    </cfRule>
  </conditionalFormatting>
  <conditionalFormatting sqref="I341">
    <cfRule type="containsText" dxfId="730" priority="428" operator="containsText" text="yes">
      <formula>NOT(ISERROR(SEARCH("yes",I341)))</formula>
    </cfRule>
  </conditionalFormatting>
  <conditionalFormatting sqref="G342">
    <cfRule type="containsText" dxfId="729" priority="422" operator="containsText" text="no">
      <formula>NOT(ISERROR(SEARCH("no",G342)))</formula>
    </cfRule>
    <cfRule type="cellIs" dxfId="728" priority="426" operator="equal">
      <formula>#REF!</formula>
    </cfRule>
  </conditionalFormatting>
  <conditionalFormatting sqref="G342">
    <cfRule type="containsText" dxfId="727" priority="423" operator="containsText" text="yes">
      <formula>NOT(ISERROR(SEARCH("yes",G342)))</formula>
    </cfRule>
  </conditionalFormatting>
  <conditionalFormatting sqref="I342">
    <cfRule type="containsText" dxfId="726" priority="417" operator="containsText" text="no">
      <formula>NOT(ISERROR(SEARCH("no",I342)))</formula>
    </cfRule>
    <cfRule type="cellIs" dxfId="725" priority="421" operator="equal">
      <formula>#REF!</formula>
    </cfRule>
  </conditionalFormatting>
  <conditionalFormatting sqref="I342">
    <cfRule type="containsText" dxfId="724" priority="418" operator="containsText" text="yes">
      <formula>NOT(ISERROR(SEARCH("yes",I342)))</formula>
    </cfRule>
  </conditionalFormatting>
  <conditionalFormatting sqref="G343">
    <cfRule type="containsText" dxfId="723" priority="412" operator="containsText" text="no">
      <formula>NOT(ISERROR(SEARCH("no",G343)))</formula>
    </cfRule>
    <cfRule type="cellIs" dxfId="722" priority="416" operator="equal">
      <formula>#REF!</formula>
    </cfRule>
  </conditionalFormatting>
  <conditionalFormatting sqref="G343">
    <cfRule type="containsText" dxfId="721" priority="413" operator="containsText" text="yes">
      <formula>NOT(ISERROR(SEARCH("yes",G343)))</formula>
    </cfRule>
  </conditionalFormatting>
  <conditionalFormatting sqref="I343">
    <cfRule type="containsText" dxfId="720" priority="407" operator="containsText" text="no">
      <formula>NOT(ISERROR(SEARCH("no",I343)))</formula>
    </cfRule>
    <cfRule type="cellIs" dxfId="719" priority="411" operator="equal">
      <formula>#REF!</formula>
    </cfRule>
  </conditionalFormatting>
  <conditionalFormatting sqref="I343">
    <cfRule type="containsText" dxfId="718" priority="408" operator="containsText" text="yes">
      <formula>NOT(ISERROR(SEARCH("yes",I343)))</formula>
    </cfRule>
  </conditionalFormatting>
  <conditionalFormatting sqref="G344">
    <cfRule type="containsText" dxfId="717" priority="402" operator="containsText" text="no">
      <formula>NOT(ISERROR(SEARCH("no",G344)))</formula>
    </cfRule>
    <cfRule type="cellIs" dxfId="716" priority="406" operator="equal">
      <formula>#REF!</formula>
    </cfRule>
  </conditionalFormatting>
  <conditionalFormatting sqref="G344">
    <cfRule type="containsText" dxfId="715" priority="403" operator="containsText" text="yes">
      <formula>NOT(ISERROR(SEARCH("yes",G344)))</formula>
    </cfRule>
  </conditionalFormatting>
  <conditionalFormatting sqref="I344">
    <cfRule type="containsText" dxfId="714" priority="397" operator="containsText" text="no">
      <formula>NOT(ISERROR(SEARCH("no",I344)))</formula>
    </cfRule>
    <cfRule type="cellIs" dxfId="713" priority="401" operator="equal">
      <formula>#REF!</formula>
    </cfRule>
  </conditionalFormatting>
  <conditionalFormatting sqref="I344">
    <cfRule type="containsText" dxfId="712" priority="398" operator="containsText" text="yes">
      <formula>NOT(ISERROR(SEARCH("yes",I344)))</formula>
    </cfRule>
  </conditionalFormatting>
  <conditionalFormatting sqref="G345">
    <cfRule type="containsText" dxfId="711" priority="392" operator="containsText" text="no">
      <formula>NOT(ISERROR(SEARCH("no",G345)))</formula>
    </cfRule>
    <cfRule type="cellIs" dxfId="710" priority="396" operator="equal">
      <formula>#REF!</formula>
    </cfRule>
  </conditionalFormatting>
  <conditionalFormatting sqref="G345">
    <cfRule type="containsText" dxfId="709" priority="393" operator="containsText" text="yes">
      <formula>NOT(ISERROR(SEARCH("yes",G345)))</formula>
    </cfRule>
  </conditionalFormatting>
  <conditionalFormatting sqref="I345">
    <cfRule type="containsText" dxfId="708" priority="387" operator="containsText" text="no">
      <formula>NOT(ISERROR(SEARCH("no",I345)))</formula>
    </cfRule>
    <cfRule type="cellIs" dxfId="707" priority="391" operator="equal">
      <formula>#REF!</formula>
    </cfRule>
  </conditionalFormatting>
  <conditionalFormatting sqref="I345">
    <cfRule type="containsText" dxfId="706" priority="388" operator="containsText" text="yes">
      <formula>NOT(ISERROR(SEARCH("yes",I345)))</formula>
    </cfRule>
  </conditionalFormatting>
  <conditionalFormatting sqref="G346">
    <cfRule type="containsText" dxfId="705" priority="382" operator="containsText" text="no">
      <formula>NOT(ISERROR(SEARCH("no",G346)))</formula>
    </cfRule>
    <cfRule type="cellIs" dxfId="704" priority="386" operator="equal">
      <formula>#REF!</formula>
    </cfRule>
  </conditionalFormatting>
  <conditionalFormatting sqref="G346">
    <cfRule type="containsText" dxfId="703" priority="383" operator="containsText" text="yes">
      <formula>NOT(ISERROR(SEARCH("yes",G346)))</formula>
    </cfRule>
  </conditionalFormatting>
  <conditionalFormatting sqref="I346">
    <cfRule type="containsText" dxfId="702" priority="377" operator="containsText" text="no">
      <formula>NOT(ISERROR(SEARCH("no",I346)))</formula>
    </cfRule>
    <cfRule type="cellIs" dxfId="701" priority="381" operator="equal">
      <formula>#REF!</formula>
    </cfRule>
  </conditionalFormatting>
  <conditionalFormatting sqref="I346">
    <cfRule type="containsText" dxfId="700" priority="378" operator="containsText" text="yes">
      <formula>NOT(ISERROR(SEARCH("yes",I346)))</formula>
    </cfRule>
  </conditionalFormatting>
  <conditionalFormatting sqref="G347">
    <cfRule type="containsText" dxfId="699" priority="372" operator="containsText" text="no">
      <formula>NOT(ISERROR(SEARCH("no",G347)))</formula>
    </cfRule>
    <cfRule type="cellIs" dxfId="698" priority="376" operator="equal">
      <formula>#REF!</formula>
    </cfRule>
  </conditionalFormatting>
  <conditionalFormatting sqref="G347">
    <cfRule type="containsText" dxfId="697" priority="373" operator="containsText" text="yes">
      <formula>NOT(ISERROR(SEARCH("yes",G347)))</formula>
    </cfRule>
  </conditionalFormatting>
  <conditionalFormatting sqref="I347">
    <cfRule type="containsText" dxfId="696" priority="367" operator="containsText" text="no">
      <formula>NOT(ISERROR(SEARCH("no",I347)))</formula>
    </cfRule>
    <cfRule type="cellIs" dxfId="695" priority="371" operator="equal">
      <formula>#REF!</formula>
    </cfRule>
  </conditionalFormatting>
  <conditionalFormatting sqref="I347">
    <cfRule type="containsText" dxfId="694" priority="368" operator="containsText" text="yes">
      <formula>NOT(ISERROR(SEARCH("yes",I347)))</formula>
    </cfRule>
  </conditionalFormatting>
  <conditionalFormatting sqref="G348">
    <cfRule type="containsText" dxfId="693" priority="362" operator="containsText" text="no">
      <formula>NOT(ISERROR(SEARCH("no",G348)))</formula>
    </cfRule>
    <cfRule type="cellIs" dxfId="692" priority="366" operator="equal">
      <formula>#REF!</formula>
    </cfRule>
  </conditionalFormatting>
  <conditionalFormatting sqref="G348">
    <cfRule type="containsText" dxfId="691" priority="363" operator="containsText" text="yes">
      <formula>NOT(ISERROR(SEARCH("yes",G348)))</formula>
    </cfRule>
  </conditionalFormatting>
  <conditionalFormatting sqref="I348">
    <cfRule type="containsText" dxfId="690" priority="357" operator="containsText" text="no">
      <formula>NOT(ISERROR(SEARCH("no",I348)))</formula>
    </cfRule>
    <cfRule type="cellIs" dxfId="689" priority="361" operator="equal">
      <formula>#REF!</formula>
    </cfRule>
  </conditionalFormatting>
  <conditionalFormatting sqref="I348">
    <cfRule type="containsText" dxfId="688" priority="358" operator="containsText" text="yes">
      <formula>NOT(ISERROR(SEARCH("yes",I348)))</formula>
    </cfRule>
  </conditionalFormatting>
  <conditionalFormatting sqref="G333">
    <cfRule type="containsText" dxfId="687" priority="352" operator="containsText" text="no">
      <formula>NOT(ISERROR(SEARCH("no",G333)))</formula>
    </cfRule>
    <cfRule type="cellIs" dxfId="686" priority="356" operator="equal">
      <formula>#REF!</formula>
    </cfRule>
  </conditionalFormatting>
  <conditionalFormatting sqref="G333">
    <cfRule type="containsText" dxfId="685" priority="353" operator="containsText" text="yes">
      <formula>NOT(ISERROR(SEARCH("yes",G333)))</formula>
    </cfRule>
  </conditionalFormatting>
  <conditionalFormatting sqref="G334">
    <cfRule type="containsText" dxfId="684" priority="347" operator="containsText" text="no">
      <formula>NOT(ISERROR(SEARCH("no",G334)))</formula>
    </cfRule>
    <cfRule type="cellIs" dxfId="683" priority="351" operator="equal">
      <formula>#REF!</formula>
    </cfRule>
  </conditionalFormatting>
  <conditionalFormatting sqref="G334">
    <cfRule type="containsText" dxfId="682" priority="348" operator="containsText" text="yes">
      <formula>NOT(ISERROR(SEARCH("yes",G334)))</formula>
    </cfRule>
  </conditionalFormatting>
  <conditionalFormatting sqref="G350">
    <cfRule type="containsText" dxfId="681" priority="344" operator="containsText" text="no">
      <formula>NOT(ISERROR(SEARCH("no",G350)))</formula>
    </cfRule>
    <cfRule type="cellIs" dxfId="680" priority="346" operator="equal">
      <formula>#REF!</formula>
    </cfRule>
  </conditionalFormatting>
  <conditionalFormatting sqref="G350">
    <cfRule type="containsText" dxfId="679" priority="345" operator="containsText" text="yes">
      <formula>NOT(ISERROR(SEARCH("yes",G350)))</formula>
    </cfRule>
  </conditionalFormatting>
  <conditionalFormatting sqref="I350">
    <cfRule type="containsText" dxfId="678" priority="339" operator="containsText" text="no">
      <formula>NOT(ISERROR(SEARCH("no",I350)))</formula>
    </cfRule>
    <cfRule type="cellIs" dxfId="677" priority="341" operator="equal">
      <formula>#REF!</formula>
    </cfRule>
  </conditionalFormatting>
  <conditionalFormatting sqref="I350">
    <cfRule type="containsText" dxfId="676" priority="340" operator="containsText" text="yes">
      <formula>NOT(ISERROR(SEARCH("yes",I350)))</formula>
    </cfRule>
  </conditionalFormatting>
  <conditionalFormatting sqref="G351 G431">
    <cfRule type="containsText" dxfId="675" priority="334" operator="containsText" text="no">
      <formula>NOT(ISERROR(SEARCH("no",G351)))</formula>
    </cfRule>
    <cfRule type="cellIs" dxfId="674" priority="336" operator="equal">
      <formula>#REF!</formula>
    </cfRule>
  </conditionalFormatting>
  <conditionalFormatting sqref="G351 G431">
    <cfRule type="containsText" dxfId="673" priority="335" operator="containsText" text="yes">
      <formula>NOT(ISERROR(SEARCH("yes",G351)))</formula>
    </cfRule>
  </conditionalFormatting>
  <conditionalFormatting sqref="I351 I431">
    <cfRule type="containsText" dxfId="672" priority="329" operator="containsText" text="no">
      <formula>NOT(ISERROR(SEARCH("no",I351)))</formula>
    </cfRule>
    <cfRule type="cellIs" dxfId="671" priority="331" operator="equal">
      <formula>#REF!</formula>
    </cfRule>
  </conditionalFormatting>
  <conditionalFormatting sqref="I351 I431">
    <cfRule type="containsText" dxfId="670" priority="330" operator="containsText" text="yes">
      <formula>NOT(ISERROR(SEARCH("yes",I351)))</formula>
    </cfRule>
  </conditionalFormatting>
  <conditionalFormatting sqref="I697:I755 G697:G817">
    <cfRule type="containsText" dxfId="669" priority="324" operator="containsText" text="no">
      <formula>NOT(ISERROR(SEARCH("no",G697)))</formula>
    </cfRule>
    <cfRule type="cellIs" dxfId="668" priority="326" operator="equal">
      <formula>#REF!</formula>
    </cfRule>
  </conditionalFormatting>
  <conditionalFormatting sqref="I697:I755 G697:G817">
    <cfRule type="containsText" dxfId="667" priority="325" operator="containsText" text="yes">
      <formula>NOT(ISERROR(SEARCH("yes",G697)))</formula>
    </cfRule>
  </conditionalFormatting>
  <conditionalFormatting sqref="I758:I817">
    <cfRule type="containsText" dxfId="666" priority="319" operator="containsText" text="no">
      <formula>NOT(ISERROR(SEARCH("no",I758)))</formula>
    </cfRule>
    <cfRule type="cellIs" dxfId="665" priority="321" operator="equal">
      <formula>#REF!</formula>
    </cfRule>
  </conditionalFormatting>
  <conditionalFormatting sqref="I758:I817">
    <cfRule type="containsText" dxfId="664" priority="320" operator="containsText" text="yes">
      <formula>NOT(ISERROR(SEARCH("yes",I758)))</formula>
    </cfRule>
  </conditionalFormatting>
  <conditionalFormatting sqref="I756:I757">
    <cfRule type="containsText" dxfId="663" priority="312" operator="containsText" text="no">
      <formula>NOT(ISERROR(SEARCH("no",I756)))</formula>
    </cfRule>
    <cfRule type="cellIs" dxfId="662" priority="316" operator="equal">
      <formula>#REF!</formula>
    </cfRule>
  </conditionalFormatting>
  <conditionalFormatting sqref="I756:I757">
    <cfRule type="containsText" dxfId="661" priority="313" operator="containsText" text="yes">
      <formula>NOT(ISERROR(SEARCH("yes",I756)))</formula>
    </cfRule>
  </conditionalFormatting>
  <conditionalFormatting sqref="G818:G901">
    <cfRule type="containsText" dxfId="660" priority="307" operator="containsText" text="no">
      <formula>NOT(ISERROR(SEARCH("no",G818)))</formula>
    </cfRule>
    <cfRule type="cellIs" dxfId="659" priority="311" operator="equal">
      <formula>#REF!</formula>
    </cfRule>
  </conditionalFormatting>
  <conditionalFormatting sqref="G818:G901">
    <cfRule type="containsText" dxfId="658" priority="308" operator="containsText" text="yes">
      <formula>NOT(ISERROR(SEARCH("yes",G818)))</formula>
    </cfRule>
  </conditionalFormatting>
  <conditionalFormatting sqref="I820:I901">
    <cfRule type="containsText" dxfId="657" priority="304" operator="containsText" text="no">
      <formula>NOT(ISERROR(SEARCH("no",I820)))</formula>
    </cfRule>
    <cfRule type="cellIs" dxfId="656" priority="306" operator="equal">
      <formula>#REF!</formula>
    </cfRule>
  </conditionalFormatting>
  <conditionalFormatting sqref="I820:I901">
    <cfRule type="containsText" dxfId="655" priority="305" operator="containsText" text="yes">
      <formula>NOT(ISERROR(SEARCH("yes",I820)))</formula>
    </cfRule>
  </conditionalFormatting>
  <conditionalFormatting sqref="I818:I819">
    <cfRule type="containsText" dxfId="654" priority="297" operator="containsText" text="no">
      <formula>NOT(ISERROR(SEARCH("no",I818)))</formula>
    </cfRule>
    <cfRule type="cellIs" dxfId="653" priority="301" operator="equal">
      <formula>#REF!</formula>
    </cfRule>
  </conditionalFormatting>
  <conditionalFormatting sqref="I818:I819">
    <cfRule type="containsText" dxfId="652" priority="298" operator="containsText" text="yes">
      <formula>NOT(ISERROR(SEARCH("yes",I818)))</formula>
    </cfRule>
  </conditionalFormatting>
  <conditionalFormatting sqref="I1002:I1021 I1025:I1037 G1002:G1021 G1025:G1037">
    <cfRule type="containsText" dxfId="651" priority="294" operator="containsText" text="no">
      <formula>NOT(ISERROR(SEARCH("no",G1002)))</formula>
    </cfRule>
    <cfRule type="cellIs" dxfId="650" priority="296" operator="equal">
      <formula>#REF!</formula>
    </cfRule>
  </conditionalFormatting>
  <conditionalFormatting sqref="I1002:I1021 I1025:I1037 G1002:G1021 G1025:G1037">
    <cfRule type="containsText" dxfId="649" priority="295" operator="containsText" text="yes">
      <formula>NOT(ISERROR(SEARCH("yes",G1002)))</formula>
    </cfRule>
  </conditionalFormatting>
  <conditionalFormatting sqref="I1008:I1017">
    <cfRule type="containsText" dxfId="648" priority="289" operator="containsText" text="no">
      <formula>NOT(ISERROR(SEARCH("no",I1008)))</formula>
    </cfRule>
    <cfRule type="cellIs" dxfId="647" priority="291" operator="equal">
      <formula>#REF!</formula>
    </cfRule>
  </conditionalFormatting>
  <conditionalFormatting sqref="I1008:I1017">
    <cfRule type="containsText" dxfId="646" priority="290" operator="containsText" text="yes">
      <formula>NOT(ISERROR(SEARCH("yes",I1008)))</formula>
    </cfRule>
  </conditionalFormatting>
  <conditionalFormatting sqref="I1002:I1007">
    <cfRule type="containsText" dxfId="645" priority="284" operator="containsText" text="no">
      <formula>NOT(ISERROR(SEARCH("no",I1002)))</formula>
    </cfRule>
    <cfRule type="cellIs" dxfId="644" priority="286" operator="equal">
      <formula>#REF!</formula>
    </cfRule>
  </conditionalFormatting>
  <conditionalFormatting sqref="I1002:I1007">
    <cfRule type="containsText" dxfId="643" priority="285" operator="containsText" text="yes">
      <formula>NOT(ISERROR(SEARCH("yes",I1002)))</formula>
    </cfRule>
  </conditionalFormatting>
  <conditionalFormatting sqref="G918:G1001">
    <cfRule type="containsText" dxfId="642" priority="277" operator="containsText" text="no">
      <formula>NOT(ISERROR(SEARCH("no",G918)))</formula>
    </cfRule>
    <cfRule type="cellIs" dxfId="641" priority="281" operator="equal">
      <formula>#REF!</formula>
    </cfRule>
  </conditionalFormatting>
  <conditionalFormatting sqref="G918:G1001">
    <cfRule type="containsText" dxfId="640" priority="278" operator="containsText" text="yes">
      <formula>NOT(ISERROR(SEARCH("yes",G918)))</formula>
    </cfRule>
  </conditionalFormatting>
  <conditionalFormatting sqref="I920:I1001">
    <cfRule type="containsText" dxfId="639" priority="274" operator="containsText" text="no">
      <formula>NOT(ISERROR(SEARCH("no",I920)))</formula>
    </cfRule>
    <cfRule type="cellIs" dxfId="638" priority="276" operator="equal">
      <formula>#REF!</formula>
    </cfRule>
  </conditionalFormatting>
  <conditionalFormatting sqref="I920:I1001">
    <cfRule type="containsText" dxfId="637" priority="275" operator="containsText" text="yes">
      <formula>NOT(ISERROR(SEARCH("yes",I920)))</formula>
    </cfRule>
  </conditionalFormatting>
  <conditionalFormatting sqref="I918:I919">
    <cfRule type="containsText" dxfId="636" priority="267" operator="containsText" text="no">
      <formula>NOT(ISERROR(SEARCH("no",I918)))</formula>
    </cfRule>
    <cfRule type="cellIs" dxfId="635" priority="271" operator="equal">
      <formula>#REF!</formula>
    </cfRule>
  </conditionalFormatting>
  <conditionalFormatting sqref="I918:I919">
    <cfRule type="containsText" dxfId="634" priority="268" operator="containsText" text="yes">
      <formula>NOT(ISERROR(SEARCH("yes",I918)))</formula>
    </cfRule>
  </conditionalFormatting>
  <conditionalFormatting sqref="I1024">
    <cfRule type="containsText" dxfId="633" priority="264" operator="containsText" text="no">
      <formula>NOT(ISERROR(SEARCH("no",I1024)))</formula>
    </cfRule>
    <cfRule type="cellIs" dxfId="632" priority="266" operator="equal">
      <formula>#REF!</formula>
    </cfRule>
  </conditionalFormatting>
  <conditionalFormatting sqref="I1024">
    <cfRule type="containsText" dxfId="631" priority="265" operator="containsText" text="yes">
      <formula>NOT(ISERROR(SEARCH("yes",I1024)))</formula>
    </cfRule>
  </conditionalFormatting>
  <conditionalFormatting sqref="I1022 G1022">
    <cfRule type="containsText" dxfId="630" priority="259" operator="containsText" text="no">
      <formula>NOT(ISERROR(SEARCH("no",G1022)))</formula>
    </cfRule>
    <cfRule type="cellIs" dxfId="629" priority="261" operator="equal">
      <formula>#REF!</formula>
    </cfRule>
  </conditionalFormatting>
  <conditionalFormatting sqref="I1022 G1022">
    <cfRule type="containsText" dxfId="628" priority="260" operator="containsText" text="yes">
      <formula>NOT(ISERROR(SEARCH("yes",G1022)))</formula>
    </cfRule>
  </conditionalFormatting>
  <conditionalFormatting sqref="I1023 G1023">
    <cfRule type="containsText" dxfId="627" priority="254" operator="containsText" text="no">
      <formula>NOT(ISERROR(SEARCH("no",G1023)))</formula>
    </cfRule>
    <cfRule type="cellIs" dxfId="626" priority="256" operator="equal">
      <formula>#REF!</formula>
    </cfRule>
  </conditionalFormatting>
  <conditionalFormatting sqref="I1023 G1023">
    <cfRule type="containsText" dxfId="625" priority="255" operator="containsText" text="yes">
      <formula>NOT(ISERROR(SEARCH("yes",G1023)))</formula>
    </cfRule>
  </conditionalFormatting>
  <conditionalFormatting sqref="G1024">
    <cfRule type="containsText" dxfId="624" priority="249" operator="containsText" text="no">
      <formula>NOT(ISERROR(SEARCH("no",G1024)))</formula>
    </cfRule>
    <cfRule type="cellIs" dxfId="623" priority="251" operator="equal">
      <formula>#REF!</formula>
    </cfRule>
  </conditionalFormatting>
  <conditionalFormatting sqref="G1024">
    <cfRule type="containsText" dxfId="622" priority="250" operator="containsText" text="yes">
      <formula>NOT(ISERROR(SEARCH("yes",G1024)))</formula>
    </cfRule>
  </conditionalFormatting>
  <conditionalFormatting sqref="I1038:I1043 G1038:G1043">
    <cfRule type="containsText" dxfId="621" priority="244" operator="containsText" text="no">
      <formula>NOT(ISERROR(SEARCH("no",G1038)))</formula>
    </cfRule>
    <cfRule type="cellIs" dxfId="620" priority="246" operator="equal">
      <formula>#REF!</formula>
    </cfRule>
  </conditionalFormatting>
  <conditionalFormatting sqref="I1038:I1043 G1038:G1043">
    <cfRule type="containsText" dxfId="619" priority="245" operator="containsText" text="yes">
      <formula>NOT(ISERROR(SEARCH("yes",G1038)))</formula>
    </cfRule>
  </conditionalFormatting>
  <conditionalFormatting sqref="G1330:G1413">
    <cfRule type="containsText" dxfId="618" priority="235" operator="containsText" text="no">
      <formula>NOT(ISERROR(SEARCH("no",G1330)))</formula>
    </cfRule>
    <cfRule type="cellIs" dxfId="617" priority="239" operator="equal">
      <formula>#REF!</formula>
    </cfRule>
  </conditionalFormatting>
  <conditionalFormatting sqref="G1330:G1413">
    <cfRule type="containsText" dxfId="616" priority="236" operator="containsText" text="yes">
      <formula>NOT(ISERROR(SEARCH("yes",G1330)))</formula>
    </cfRule>
  </conditionalFormatting>
  <conditionalFormatting sqref="I1332:I1413">
    <cfRule type="containsText" dxfId="615" priority="232" operator="containsText" text="no">
      <formula>NOT(ISERROR(SEARCH("no",I1332)))</formula>
    </cfRule>
    <cfRule type="cellIs" dxfId="614" priority="234" operator="equal">
      <formula>#REF!</formula>
    </cfRule>
  </conditionalFormatting>
  <conditionalFormatting sqref="I1332:I1413">
    <cfRule type="containsText" dxfId="613" priority="233" operator="containsText" text="yes">
      <formula>NOT(ISERROR(SEARCH("yes",I1332)))</formula>
    </cfRule>
  </conditionalFormatting>
  <conditionalFormatting sqref="I1330:I1331">
    <cfRule type="containsText" dxfId="612" priority="225" operator="containsText" text="no">
      <formula>NOT(ISERROR(SEARCH("no",I1330)))</formula>
    </cfRule>
    <cfRule type="cellIs" dxfId="611" priority="229" operator="equal">
      <formula>#REF!</formula>
    </cfRule>
  </conditionalFormatting>
  <conditionalFormatting sqref="I1330:I1331">
    <cfRule type="containsText" dxfId="610" priority="226" operator="containsText" text="yes">
      <formula>NOT(ISERROR(SEARCH("yes",I1330)))</formula>
    </cfRule>
  </conditionalFormatting>
  <conditionalFormatting sqref="G1414">
    <cfRule type="containsText" dxfId="609" priority="220" operator="containsText" text="no">
      <formula>NOT(ISERROR(SEARCH("no",G1414)))</formula>
    </cfRule>
    <cfRule type="cellIs" dxfId="608" priority="224" operator="equal">
      <formula>#REF!</formula>
    </cfRule>
  </conditionalFormatting>
  <conditionalFormatting sqref="G1414">
    <cfRule type="containsText" dxfId="607" priority="221" operator="containsText" text="yes">
      <formula>NOT(ISERROR(SEARCH("yes",G1414)))</formula>
    </cfRule>
  </conditionalFormatting>
  <conditionalFormatting sqref="I1414">
    <cfRule type="containsText" dxfId="606" priority="215" operator="containsText" text="no">
      <formula>NOT(ISERROR(SEARCH("no",I1414)))</formula>
    </cfRule>
    <cfRule type="cellIs" dxfId="605" priority="219" operator="equal">
      <formula>#REF!</formula>
    </cfRule>
  </conditionalFormatting>
  <conditionalFormatting sqref="I1414">
    <cfRule type="containsText" dxfId="604" priority="216" operator="containsText" text="yes">
      <formula>NOT(ISERROR(SEARCH("yes",I1414)))</formula>
    </cfRule>
  </conditionalFormatting>
  <conditionalFormatting sqref="G1415">
    <cfRule type="containsText" dxfId="603" priority="212" operator="containsText" text="no">
      <formula>NOT(ISERROR(SEARCH("no",G1415)))</formula>
    </cfRule>
    <cfRule type="cellIs" dxfId="602" priority="213" operator="equal">
      <formula>#REF!</formula>
    </cfRule>
  </conditionalFormatting>
  <conditionalFormatting sqref="G1415">
    <cfRule type="containsText" dxfId="601" priority="214" operator="containsText" text="yes">
      <formula>NOT(ISERROR(SEARCH("yes",G1415)))</formula>
    </cfRule>
  </conditionalFormatting>
  <conditionalFormatting sqref="I1415">
    <cfRule type="containsText" dxfId="600" priority="210" operator="containsText" text="no">
      <formula>NOT(ISERROR(SEARCH("no",I1415)))</formula>
    </cfRule>
    <cfRule type="cellIs" dxfId="599" priority="240" operator="equal">
      <formula>#REF!</formula>
    </cfRule>
  </conditionalFormatting>
  <conditionalFormatting sqref="I1415">
    <cfRule type="containsText" dxfId="598" priority="209" operator="containsText" text="yes">
      <formula>NOT(ISERROR(SEARCH("yes",I1415)))</formula>
    </cfRule>
  </conditionalFormatting>
  <conditionalFormatting sqref="I1556:I1558">
    <cfRule type="containsText" dxfId="597" priority="204" operator="containsText" text="no">
      <formula>NOT(ISERROR(SEARCH("no",I1556)))</formula>
    </cfRule>
    <cfRule type="cellIs" dxfId="596" priority="206" operator="equal">
      <formula>#REF!</formula>
    </cfRule>
  </conditionalFormatting>
  <conditionalFormatting sqref="I1556:I1558">
    <cfRule type="containsText" dxfId="595" priority="205" operator="containsText" text="yes">
      <formula>NOT(ISERROR(SEARCH("yes",I1556)))</formula>
    </cfRule>
  </conditionalFormatting>
  <conditionalFormatting sqref="I1554:I1555">
    <cfRule type="containsText" dxfId="594" priority="197" operator="containsText" text="no">
      <formula>NOT(ISERROR(SEARCH("no",I1554)))</formula>
    </cfRule>
    <cfRule type="cellIs" dxfId="593" priority="201" operator="equal">
      <formula>#REF!</formula>
    </cfRule>
  </conditionalFormatting>
  <conditionalFormatting sqref="I1554:I1555">
    <cfRule type="containsText" dxfId="592" priority="198" operator="containsText" text="yes">
      <formula>NOT(ISERROR(SEARCH("yes",I1554)))</formula>
    </cfRule>
  </conditionalFormatting>
  <conditionalFormatting sqref="G1554">
    <cfRule type="containsText" dxfId="591" priority="194" operator="containsText" text="no">
      <formula>NOT(ISERROR(SEARCH("no",G1554)))</formula>
    </cfRule>
    <cfRule type="cellIs" dxfId="590" priority="196" operator="equal">
      <formula>#REF!</formula>
    </cfRule>
  </conditionalFormatting>
  <conditionalFormatting sqref="G1554">
    <cfRule type="containsText" dxfId="589" priority="195" operator="containsText" text="yes">
      <formula>NOT(ISERROR(SEARCH("yes",G1554)))</formula>
    </cfRule>
  </conditionalFormatting>
  <conditionalFormatting sqref="G1555">
    <cfRule type="containsText" dxfId="588" priority="189" operator="containsText" text="no">
      <formula>NOT(ISERROR(SEARCH("no",G1555)))</formula>
    </cfRule>
    <cfRule type="cellIs" dxfId="587" priority="191" operator="equal">
      <formula>#REF!</formula>
    </cfRule>
  </conditionalFormatting>
  <conditionalFormatting sqref="G1555">
    <cfRule type="containsText" dxfId="586" priority="190" operator="containsText" text="yes">
      <formula>NOT(ISERROR(SEARCH("yes",G1555)))</formula>
    </cfRule>
  </conditionalFormatting>
  <conditionalFormatting sqref="G1556">
    <cfRule type="containsText" dxfId="585" priority="184" operator="containsText" text="no">
      <formula>NOT(ISERROR(SEARCH("no",G1556)))</formula>
    </cfRule>
    <cfRule type="cellIs" dxfId="584" priority="186" operator="equal">
      <formula>#REF!</formula>
    </cfRule>
  </conditionalFormatting>
  <conditionalFormatting sqref="G1556">
    <cfRule type="containsText" dxfId="583" priority="185" operator="containsText" text="yes">
      <formula>NOT(ISERROR(SEARCH("yes",G1556)))</formula>
    </cfRule>
  </conditionalFormatting>
  <conditionalFormatting sqref="G1557">
    <cfRule type="containsText" dxfId="582" priority="179" operator="containsText" text="no">
      <formula>NOT(ISERROR(SEARCH("no",G1557)))</formula>
    </cfRule>
    <cfRule type="cellIs" dxfId="581" priority="181" operator="equal">
      <formula>#REF!</formula>
    </cfRule>
  </conditionalFormatting>
  <conditionalFormatting sqref="G1557">
    <cfRule type="containsText" dxfId="580" priority="180" operator="containsText" text="yes">
      <formula>NOT(ISERROR(SEARCH("yes",G1557)))</formula>
    </cfRule>
  </conditionalFormatting>
  <conditionalFormatting sqref="G1558">
    <cfRule type="containsText" dxfId="579" priority="174" operator="containsText" text="no">
      <formula>NOT(ISERROR(SEARCH("no",G1558)))</formula>
    </cfRule>
    <cfRule type="cellIs" dxfId="578" priority="176" operator="equal">
      <formula>#REF!</formula>
    </cfRule>
  </conditionalFormatting>
  <conditionalFormatting sqref="G1558">
    <cfRule type="containsText" dxfId="577" priority="175" operator="containsText" text="yes">
      <formula>NOT(ISERROR(SEARCH("yes",G1558)))</formula>
    </cfRule>
  </conditionalFormatting>
  <conditionalFormatting sqref="G1559">
    <cfRule type="containsText" dxfId="576" priority="170" operator="containsText" text="no">
      <formula>NOT(ISERROR(SEARCH("no",G1559)))</formula>
    </cfRule>
    <cfRule type="cellIs" dxfId="575" priority="171" operator="equal">
      <formula>#REF!</formula>
    </cfRule>
  </conditionalFormatting>
  <conditionalFormatting sqref="I1559">
    <cfRule type="containsText" dxfId="574" priority="168" operator="containsText" text="no">
      <formula>NOT(ISERROR(SEARCH("no",I1559)))</formula>
    </cfRule>
  </conditionalFormatting>
  <conditionalFormatting sqref="I1559">
    <cfRule type="containsText" dxfId="573" priority="167" operator="containsText" text="yes">
      <formula>NOT(ISERROR(SEARCH("yes",I1559)))</formula>
    </cfRule>
  </conditionalFormatting>
  <conditionalFormatting sqref="I1560 G1560">
    <cfRule type="containsText" dxfId="572" priority="162" operator="containsText" text="no">
      <formula>NOT(ISERROR(SEARCH("no",G1560)))</formula>
    </cfRule>
    <cfRule type="cellIs" dxfId="571" priority="164" operator="equal">
      <formula>#REF!</formula>
    </cfRule>
  </conditionalFormatting>
  <conditionalFormatting sqref="I1560 G1560">
    <cfRule type="containsText" dxfId="570" priority="163" operator="containsText" text="yes">
      <formula>NOT(ISERROR(SEARCH("yes",G1560)))</formula>
    </cfRule>
  </conditionalFormatting>
  <conditionalFormatting sqref="I1561 G1561">
    <cfRule type="containsText" dxfId="569" priority="157" operator="containsText" text="no">
      <formula>NOT(ISERROR(SEARCH("no",G1561)))</formula>
    </cfRule>
    <cfRule type="cellIs" dxfId="568" priority="159" operator="equal">
      <formula>#REF!</formula>
    </cfRule>
  </conditionalFormatting>
  <conditionalFormatting sqref="I1561 G1561">
    <cfRule type="containsText" dxfId="567" priority="158" operator="containsText" text="yes">
      <formula>NOT(ISERROR(SEARCH("yes",G1561)))</formula>
    </cfRule>
  </conditionalFormatting>
  <conditionalFormatting sqref="I1593">
    <cfRule type="containsText" dxfId="566" priority="150" operator="containsText" text="no">
      <formula>NOT(ISERROR(SEARCH("no",I1593)))</formula>
    </cfRule>
    <cfRule type="cellIs" dxfId="565" priority="152" operator="equal">
      <formula>#REF!</formula>
    </cfRule>
  </conditionalFormatting>
  <conditionalFormatting sqref="I1593">
    <cfRule type="containsText" dxfId="564" priority="151" operator="containsText" text="yes">
      <formula>NOT(ISERROR(SEARCH("yes",I1593)))</formula>
    </cfRule>
  </conditionalFormatting>
  <conditionalFormatting sqref="I1589:I1590">
    <cfRule type="containsText" dxfId="563" priority="143" operator="containsText" text="no">
      <formula>NOT(ISERROR(SEARCH("no",I1589)))</formula>
    </cfRule>
    <cfRule type="cellIs" dxfId="562" priority="147" operator="equal">
      <formula>#REF!</formula>
    </cfRule>
  </conditionalFormatting>
  <conditionalFormatting sqref="I1589:I1590">
    <cfRule type="containsText" dxfId="561" priority="144" operator="containsText" text="yes">
      <formula>NOT(ISERROR(SEARCH("yes",I1589)))</formula>
    </cfRule>
  </conditionalFormatting>
  <conditionalFormatting sqref="G1590">
    <cfRule type="containsText" dxfId="560" priority="125" operator="containsText" text="no">
      <formula>NOT(ISERROR(SEARCH("no",G1590)))</formula>
    </cfRule>
    <cfRule type="cellIs" dxfId="559" priority="127" operator="equal">
      <formula>#REF!</formula>
    </cfRule>
  </conditionalFormatting>
  <conditionalFormatting sqref="G1590">
    <cfRule type="containsText" dxfId="558" priority="126" operator="containsText" text="yes">
      <formula>NOT(ISERROR(SEARCH("yes",G1590)))</formula>
    </cfRule>
  </conditionalFormatting>
  <conditionalFormatting sqref="I1591">
    <cfRule type="containsText" dxfId="557" priority="140" operator="containsText" text="no">
      <formula>NOT(ISERROR(SEARCH("no",I1591)))</formula>
    </cfRule>
    <cfRule type="cellIs" dxfId="556" priority="142" operator="equal">
      <formula>#REF!</formula>
    </cfRule>
  </conditionalFormatting>
  <conditionalFormatting sqref="I1591">
    <cfRule type="containsText" dxfId="555" priority="141" operator="containsText" text="yes">
      <formula>NOT(ISERROR(SEARCH("yes",I1591)))</formula>
    </cfRule>
  </conditionalFormatting>
  <conditionalFormatting sqref="G1593">
    <cfRule type="containsText" dxfId="554" priority="110" operator="containsText" text="no">
      <formula>NOT(ISERROR(SEARCH("no",G1593)))</formula>
    </cfRule>
    <cfRule type="cellIs" dxfId="553" priority="112" operator="equal">
      <formula>#REF!</formula>
    </cfRule>
  </conditionalFormatting>
  <conditionalFormatting sqref="G1593">
    <cfRule type="containsText" dxfId="552" priority="111" operator="containsText" text="yes">
      <formula>NOT(ISERROR(SEARCH("yes",G1593)))</formula>
    </cfRule>
  </conditionalFormatting>
  <conditionalFormatting sqref="I1592">
    <cfRule type="containsText" dxfId="551" priority="135" operator="containsText" text="no">
      <formula>NOT(ISERROR(SEARCH("no",I1592)))</formula>
    </cfRule>
    <cfRule type="cellIs" dxfId="550" priority="137" operator="equal">
      <formula>#REF!</formula>
    </cfRule>
  </conditionalFormatting>
  <conditionalFormatting sqref="I1592">
    <cfRule type="containsText" dxfId="549" priority="136" operator="containsText" text="yes">
      <formula>NOT(ISERROR(SEARCH("yes",I1592)))</formula>
    </cfRule>
  </conditionalFormatting>
  <conditionalFormatting sqref="G1589">
    <cfRule type="containsText" dxfId="548" priority="130" operator="containsText" text="no">
      <formula>NOT(ISERROR(SEARCH("no",G1589)))</formula>
    </cfRule>
    <cfRule type="cellIs" dxfId="547" priority="132" operator="equal">
      <formula>#REF!</formula>
    </cfRule>
  </conditionalFormatting>
  <conditionalFormatting sqref="G1589">
    <cfRule type="containsText" dxfId="546" priority="131" operator="containsText" text="yes">
      <formula>NOT(ISERROR(SEARCH("yes",G1589)))</formula>
    </cfRule>
  </conditionalFormatting>
  <conditionalFormatting sqref="G1591">
    <cfRule type="containsText" dxfId="545" priority="120" operator="containsText" text="no">
      <formula>NOT(ISERROR(SEARCH("no",G1591)))</formula>
    </cfRule>
    <cfRule type="cellIs" dxfId="544" priority="122" operator="equal">
      <formula>#REF!</formula>
    </cfRule>
  </conditionalFormatting>
  <conditionalFormatting sqref="G1591">
    <cfRule type="containsText" dxfId="543" priority="121" operator="containsText" text="yes">
      <formula>NOT(ISERROR(SEARCH("yes",G1591)))</formula>
    </cfRule>
  </conditionalFormatting>
  <conditionalFormatting sqref="G1592">
    <cfRule type="containsText" dxfId="542" priority="115" operator="containsText" text="no">
      <formula>NOT(ISERROR(SEARCH("no",G1592)))</formula>
    </cfRule>
    <cfRule type="cellIs" dxfId="541" priority="117" operator="equal">
      <formula>#REF!</formula>
    </cfRule>
  </conditionalFormatting>
  <conditionalFormatting sqref="G1592">
    <cfRule type="containsText" dxfId="540" priority="116" operator="containsText" text="yes">
      <formula>NOT(ISERROR(SEARCH("yes",G1592)))</formula>
    </cfRule>
  </conditionalFormatting>
  <conditionalFormatting sqref="G1594">
    <cfRule type="containsText" dxfId="539" priority="106" operator="containsText" text="no">
      <formula>NOT(ISERROR(SEARCH("no",G1594)))</formula>
    </cfRule>
    <cfRule type="cellIs" dxfId="538" priority="107" operator="equal">
      <formula>#REF!</formula>
    </cfRule>
  </conditionalFormatting>
  <conditionalFormatting sqref="G1594">
    <cfRule type="containsText" dxfId="537" priority="153" operator="containsText" text="yes">
      <formula>NOT(ISERROR(SEARCH("yes",G1594)))</formula>
    </cfRule>
  </conditionalFormatting>
  <conditionalFormatting sqref="I1594">
    <cfRule type="containsText" dxfId="536" priority="104" operator="containsText" text="no">
      <formula>NOT(ISERROR(SEARCH("no",I1594)))</formula>
    </cfRule>
  </conditionalFormatting>
  <conditionalFormatting sqref="I1594">
    <cfRule type="containsText" dxfId="535" priority="103" operator="containsText" text="yes">
      <formula>NOT(ISERROR(SEARCH("yes",I1594)))</formula>
    </cfRule>
  </conditionalFormatting>
  <conditionalFormatting sqref="I1596 G1596 I1598 I1600 I1602 I1604 I1606 G1598 G1600 G1602 G1604 G1606">
    <cfRule type="containsText" dxfId="534" priority="93" operator="containsText" text="no">
      <formula>NOT(ISERROR(SEARCH("no",G1596)))</formula>
    </cfRule>
    <cfRule type="cellIs" dxfId="533" priority="95" operator="equal">
      <formula>#REF!</formula>
    </cfRule>
  </conditionalFormatting>
  <conditionalFormatting sqref="I1596 G1596 I1598 I1600 I1602 I1604 I1606 G1598 G1600 G1602 G1604 G1606">
    <cfRule type="containsText" dxfId="532" priority="94" operator="containsText" text="yes">
      <formula>NOT(ISERROR(SEARCH("yes",G1596)))</formula>
    </cfRule>
  </conditionalFormatting>
  <conditionalFormatting sqref="I1595 G1595 I1597 I1599 I1601 I1603 I1605 G1597 G1599 G1601 G1603 G1605">
    <cfRule type="containsText" dxfId="531" priority="98" operator="containsText" text="no">
      <formula>NOT(ISERROR(SEARCH("no",G1595)))</formula>
    </cfRule>
    <cfRule type="cellIs" dxfId="530" priority="100" operator="equal">
      <formula>#REF!</formula>
    </cfRule>
  </conditionalFormatting>
  <conditionalFormatting sqref="I1595 G1595 I1597 I1599 I1601 I1603 I1605 G1597 G1599 G1601 G1603 G1605">
    <cfRule type="containsText" dxfId="529" priority="99" operator="containsText" text="yes">
      <formula>NOT(ISERROR(SEARCH("yes",G1595)))</formula>
    </cfRule>
  </conditionalFormatting>
  <conditionalFormatting sqref="I1123:I1124">
    <cfRule type="containsText" dxfId="528" priority="76" operator="containsText" text="no">
      <formula>NOT(ISERROR(SEARCH("no",I1123)))</formula>
    </cfRule>
    <cfRule type="cellIs" dxfId="527" priority="80" operator="equal">
      <formula>#REF!</formula>
    </cfRule>
  </conditionalFormatting>
  <conditionalFormatting sqref="I1123:I1124">
    <cfRule type="containsText" dxfId="526" priority="77" operator="containsText" text="yes">
      <formula>NOT(ISERROR(SEARCH("yes",I1123)))</formula>
    </cfRule>
  </conditionalFormatting>
  <conditionalFormatting sqref="I1064:I1122 G1064:G1184">
    <cfRule type="containsText" dxfId="525" priority="88" operator="containsText" text="no">
      <formula>NOT(ISERROR(SEARCH("no",G1064)))</formula>
    </cfRule>
    <cfRule type="cellIs" dxfId="524" priority="90" operator="equal">
      <formula>#REF!</formula>
    </cfRule>
  </conditionalFormatting>
  <conditionalFormatting sqref="I1064:I1122 G1064:G1184">
    <cfRule type="containsText" dxfId="523" priority="89" operator="containsText" text="yes">
      <formula>NOT(ISERROR(SEARCH("yes",G1064)))</formula>
    </cfRule>
  </conditionalFormatting>
  <conditionalFormatting sqref="I1125:I1184">
    <cfRule type="containsText" dxfId="522" priority="83" operator="containsText" text="no">
      <formula>NOT(ISERROR(SEARCH("no",I1125)))</formula>
    </cfRule>
    <cfRule type="cellIs" dxfId="521" priority="85" operator="equal">
      <formula>#REF!</formula>
    </cfRule>
  </conditionalFormatting>
  <conditionalFormatting sqref="I1125:I1184">
    <cfRule type="containsText" dxfId="520" priority="84" operator="containsText" text="yes">
      <formula>NOT(ISERROR(SEARCH("yes",I1125)))</formula>
    </cfRule>
  </conditionalFormatting>
  <conditionalFormatting sqref="G1226:G1309">
    <cfRule type="containsText" dxfId="519" priority="71" operator="containsText" text="no">
      <formula>NOT(ISERROR(SEARCH("no",G1226)))</formula>
    </cfRule>
    <cfRule type="cellIs" dxfId="518" priority="75" operator="equal">
      <formula>#REF!</formula>
    </cfRule>
  </conditionalFormatting>
  <conditionalFormatting sqref="G1226:G1309">
    <cfRule type="containsText" dxfId="517" priority="72" operator="containsText" text="yes">
      <formula>NOT(ISERROR(SEARCH("yes",G1226)))</formula>
    </cfRule>
  </conditionalFormatting>
  <conditionalFormatting sqref="I361:I376 I378:I421 I423:I430 G426:G430">
    <cfRule type="containsText" dxfId="516" priority="68" operator="containsText" text="no">
      <formula>NOT(ISERROR(SEARCH("no",G361)))</formula>
    </cfRule>
    <cfRule type="cellIs" dxfId="515" priority="70" operator="equal">
      <formula>#REF!</formula>
    </cfRule>
  </conditionalFormatting>
  <conditionalFormatting sqref="I361:I376 I378:I421 I423:I430 G426:G430">
    <cfRule type="containsText" dxfId="514" priority="69" operator="containsText" text="yes">
      <formula>NOT(ISERROR(SEARCH("yes",G361)))</formula>
    </cfRule>
  </conditionalFormatting>
  <conditionalFormatting sqref="G352:G430">
    <cfRule type="containsText" dxfId="513" priority="63" operator="containsText" text="no">
      <formula>NOT(ISERROR(SEARCH("no",G352)))</formula>
    </cfRule>
    <cfRule type="cellIs" dxfId="512" priority="65" operator="equal">
      <formula>#REF!</formula>
    </cfRule>
  </conditionalFormatting>
  <conditionalFormatting sqref="G352:G430">
    <cfRule type="containsText" dxfId="511" priority="64" operator="containsText" text="yes">
      <formula>NOT(ISERROR(SEARCH("yes",G352)))</formula>
    </cfRule>
  </conditionalFormatting>
  <conditionalFormatting sqref="I352:I356">
    <cfRule type="containsText" dxfId="510" priority="58" operator="containsText" text="no">
      <formula>NOT(ISERROR(SEARCH("no",I352)))</formula>
    </cfRule>
    <cfRule type="cellIs" dxfId="509" priority="60" operator="equal">
      <formula>#REF!</formula>
    </cfRule>
  </conditionalFormatting>
  <conditionalFormatting sqref="I352:I356">
    <cfRule type="containsText" dxfId="508" priority="59" operator="containsText" text="yes">
      <formula>NOT(ISERROR(SEARCH("yes",I352)))</formula>
    </cfRule>
  </conditionalFormatting>
  <conditionalFormatting sqref="I357:I360">
    <cfRule type="containsText" dxfId="507" priority="53" operator="containsText" text="no">
      <formula>NOT(ISERROR(SEARCH("no",I357)))</formula>
    </cfRule>
    <cfRule type="cellIs" dxfId="506" priority="55" operator="equal">
      <formula>#REF!</formula>
    </cfRule>
  </conditionalFormatting>
  <conditionalFormatting sqref="I357:I360">
    <cfRule type="containsText" dxfId="505" priority="54" operator="containsText" text="yes">
      <formula>NOT(ISERROR(SEARCH("yes",I357)))</formula>
    </cfRule>
  </conditionalFormatting>
  <conditionalFormatting sqref="I377">
    <cfRule type="containsText" dxfId="504" priority="48" operator="containsText" text="no">
      <formula>NOT(ISERROR(SEARCH("no",I377)))</formula>
    </cfRule>
    <cfRule type="cellIs" dxfId="503" priority="50" operator="equal">
      <formula>#REF!</formula>
    </cfRule>
  </conditionalFormatting>
  <conditionalFormatting sqref="I377">
    <cfRule type="containsText" dxfId="502" priority="49" operator="containsText" text="yes">
      <formula>NOT(ISERROR(SEARCH("yes",I377)))</formula>
    </cfRule>
  </conditionalFormatting>
  <conditionalFormatting sqref="I422">
    <cfRule type="containsText" dxfId="501" priority="43" operator="containsText" text="no">
      <formula>NOT(ISERROR(SEARCH("no",I422)))</formula>
    </cfRule>
    <cfRule type="cellIs" dxfId="500" priority="45" operator="equal">
      <formula>#REF!</formula>
    </cfRule>
  </conditionalFormatting>
  <conditionalFormatting sqref="I422">
    <cfRule type="containsText" dxfId="499" priority="44" operator="containsText" text="yes">
      <formula>NOT(ISERROR(SEARCH("yes",I422)))</formula>
    </cfRule>
  </conditionalFormatting>
  <conditionalFormatting sqref="G486">
    <cfRule type="containsText" dxfId="498" priority="31" operator="containsText" text="no">
      <formula>NOT(ISERROR(SEARCH("no",G486)))</formula>
    </cfRule>
    <cfRule type="cellIs" dxfId="497" priority="33" operator="equal">
      <formula>#REF!</formula>
    </cfRule>
  </conditionalFormatting>
  <conditionalFormatting sqref="G486">
    <cfRule type="containsText" dxfId="496" priority="32" operator="containsText" text="yes">
      <formula>NOT(ISERROR(SEARCH("yes",G486)))</formula>
    </cfRule>
  </conditionalFormatting>
  <conditionalFormatting sqref="G489">
    <cfRule type="containsText" dxfId="495" priority="16" operator="containsText" text="no">
      <formula>NOT(ISERROR(SEARCH("no",G489)))</formula>
    </cfRule>
    <cfRule type="cellIs" dxfId="494" priority="18" operator="equal">
      <formula>#REF!</formula>
    </cfRule>
  </conditionalFormatting>
  <conditionalFormatting sqref="G489">
    <cfRule type="containsText" dxfId="493" priority="17" operator="containsText" text="yes">
      <formula>NOT(ISERROR(SEARCH("yes",G489)))</formula>
    </cfRule>
  </conditionalFormatting>
  <conditionalFormatting sqref="G485">
    <cfRule type="containsText" dxfId="492" priority="36" operator="containsText" text="no">
      <formula>NOT(ISERROR(SEARCH("no",G485)))</formula>
    </cfRule>
    <cfRule type="cellIs" dxfId="491" priority="38" operator="equal">
      <formula>#REF!</formula>
    </cfRule>
  </conditionalFormatting>
  <conditionalFormatting sqref="G485">
    <cfRule type="containsText" dxfId="490" priority="37" operator="containsText" text="yes">
      <formula>NOT(ISERROR(SEARCH("yes",G485)))</formula>
    </cfRule>
  </conditionalFormatting>
  <conditionalFormatting sqref="G487">
    <cfRule type="containsText" dxfId="489" priority="26" operator="containsText" text="no">
      <formula>NOT(ISERROR(SEARCH("no",G487)))</formula>
    </cfRule>
    <cfRule type="cellIs" dxfId="488" priority="28" operator="equal">
      <formula>#REF!</formula>
    </cfRule>
  </conditionalFormatting>
  <conditionalFormatting sqref="G487">
    <cfRule type="containsText" dxfId="487" priority="27" operator="containsText" text="yes">
      <formula>NOT(ISERROR(SEARCH("yes",G487)))</formula>
    </cfRule>
  </conditionalFormatting>
  <conditionalFormatting sqref="G488">
    <cfRule type="containsText" dxfId="486" priority="21" operator="containsText" text="no">
      <formula>NOT(ISERROR(SEARCH("no",G488)))</formula>
    </cfRule>
    <cfRule type="cellIs" dxfId="485" priority="23" operator="equal">
      <formula>#REF!</formula>
    </cfRule>
  </conditionalFormatting>
  <conditionalFormatting sqref="G488">
    <cfRule type="containsText" dxfId="484" priority="22" operator="containsText" text="yes">
      <formula>NOT(ISERROR(SEARCH("yes",G488)))</formula>
    </cfRule>
  </conditionalFormatting>
  <conditionalFormatting sqref="G490">
    <cfRule type="containsText" dxfId="483" priority="12" operator="containsText" text="no">
      <formula>NOT(ISERROR(SEARCH("no",G490)))</formula>
    </cfRule>
    <cfRule type="cellIs" dxfId="482" priority="13" operator="equal">
      <formula>#REF!</formula>
    </cfRule>
  </conditionalFormatting>
  <conditionalFormatting sqref="G490">
    <cfRule type="containsText" dxfId="481" priority="39" operator="containsText" text="yes">
      <formula>NOT(ISERROR(SEARCH("yes",G490)))</formula>
    </cfRule>
  </conditionalFormatting>
  <conditionalFormatting sqref="G492 G494 G496 G498 G500 G502">
    <cfRule type="containsText" dxfId="480" priority="3" operator="containsText" text="no">
      <formula>NOT(ISERROR(SEARCH("no",G492)))</formula>
    </cfRule>
    <cfRule type="cellIs" dxfId="479" priority="5" operator="equal">
      <formula>#REF!</formula>
    </cfRule>
  </conditionalFormatting>
  <conditionalFormatting sqref="G492 G494 G496 G498 G500 G502">
    <cfRule type="containsText" dxfId="478" priority="4" operator="containsText" text="yes">
      <formula>NOT(ISERROR(SEARCH("yes",G492)))</formula>
    </cfRule>
  </conditionalFormatting>
  <conditionalFormatting sqref="G491 G493 G495 G497 G499 G501">
    <cfRule type="containsText" dxfId="477" priority="8" operator="containsText" text="no">
      <formula>NOT(ISERROR(SEARCH("no",G491)))</formula>
    </cfRule>
    <cfRule type="cellIs" dxfId="476" priority="10" operator="equal">
      <formula>#REF!</formula>
    </cfRule>
  </conditionalFormatting>
  <conditionalFormatting sqref="G491 G493 G495 G497 G499 G501">
    <cfRule type="containsText" dxfId="475" priority="9" operator="containsText" text="yes">
      <formula>NOT(ISERROR(SEARCH("yes",G491)))</formula>
    </cfRule>
  </conditionalFormatting>
  <dataValidations count="3">
    <dataValidation type="list" allowBlank="1" showInputMessage="1" showErrorMessage="1" sqref="G1940:G1959 G84:G103 G118:G137 G154:G173 G190:G209 G225:G244 G259:G278 G49:G68 G295:G314 G449:G468 G331:G432 G525:G544 G559:G578 G595:G614 G629:G648 G663:G682 G1226:G1314 J719:J740 G1589:G1608 G1064:G1209 G918:G1047 G1440:G1459 G1480:G1499 G1516:G1535 G1330:G1424 G1554:G1573 G1625:G1644 G1661:G1680 G1697:G1716 G1731:G1750 G1765:G1784 G1800:G1819 G1836:G1855 G1872:G1891 G1906:G1925 G697:G901 G485:G504" xr:uid="{06F5EAA8-FBE4-410E-9EAC-36C19265DF04}">
      <formula1>$AQ$3:$AQ$10</formula1>
    </dataValidation>
    <dataValidation type="list" allowBlank="1" showInputMessage="1" showErrorMessage="1" sqref="E84:E103 E1940:E1959 E118:E137 E154:E173 E190:E209 E225:E244 E259:E278 E1589:E1608 E295:E314 E449:E468 E331:E432 E525:E544 E559:E578 E595:E614 E629:E648 E663:E682 E1226:E1314 E697:E901 E49:E68 E1064:E1209 E918:E1047 E1440:E1459 E1480:E1499 E1516:E1535 E1330:E1424 E1554:E1573 E1625:E1644 E1661:E1680 E1697:E1716 E1731:E1750 E1765:E1784 E1800:E1819 E1836:E1855 E1872:E1891 E1906:E1925 E485:E504" xr:uid="{9B4A9B6C-C2FA-422F-AF8E-BA351AEE6663}">
      <formula1>"World,OECD90,Eastern Europe,Asia (Sans Japan),Middle East and Africa,Latin America,China,India,EU,USA"</formula1>
    </dataValidation>
    <dataValidation type="list" allowBlank="1" showInputMessage="1" showErrorMessage="1" sqref="R323 R1433 R477 R1218 R1056 R910 R77 R691 R657 R587 R553 R513 R218 R182 R146 R112 R287 R441 R253 R623 R1323 X1822 Q84:Q103 Q118:Q137 Q154:Q173 Q190:Q209 Q225:Q244 Q259:Q278 Q295:Q314 Q449:Q468 Q485:Q504 Q525:Q544 Q559:Q578 Q595:Q614 Q629:Q648 Q663:Q682 Q49:Q68 Q697:Q901 Q1330:Q1424 Q1064:Q1209 Q918:Q1047 Q1440:Q1459 Q1480:Q1499 Q1516:Q1535 Q1554:Q1573 Q1589:Q1608 Q1625:Q1644 Q1661:Q1680 Q1697:Q1716 Q1731:Q1750 Q1765:Q1784 X71 X106 X140 X176 X212 X247 X281 X317 X435 X471 X507 X547 X581 X617 X651 X685 X904 X1050 X1212 X1317 X1427 X1462 X1502 X1538 X1576 X1611 X1683 X1719 X1753 X1787 R1468 R1508 R1544 R1582 R1617 R1653 R1689 R1725 R1759 R1793 X1647 Q1800:Q1819 Q1836:Q1855 Q1872:Q1891 Q1906:Q1925 Q1940:Q1959 X1858 X1894 X1928 X1962 R1828 R1864 R1900 R1934 R1968 Q1226:Q1314 Q331:Q432" xr:uid="{91F0A206-23EB-4B2C-82E1-32620E4CBC93}">
      <formula1>"Y,N"</formula1>
    </dataValidation>
  </dataValidations>
  <hyperlinks>
    <hyperlink ref="Z28" r:id="rId1" xr:uid="{92EFE47B-0200-44FD-92DC-6308C7688C04}"/>
    <hyperlink ref="D49" location="rations!A1" display="rations!A1" xr:uid="{269586D5-A144-4E54-930F-8372A8E51A8B}"/>
    <hyperlink ref="D50:D54" location="rations!A1" display="rations!A1" xr:uid="{E7C28E85-074A-4907-931B-DB0714B28324}"/>
    <hyperlink ref="Z25" r:id="rId2" xr:uid="{785D00D6-A02F-4CF0-A26D-7B6389215D31}"/>
    <hyperlink ref="D773" r:id="rId3" location="c303669" xr:uid="{49AF6365-FFAB-49D0-88C3-9DD7DE179F20}"/>
    <hyperlink ref="D1019" r:id="rId4" xr:uid="{04918842-5150-4B55-AEF4-47BCC8BB452D}"/>
    <hyperlink ref="D1025" r:id="rId5" xr:uid="{C0D87F9B-BF9E-4A85-82AA-5EEE8EDA2470}"/>
    <hyperlink ref="D1028" r:id="rId6" xr:uid="{DA5C1FB5-E218-4718-A922-C6DC525F6B4A}"/>
    <hyperlink ref="D1020" r:id="rId7" xr:uid="{82326C25-0A99-436D-AF64-A0144C9BF2A8}"/>
    <hyperlink ref="D1021" r:id="rId8" xr:uid="{69EA9571-FBD8-46F4-9385-9DD6E7E90803}"/>
    <hyperlink ref="D1026" r:id="rId9" xr:uid="{EFFAC8D3-79E1-40C3-958F-CAEBFDB24BD7}"/>
    <hyperlink ref="D1027" r:id="rId10" xr:uid="{65F8FF0F-6CD5-4557-80F9-2FFBB25E58CA}"/>
    <hyperlink ref="D1029" r:id="rId11" xr:uid="{FAC84DE6-E3CD-45DA-80BE-9CC25C419A03}"/>
    <hyperlink ref="D918" r:id="rId12" xr:uid="{EFAD6C71-57E4-4DD0-ABC7-433FCD88554C}"/>
    <hyperlink ref="D1330" r:id="rId13" xr:uid="{84069117-705A-4B26-BF31-0B1457592244}"/>
    <hyperlink ref="D1174" r:id="rId14" location="c303703" xr:uid="{BF5FE9F4-9D06-45A1-A69E-1EC74988F0C9}"/>
    <hyperlink ref="D1140" r:id="rId15" location="c303669" xr:uid="{B471D0AE-9A76-42F7-9F23-15EDD05E8C0D}"/>
    <hyperlink ref="D1226" r:id="rId16" xr:uid="{A4EC4CDC-6C4C-495C-BE36-82511BD50092}"/>
  </hyperlinks>
  <pageMargins left="0.7" right="0.7" top="0.75" bottom="0.75" header="0.3" footer="0.3"/>
  <pageSetup orientation="portrait" r:id="rId17"/>
  <drawing r:id="rId18"/>
  <legacyDrawing r:id="rId19"/>
  <mc:AlternateContent xmlns:mc="http://schemas.openxmlformats.org/markup-compatibility/2006">
    <mc:Choice Requires="x14">
      <controls>
        <mc:AlternateContent xmlns:mc="http://schemas.openxmlformats.org/markup-compatibility/2006">
          <mc:Choice Requires="x14">
            <control shapeId="1025" r:id="rId20" name="Button 1">
              <controlPr defaultSize="0" print="0" autoFill="0" autoPict="0" macro="[0]!summarizeVariables">
                <anchor moveWithCells="1" sizeWithCells="1">
                  <from>
                    <xdr:col>12</xdr:col>
                    <xdr:colOff>152400</xdr:colOff>
                    <xdr:row>3</xdr:row>
                    <xdr:rowOff>38100</xdr:rowOff>
                  </from>
                  <to>
                    <xdr:col>14</xdr:col>
                    <xdr:colOff>876300</xdr:colOff>
                    <xdr:row>6</xdr:row>
                    <xdr:rowOff>76200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ontainsText" priority="1253" operator="containsText" id="{F61A9BAB-D1EC-46CE-ACEA-B7C47E9EBDCB}">
            <xm:f>NOT(ISERROR(SEARCH(#REF!,Q40)))</xm:f>
            <xm:f>#REF!</xm:f>
            <x14:dxf>
              <font>
                <color rgb="FF9C0006"/>
              </font>
              <fill>
                <patternFill>
                  <bgColor rgb="FFFFC7CE"/>
                </patternFill>
              </fill>
            </x14:dxf>
          </x14:cfRule>
          <x14:cfRule type="containsText" priority="1254" operator="containsText" id="{27F10E33-E1A7-4738-A18F-022AE3B33212}">
            <xm:f>NOT(ISERROR(SEARCH(#REF!,Q40)))</xm:f>
            <xm:f>#REF!</xm:f>
            <x14:dxf>
              <font>
                <color rgb="FF006100"/>
              </font>
              <fill>
                <patternFill>
                  <bgColor rgb="FFC6EFCE"/>
                </patternFill>
              </fill>
            </x14:dxf>
          </x14:cfRule>
          <xm:sqref>Q42:Q43 Q40 Q45 Q80:Q81</xm:sqref>
        </x14:conditionalFormatting>
        <x14:conditionalFormatting xmlns:xm="http://schemas.microsoft.com/office/excel/2006/main">
          <x14:cfRule type="containsText" priority="1248" operator="containsText" id="{6637BB4C-AD76-489E-8E83-A09043C0E842}">
            <xm:f>NOT(ISERROR(SEARCH(#REF!,G55)))</xm:f>
            <xm:f>#REF!</xm:f>
            <x14:dxf>
              <font>
                <color rgb="FF9C0006"/>
              </font>
              <fill>
                <patternFill>
                  <bgColor rgb="FFFFC7CE"/>
                </patternFill>
              </fill>
            </x14:dxf>
          </x14:cfRule>
          <x14:cfRule type="containsText" priority="1249" operator="containsText" id="{7AE62CC6-88E0-49E2-B514-5C8367F5EFBD}">
            <xm:f>NOT(ISERROR(SEARCH(#REF!,G55)))</xm:f>
            <xm:f>#REF!</xm:f>
            <x14:dxf>
              <font>
                <color rgb="FF006100"/>
              </font>
              <fill>
                <patternFill>
                  <bgColor rgb="FFC6EFCE"/>
                </patternFill>
              </fill>
            </x14:dxf>
          </x14:cfRule>
          <xm:sqref>G55:G68 I55:I68 G432 I432</xm:sqref>
        </x14:conditionalFormatting>
        <x14:conditionalFormatting xmlns:xm="http://schemas.microsoft.com/office/excel/2006/main">
          <x14:cfRule type="containsText" priority="954" operator="containsText" id="{6C71B237-E9AE-4025-BB9D-8B6A3ECCA13C}">
            <xm:f>NOT(ISERROR(SEARCH(#REF!,I663)))</xm:f>
            <xm:f>#REF!</xm:f>
            <x14:dxf>
              <font>
                <color rgb="FF9C0006"/>
              </font>
              <fill>
                <patternFill>
                  <bgColor rgb="FFFFC7CE"/>
                </patternFill>
              </fill>
            </x14:dxf>
          </x14:cfRule>
          <x14:cfRule type="containsText" priority="955" operator="containsText" id="{F545C181-872B-48B6-9E19-B112900D34CC}">
            <xm:f>NOT(ISERROR(SEARCH(#REF!,I663)))</xm:f>
            <xm:f>#REF!</xm:f>
            <x14:dxf>
              <font>
                <color rgb="FF006100"/>
              </font>
              <fill>
                <patternFill>
                  <bgColor rgb="FFC6EFCE"/>
                </patternFill>
              </fill>
            </x14:dxf>
          </x14:cfRule>
          <xm:sqref>I663:I664</xm:sqref>
        </x14:conditionalFormatting>
        <x14:conditionalFormatting xmlns:xm="http://schemas.microsoft.com/office/excel/2006/main">
          <x14:cfRule type="containsText" priority="1216" operator="containsText" id="{DC3D9F98-FE13-4B5E-890A-AFB4F30A3251}">
            <xm:f>NOT(ISERROR(SEARCH(#REF!,Q44)))</xm:f>
            <xm:f>#REF!</xm:f>
            <x14:dxf>
              <font>
                <color rgb="FF9C0006"/>
              </font>
              <fill>
                <patternFill>
                  <bgColor rgb="FFFFC7CE"/>
                </patternFill>
              </fill>
            </x14:dxf>
          </x14:cfRule>
          <x14:cfRule type="containsText" priority="1217" operator="containsText" id="{6CBAF277-55E1-448F-B188-A3DE0BD4885C}">
            <xm:f>NOT(ISERROR(SEARCH(#REF!,Q44)))</xm:f>
            <xm:f>#REF!</xm:f>
            <x14:dxf>
              <font>
                <color rgb="FF006100"/>
              </font>
              <fill>
                <patternFill>
                  <bgColor rgb="FFC6EFCE"/>
                </patternFill>
              </fill>
            </x14:dxf>
          </x14:cfRule>
          <xm:sqref>Q44</xm:sqref>
        </x14:conditionalFormatting>
        <x14:conditionalFormatting xmlns:xm="http://schemas.microsoft.com/office/excel/2006/main">
          <x14:cfRule type="containsText" priority="1202" operator="containsText" id="{DDFE0AB9-60F8-4C46-AD88-3EAF9C412DEE}">
            <xm:f>NOT(ISERROR(SEARCH(#REF!,G86)))</xm:f>
            <xm:f>#REF!</xm:f>
            <x14:dxf>
              <font>
                <color rgb="FF9C0006"/>
              </font>
              <fill>
                <patternFill>
                  <bgColor rgb="FFFFC7CE"/>
                </patternFill>
              </fill>
            </x14:dxf>
          </x14:cfRule>
          <x14:cfRule type="containsText" priority="1203" operator="containsText" id="{11FCFA99-46EA-413F-9E0A-0A5C55A4747D}">
            <xm:f>NOT(ISERROR(SEARCH(#REF!,G86)))</xm:f>
            <xm:f>#REF!</xm:f>
            <x14:dxf>
              <font>
                <color rgb="FF006100"/>
              </font>
              <fill>
                <patternFill>
                  <bgColor rgb="FFC6EFCE"/>
                </patternFill>
              </fill>
            </x14:dxf>
          </x14:cfRule>
          <xm:sqref>G86:G103</xm:sqref>
        </x14:conditionalFormatting>
        <x14:conditionalFormatting xmlns:xm="http://schemas.microsoft.com/office/excel/2006/main">
          <x14:cfRule type="containsText" priority="1199" operator="containsText" id="{608AE1CC-810C-4D47-AEA0-ED6A9A21533C}">
            <xm:f>NOT(ISERROR(SEARCH(#REF!,G84)))</xm:f>
            <xm:f>#REF!</xm:f>
            <x14:dxf>
              <font>
                <color rgb="FF9C0006"/>
              </font>
              <fill>
                <patternFill>
                  <bgColor rgb="FFFFC7CE"/>
                </patternFill>
              </fill>
            </x14:dxf>
          </x14:cfRule>
          <x14:cfRule type="containsText" priority="1200" operator="containsText" id="{7FB31E16-529B-44EF-82B1-6D9BCAB2B743}">
            <xm:f>NOT(ISERROR(SEARCH(#REF!,G84)))</xm:f>
            <xm:f>#REF!</xm:f>
            <x14:dxf>
              <font>
                <color rgb="FF006100"/>
              </font>
              <fill>
                <patternFill>
                  <bgColor rgb="FFC6EFCE"/>
                </patternFill>
              </fill>
            </x14:dxf>
          </x14:cfRule>
          <xm:sqref>G84:G85</xm:sqref>
        </x14:conditionalFormatting>
        <x14:conditionalFormatting xmlns:xm="http://schemas.microsoft.com/office/excel/2006/main">
          <x14:cfRule type="containsText" priority="1192" operator="containsText" id="{DE805B81-85D8-45F9-A5B0-8D517ACD2823}">
            <xm:f>NOT(ISERROR(SEARCH(#REF!,I86)))</xm:f>
            <xm:f>#REF!</xm:f>
            <x14:dxf>
              <font>
                <color rgb="FF9C0006"/>
              </font>
              <fill>
                <patternFill>
                  <bgColor rgb="FFFFC7CE"/>
                </patternFill>
              </fill>
            </x14:dxf>
          </x14:cfRule>
          <x14:cfRule type="containsText" priority="1193" operator="containsText" id="{D23B8FB7-B955-48D2-95CE-5648C467B933}">
            <xm:f>NOT(ISERROR(SEARCH(#REF!,I86)))</xm:f>
            <xm:f>#REF!</xm:f>
            <x14:dxf>
              <font>
                <color rgb="FF006100"/>
              </font>
              <fill>
                <patternFill>
                  <bgColor rgb="FFC6EFCE"/>
                </patternFill>
              </fill>
            </x14:dxf>
          </x14:cfRule>
          <xm:sqref>I86:I103</xm:sqref>
        </x14:conditionalFormatting>
        <x14:conditionalFormatting xmlns:xm="http://schemas.microsoft.com/office/excel/2006/main">
          <x14:cfRule type="containsText" priority="1189" operator="containsText" id="{5E951215-109E-4E75-ACC0-153A5C3C60BE}">
            <xm:f>NOT(ISERROR(SEARCH(#REF!,I84)))</xm:f>
            <xm:f>#REF!</xm:f>
            <x14:dxf>
              <font>
                <color rgb="FF9C0006"/>
              </font>
              <fill>
                <patternFill>
                  <bgColor rgb="FFFFC7CE"/>
                </patternFill>
              </fill>
            </x14:dxf>
          </x14:cfRule>
          <x14:cfRule type="containsText" priority="1190" operator="containsText" id="{67AB9B19-52FC-4709-8E65-64D38E91D68A}">
            <xm:f>NOT(ISERROR(SEARCH(#REF!,I84)))</xm:f>
            <xm:f>#REF!</xm:f>
            <x14:dxf>
              <font>
                <color rgb="FF006100"/>
              </font>
              <fill>
                <patternFill>
                  <bgColor rgb="FFC6EFCE"/>
                </patternFill>
              </fill>
            </x14:dxf>
          </x14:cfRule>
          <xm:sqref>I84:I85</xm:sqref>
        </x14:conditionalFormatting>
        <x14:conditionalFormatting xmlns:xm="http://schemas.microsoft.com/office/excel/2006/main">
          <x14:cfRule type="containsText" priority="1182" operator="containsText" id="{B6D061DA-671E-4090-9695-CBF94BB91A48}">
            <xm:f>NOT(ISERROR(SEARCH(#REF!,G120)))</xm:f>
            <xm:f>#REF!</xm:f>
            <x14:dxf>
              <font>
                <color rgb="FF9C0006"/>
              </font>
              <fill>
                <patternFill>
                  <bgColor rgb="FFFFC7CE"/>
                </patternFill>
              </fill>
            </x14:dxf>
          </x14:cfRule>
          <x14:cfRule type="containsText" priority="1183" operator="containsText" id="{12531BDF-E7DB-4D0A-8CDE-AEB08A771A5D}">
            <xm:f>NOT(ISERROR(SEARCH(#REF!,G120)))</xm:f>
            <xm:f>#REF!</xm:f>
            <x14:dxf>
              <font>
                <color rgb="FF006100"/>
              </font>
              <fill>
                <patternFill>
                  <bgColor rgb="FFC6EFCE"/>
                </patternFill>
              </fill>
            </x14:dxf>
          </x14:cfRule>
          <xm:sqref>G120:G137</xm:sqref>
        </x14:conditionalFormatting>
        <x14:conditionalFormatting xmlns:xm="http://schemas.microsoft.com/office/excel/2006/main">
          <x14:cfRule type="containsText" priority="1179" operator="containsText" id="{666484E7-F311-4BAC-9FE0-8CB90F396AAF}">
            <xm:f>NOT(ISERROR(SEARCH(#REF!,G118)))</xm:f>
            <xm:f>#REF!</xm:f>
            <x14:dxf>
              <font>
                <color rgb="FF9C0006"/>
              </font>
              <fill>
                <patternFill>
                  <bgColor rgb="FFFFC7CE"/>
                </patternFill>
              </fill>
            </x14:dxf>
          </x14:cfRule>
          <x14:cfRule type="containsText" priority="1180" operator="containsText" id="{9F127647-675C-4AF6-8F35-91E82538569D}">
            <xm:f>NOT(ISERROR(SEARCH(#REF!,G118)))</xm:f>
            <xm:f>#REF!</xm:f>
            <x14:dxf>
              <font>
                <color rgb="FF006100"/>
              </font>
              <fill>
                <patternFill>
                  <bgColor rgb="FFC6EFCE"/>
                </patternFill>
              </fill>
            </x14:dxf>
          </x14:cfRule>
          <xm:sqref>G118:G119</xm:sqref>
        </x14:conditionalFormatting>
        <x14:conditionalFormatting xmlns:xm="http://schemas.microsoft.com/office/excel/2006/main">
          <x14:cfRule type="containsText" priority="1172" operator="containsText" id="{BA0BB413-9B47-4DE4-890A-31F969D720D2}">
            <xm:f>NOT(ISERROR(SEARCH(#REF!,I120)))</xm:f>
            <xm:f>#REF!</xm:f>
            <x14:dxf>
              <font>
                <color rgb="FF9C0006"/>
              </font>
              <fill>
                <patternFill>
                  <bgColor rgb="FFFFC7CE"/>
                </patternFill>
              </fill>
            </x14:dxf>
          </x14:cfRule>
          <x14:cfRule type="containsText" priority="1173" operator="containsText" id="{B1198772-DE5F-4496-B3C0-78476BCB5110}">
            <xm:f>NOT(ISERROR(SEARCH(#REF!,I120)))</xm:f>
            <xm:f>#REF!</xm:f>
            <x14:dxf>
              <font>
                <color rgb="FF006100"/>
              </font>
              <fill>
                <patternFill>
                  <bgColor rgb="FFC6EFCE"/>
                </patternFill>
              </fill>
            </x14:dxf>
          </x14:cfRule>
          <xm:sqref>I120:I137</xm:sqref>
        </x14:conditionalFormatting>
        <x14:conditionalFormatting xmlns:xm="http://schemas.microsoft.com/office/excel/2006/main">
          <x14:cfRule type="containsText" priority="1169" operator="containsText" id="{96D9A9D8-12EF-462A-B1E3-A1835A7375D2}">
            <xm:f>NOT(ISERROR(SEARCH(#REF!,I118)))</xm:f>
            <xm:f>#REF!</xm:f>
            <x14:dxf>
              <font>
                <color rgb="FF9C0006"/>
              </font>
              <fill>
                <patternFill>
                  <bgColor rgb="FFFFC7CE"/>
                </patternFill>
              </fill>
            </x14:dxf>
          </x14:cfRule>
          <x14:cfRule type="containsText" priority="1170" operator="containsText" id="{78CB6A70-E1DD-4124-AAB2-25477E32F226}">
            <xm:f>NOT(ISERROR(SEARCH(#REF!,I118)))</xm:f>
            <xm:f>#REF!</xm:f>
            <x14:dxf>
              <font>
                <color rgb="FF006100"/>
              </font>
              <fill>
                <patternFill>
                  <bgColor rgb="FFC6EFCE"/>
                </patternFill>
              </fill>
            </x14:dxf>
          </x14:cfRule>
          <xm:sqref>I118:I119</xm:sqref>
        </x14:conditionalFormatting>
        <x14:conditionalFormatting xmlns:xm="http://schemas.microsoft.com/office/excel/2006/main">
          <x14:cfRule type="containsText" priority="1162" operator="containsText" id="{D26400A9-869A-40F2-8A71-BB76C36E03C3}">
            <xm:f>NOT(ISERROR(SEARCH(#REF!,G156)))</xm:f>
            <xm:f>#REF!</xm:f>
            <x14:dxf>
              <font>
                <color rgb="FF9C0006"/>
              </font>
              <fill>
                <patternFill>
                  <bgColor rgb="FFFFC7CE"/>
                </patternFill>
              </fill>
            </x14:dxf>
          </x14:cfRule>
          <x14:cfRule type="containsText" priority="1163" operator="containsText" id="{1C18D85C-8A4A-47DD-859F-423670CEDB08}">
            <xm:f>NOT(ISERROR(SEARCH(#REF!,G156)))</xm:f>
            <xm:f>#REF!</xm:f>
            <x14:dxf>
              <font>
                <color rgb="FF006100"/>
              </font>
              <fill>
                <patternFill>
                  <bgColor rgb="FFC6EFCE"/>
                </patternFill>
              </fill>
            </x14:dxf>
          </x14:cfRule>
          <xm:sqref>G156:G173</xm:sqref>
        </x14:conditionalFormatting>
        <x14:conditionalFormatting xmlns:xm="http://schemas.microsoft.com/office/excel/2006/main">
          <x14:cfRule type="containsText" priority="1159" operator="containsText" id="{B8B08E8F-9C6B-4242-937A-84BD40E34AAD}">
            <xm:f>NOT(ISERROR(SEARCH(#REF!,G154)))</xm:f>
            <xm:f>#REF!</xm:f>
            <x14:dxf>
              <font>
                <color rgb="FF9C0006"/>
              </font>
              <fill>
                <patternFill>
                  <bgColor rgb="FFFFC7CE"/>
                </patternFill>
              </fill>
            </x14:dxf>
          </x14:cfRule>
          <x14:cfRule type="containsText" priority="1160" operator="containsText" id="{6C8D5C79-A5BF-497E-B392-BB297D475D90}">
            <xm:f>NOT(ISERROR(SEARCH(#REF!,G154)))</xm:f>
            <xm:f>#REF!</xm:f>
            <x14:dxf>
              <font>
                <color rgb="FF006100"/>
              </font>
              <fill>
                <patternFill>
                  <bgColor rgb="FFC6EFCE"/>
                </patternFill>
              </fill>
            </x14:dxf>
          </x14:cfRule>
          <xm:sqref>G154:G155</xm:sqref>
        </x14:conditionalFormatting>
        <x14:conditionalFormatting xmlns:xm="http://schemas.microsoft.com/office/excel/2006/main">
          <x14:cfRule type="containsText" priority="1152" operator="containsText" id="{6712EB37-5096-4EDD-B1C9-C8F2E61CFBFE}">
            <xm:f>NOT(ISERROR(SEARCH(#REF!,I156)))</xm:f>
            <xm:f>#REF!</xm:f>
            <x14:dxf>
              <font>
                <color rgb="FF9C0006"/>
              </font>
              <fill>
                <patternFill>
                  <bgColor rgb="FFFFC7CE"/>
                </patternFill>
              </fill>
            </x14:dxf>
          </x14:cfRule>
          <x14:cfRule type="containsText" priority="1153" operator="containsText" id="{840A9A04-1E3B-4A4E-AC2C-6FC0727BB5F9}">
            <xm:f>NOT(ISERROR(SEARCH(#REF!,I156)))</xm:f>
            <xm:f>#REF!</xm:f>
            <x14:dxf>
              <font>
                <color rgb="FF006100"/>
              </font>
              <fill>
                <patternFill>
                  <bgColor rgb="FFC6EFCE"/>
                </patternFill>
              </fill>
            </x14:dxf>
          </x14:cfRule>
          <xm:sqref>I156:I173</xm:sqref>
        </x14:conditionalFormatting>
        <x14:conditionalFormatting xmlns:xm="http://schemas.microsoft.com/office/excel/2006/main">
          <x14:cfRule type="containsText" priority="1149" operator="containsText" id="{D5AB1149-304C-43A3-93EB-37D9A048F344}">
            <xm:f>NOT(ISERROR(SEARCH(#REF!,I154)))</xm:f>
            <xm:f>#REF!</xm:f>
            <x14:dxf>
              <font>
                <color rgb="FF9C0006"/>
              </font>
              <fill>
                <patternFill>
                  <bgColor rgb="FFFFC7CE"/>
                </patternFill>
              </fill>
            </x14:dxf>
          </x14:cfRule>
          <x14:cfRule type="containsText" priority="1150" operator="containsText" id="{7EBA467B-85E9-4FD0-B0B9-E41E290B2FB4}">
            <xm:f>NOT(ISERROR(SEARCH(#REF!,I154)))</xm:f>
            <xm:f>#REF!</xm:f>
            <x14:dxf>
              <font>
                <color rgb="FF006100"/>
              </font>
              <fill>
                <patternFill>
                  <bgColor rgb="FFC6EFCE"/>
                </patternFill>
              </fill>
            </x14:dxf>
          </x14:cfRule>
          <xm:sqref>I154:I155</xm:sqref>
        </x14:conditionalFormatting>
        <x14:conditionalFormatting xmlns:xm="http://schemas.microsoft.com/office/excel/2006/main">
          <x14:cfRule type="containsText" priority="1142" operator="containsText" id="{58125877-D6E3-4C27-BF93-D860240BF1B1}">
            <xm:f>NOT(ISERROR(SEARCH(#REF!,G192)))</xm:f>
            <xm:f>#REF!</xm:f>
            <x14:dxf>
              <font>
                <color rgb="FF9C0006"/>
              </font>
              <fill>
                <patternFill>
                  <bgColor rgb="FFFFC7CE"/>
                </patternFill>
              </fill>
            </x14:dxf>
          </x14:cfRule>
          <x14:cfRule type="containsText" priority="1143" operator="containsText" id="{FC7172F9-0304-43B8-9FA2-5134BE716477}">
            <xm:f>NOT(ISERROR(SEARCH(#REF!,G192)))</xm:f>
            <xm:f>#REF!</xm:f>
            <x14:dxf>
              <font>
                <color rgb="FF006100"/>
              </font>
              <fill>
                <patternFill>
                  <bgColor rgb="FFC6EFCE"/>
                </patternFill>
              </fill>
            </x14:dxf>
          </x14:cfRule>
          <xm:sqref>G192:G209</xm:sqref>
        </x14:conditionalFormatting>
        <x14:conditionalFormatting xmlns:xm="http://schemas.microsoft.com/office/excel/2006/main">
          <x14:cfRule type="containsText" priority="1139" operator="containsText" id="{140E35EA-A923-4DDE-8F24-28319F514AE3}">
            <xm:f>NOT(ISERROR(SEARCH(#REF!,G190)))</xm:f>
            <xm:f>#REF!</xm:f>
            <x14:dxf>
              <font>
                <color rgb="FF9C0006"/>
              </font>
              <fill>
                <patternFill>
                  <bgColor rgb="FFFFC7CE"/>
                </patternFill>
              </fill>
            </x14:dxf>
          </x14:cfRule>
          <x14:cfRule type="containsText" priority="1140" operator="containsText" id="{C5214A98-5980-4812-A1F6-9CEBA264A590}">
            <xm:f>NOT(ISERROR(SEARCH(#REF!,G190)))</xm:f>
            <xm:f>#REF!</xm:f>
            <x14:dxf>
              <font>
                <color rgb="FF006100"/>
              </font>
              <fill>
                <patternFill>
                  <bgColor rgb="FFC6EFCE"/>
                </patternFill>
              </fill>
            </x14:dxf>
          </x14:cfRule>
          <xm:sqref>G190:G191</xm:sqref>
        </x14:conditionalFormatting>
        <x14:conditionalFormatting xmlns:xm="http://schemas.microsoft.com/office/excel/2006/main">
          <x14:cfRule type="containsText" priority="1132" operator="containsText" id="{0EFFED13-818A-4394-A40B-6D542373B041}">
            <xm:f>NOT(ISERROR(SEARCH(#REF!,I192)))</xm:f>
            <xm:f>#REF!</xm:f>
            <x14:dxf>
              <font>
                <color rgb="FF9C0006"/>
              </font>
              <fill>
                <patternFill>
                  <bgColor rgb="FFFFC7CE"/>
                </patternFill>
              </fill>
            </x14:dxf>
          </x14:cfRule>
          <x14:cfRule type="containsText" priority="1133" operator="containsText" id="{F3197C86-00C5-4248-990B-32503BEDD42E}">
            <xm:f>NOT(ISERROR(SEARCH(#REF!,I192)))</xm:f>
            <xm:f>#REF!</xm:f>
            <x14:dxf>
              <font>
                <color rgb="FF006100"/>
              </font>
              <fill>
                <patternFill>
                  <bgColor rgb="FFC6EFCE"/>
                </patternFill>
              </fill>
            </x14:dxf>
          </x14:cfRule>
          <xm:sqref>I192:I209</xm:sqref>
        </x14:conditionalFormatting>
        <x14:conditionalFormatting xmlns:xm="http://schemas.microsoft.com/office/excel/2006/main">
          <x14:cfRule type="containsText" priority="1129" operator="containsText" id="{B8C31EAF-2D1D-4A6A-91CC-3080AFA95C79}">
            <xm:f>NOT(ISERROR(SEARCH(#REF!,I190)))</xm:f>
            <xm:f>#REF!</xm:f>
            <x14:dxf>
              <font>
                <color rgb="FF9C0006"/>
              </font>
              <fill>
                <patternFill>
                  <bgColor rgb="FFFFC7CE"/>
                </patternFill>
              </fill>
            </x14:dxf>
          </x14:cfRule>
          <x14:cfRule type="containsText" priority="1130" operator="containsText" id="{020E2592-11CE-4FDC-AAA6-61AACEE84631}">
            <xm:f>NOT(ISERROR(SEARCH(#REF!,I190)))</xm:f>
            <xm:f>#REF!</xm:f>
            <x14:dxf>
              <font>
                <color rgb="FF006100"/>
              </font>
              <fill>
                <patternFill>
                  <bgColor rgb="FFC6EFCE"/>
                </patternFill>
              </fill>
            </x14:dxf>
          </x14:cfRule>
          <xm:sqref>I190:I191</xm:sqref>
        </x14:conditionalFormatting>
        <x14:conditionalFormatting xmlns:xm="http://schemas.microsoft.com/office/excel/2006/main">
          <x14:cfRule type="containsText" priority="1122" operator="containsText" id="{3D061D2B-C294-486E-9FEF-78DAA65D9A57}">
            <xm:f>NOT(ISERROR(SEARCH(#REF!,G227)))</xm:f>
            <xm:f>#REF!</xm:f>
            <x14:dxf>
              <font>
                <color rgb="FF9C0006"/>
              </font>
              <fill>
                <patternFill>
                  <bgColor rgb="FFFFC7CE"/>
                </patternFill>
              </fill>
            </x14:dxf>
          </x14:cfRule>
          <x14:cfRule type="containsText" priority="1123" operator="containsText" id="{8010F112-9F4C-4746-A8AF-BF4AFD7E6F04}">
            <xm:f>NOT(ISERROR(SEARCH(#REF!,G227)))</xm:f>
            <xm:f>#REF!</xm:f>
            <x14:dxf>
              <font>
                <color rgb="FF006100"/>
              </font>
              <fill>
                <patternFill>
                  <bgColor rgb="FFC6EFCE"/>
                </patternFill>
              </fill>
            </x14:dxf>
          </x14:cfRule>
          <xm:sqref>G227:G244</xm:sqref>
        </x14:conditionalFormatting>
        <x14:conditionalFormatting xmlns:xm="http://schemas.microsoft.com/office/excel/2006/main">
          <x14:cfRule type="containsText" priority="1119" operator="containsText" id="{689D5023-9E81-4BF9-A68B-FE80DF556659}">
            <xm:f>NOT(ISERROR(SEARCH(#REF!,G225)))</xm:f>
            <xm:f>#REF!</xm:f>
            <x14:dxf>
              <font>
                <color rgb="FF9C0006"/>
              </font>
              <fill>
                <patternFill>
                  <bgColor rgb="FFFFC7CE"/>
                </patternFill>
              </fill>
            </x14:dxf>
          </x14:cfRule>
          <x14:cfRule type="containsText" priority="1120" operator="containsText" id="{60A4821F-3B57-4EC9-8797-61BFC7070EED}">
            <xm:f>NOT(ISERROR(SEARCH(#REF!,G225)))</xm:f>
            <xm:f>#REF!</xm:f>
            <x14:dxf>
              <font>
                <color rgb="FF006100"/>
              </font>
              <fill>
                <patternFill>
                  <bgColor rgb="FFC6EFCE"/>
                </patternFill>
              </fill>
            </x14:dxf>
          </x14:cfRule>
          <xm:sqref>G225:G226</xm:sqref>
        </x14:conditionalFormatting>
        <x14:conditionalFormatting xmlns:xm="http://schemas.microsoft.com/office/excel/2006/main">
          <x14:cfRule type="containsText" priority="1112" operator="containsText" id="{08EE1560-D947-44D8-ABB0-DBDB5AED4BBD}">
            <xm:f>NOT(ISERROR(SEARCH(#REF!,I227)))</xm:f>
            <xm:f>#REF!</xm:f>
            <x14:dxf>
              <font>
                <color rgb="FF9C0006"/>
              </font>
              <fill>
                <patternFill>
                  <bgColor rgb="FFFFC7CE"/>
                </patternFill>
              </fill>
            </x14:dxf>
          </x14:cfRule>
          <x14:cfRule type="containsText" priority="1113" operator="containsText" id="{720A7BD2-AD75-498E-A7E7-D1898125F845}">
            <xm:f>NOT(ISERROR(SEARCH(#REF!,I227)))</xm:f>
            <xm:f>#REF!</xm:f>
            <x14:dxf>
              <font>
                <color rgb="FF006100"/>
              </font>
              <fill>
                <patternFill>
                  <bgColor rgb="FFC6EFCE"/>
                </patternFill>
              </fill>
            </x14:dxf>
          </x14:cfRule>
          <xm:sqref>I227:I244</xm:sqref>
        </x14:conditionalFormatting>
        <x14:conditionalFormatting xmlns:xm="http://schemas.microsoft.com/office/excel/2006/main">
          <x14:cfRule type="containsText" priority="1109" operator="containsText" id="{37D2F5E8-0874-4A6C-AF4C-535B08B7B83D}">
            <xm:f>NOT(ISERROR(SEARCH(#REF!,I225)))</xm:f>
            <xm:f>#REF!</xm:f>
            <x14:dxf>
              <font>
                <color rgb="FF9C0006"/>
              </font>
              <fill>
                <patternFill>
                  <bgColor rgb="FFFFC7CE"/>
                </patternFill>
              </fill>
            </x14:dxf>
          </x14:cfRule>
          <x14:cfRule type="containsText" priority="1110" operator="containsText" id="{468DE827-EE23-43E0-98EA-868B8C1BF00F}">
            <xm:f>NOT(ISERROR(SEARCH(#REF!,I225)))</xm:f>
            <xm:f>#REF!</xm:f>
            <x14:dxf>
              <font>
                <color rgb="FF006100"/>
              </font>
              <fill>
                <patternFill>
                  <bgColor rgb="FFC6EFCE"/>
                </patternFill>
              </fill>
            </x14:dxf>
          </x14:cfRule>
          <xm:sqref>I225:I226</xm:sqref>
        </x14:conditionalFormatting>
        <x14:conditionalFormatting xmlns:xm="http://schemas.microsoft.com/office/excel/2006/main">
          <x14:cfRule type="containsText" priority="1102" operator="containsText" id="{513BE674-99EC-43F9-8326-D390DA340C03}">
            <xm:f>NOT(ISERROR(SEARCH(#REF!,G261)))</xm:f>
            <xm:f>#REF!</xm:f>
            <x14:dxf>
              <font>
                <color rgb="FF9C0006"/>
              </font>
              <fill>
                <patternFill>
                  <bgColor rgb="FFFFC7CE"/>
                </patternFill>
              </fill>
            </x14:dxf>
          </x14:cfRule>
          <x14:cfRule type="containsText" priority="1103" operator="containsText" id="{D64EC149-C48A-42A7-AD94-8212F21C287D}">
            <xm:f>NOT(ISERROR(SEARCH(#REF!,G261)))</xm:f>
            <xm:f>#REF!</xm:f>
            <x14:dxf>
              <font>
                <color rgb="FF006100"/>
              </font>
              <fill>
                <patternFill>
                  <bgColor rgb="FFC6EFCE"/>
                </patternFill>
              </fill>
            </x14:dxf>
          </x14:cfRule>
          <xm:sqref>G261:G278</xm:sqref>
        </x14:conditionalFormatting>
        <x14:conditionalFormatting xmlns:xm="http://schemas.microsoft.com/office/excel/2006/main">
          <x14:cfRule type="containsText" priority="1099" operator="containsText" id="{BEDCB8E3-1104-4CDA-A4D8-44D61837C2FE}">
            <xm:f>NOT(ISERROR(SEARCH(#REF!,G259)))</xm:f>
            <xm:f>#REF!</xm:f>
            <x14:dxf>
              <font>
                <color rgb="FF9C0006"/>
              </font>
              <fill>
                <patternFill>
                  <bgColor rgb="FFFFC7CE"/>
                </patternFill>
              </fill>
            </x14:dxf>
          </x14:cfRule>
          <x14:cfRule type="containsText" priority="1100" operator="containsText" id="{1C9E8814-5C66-4D0B-B79A-147C5C2BDE99}">
            <xm:f>NOT(ISERROR(SEARCH(#REF!,G259)))</xm:f>
            <xm:f>#REF!</xm:f>
            <x14:dxf>
              <font>
                <color rgb="FF006100"/>
              </font>
              <fill>
                <patternFill>
                  <bgColor rgb="FFC6EFCE"/>
                </patternFill>
              </fill>
            </x14:dxf>
          </x14:cfRule>
          <xm:sqref>G259:G260</xm:sqref>
        </x14:conditionalFormatting>
        <x14:conditionalFormatting xmlns:xm="http://schemas.microsoft.com/office/excel/2006/main">
          <x14:cfRule type="containsText" priority="1092" operator="containsText" id="{B3A9E651-2231-43BD-BD67-0779DF9CCC26}">
            <xm:f>NOT(ISERROR(SEARCH(#REF!,I261)))</xm:f>
            <xm:f>#REF!</xm:f>
            <x14:dxf>
              <font>
                <color rgb="FF9C0006"/>
              </font>
              <fill>
                <patternFill>
                  <bgColor rgb="FFFFC7CE"/>
                </patternFill>
              </fill>
            </x14:dxf>
          </x14:cfRule>
          <x14:cfRule type="containsText" priority="1093" operator="containsText" id="{88283934-6D15-47E9-A5E7-DF084F7C179C}">
            <xm:f>NOT(ISERROR(SEARCH(#REF!,I261)))</xm:f>
            <xm:f>#REF!</xm:f>
            <x14:dxf>
              <font>
                <color rgb="FF006100"/>
              </font>
              <fill>
                <patternFill>
                  <bgColor rgb="FFC6EFCE"/>
                </patternFill>
              </fill>
            </x14:dxf>
          </x14:cfRule>
          <xm:sqref>I261:I278</xm:sqref>
        </x14:conditionalFormatting>
        <x14:conditionalFormatting xmlns:xm="http://schemas.microsoft.com/office/excel/2006/main">
          <x14:cfRule type="containsText" priority="1089" operator="containsText" id="{A6542F26-3F17-442B-95F0-6C8764D73057}">
            <xm:f>NOT(ISERROR(SEARCH(#REF!,I259)))</xm:f>
            <xm:f>#REF!</xm:f>
            <x14:dxf>
              <font>
                <color rgb="FF9C0006"/>
              </font>
              <fill>
                <patternFill>
                  <bgColor rgb="FFFFC7CE"/>
                </patternFill>
              </fill>
            </x14:dxf>
          </x14:cfRule>
          <x14:cfRule type="containsText" priority="1090" operator="containsText" id="{4505FF59-3462-4D4E-AB9C-AECB3F3F11E2}">
            <xm:f>NOT(ISERROR(SEARCH(#REF!,I259)))</xm:f>
            <xm:f>#REF!</xm:f>
            <x14:dxf>
              <font>
                <color rgb="FF006100"/>
              </font>
              <fill>
                <patternFill>
                  <bgColor rgb="FFC6EFCE"/>
                </patternFill>
              </fill>
            </x14:dxf>
          </x14:cfRule>
          <xm:sqref>I259:I260</xm:sqref>
        </x14:conditionalFormatting>
        <x14:conditionalFormatting xmlns:xm="http://schemas.microsoft.com/office/excel/2006/main">
          <x14:cfRule type="containsText" priority="892" operator="containsText" id="{A8B2FA8E-C12D-4528-AB8D-29790107D1ED}">
            <xm:f>NOT(ISERROR(SEARCH(#REF!,I1442)))</xm:f>
            <xm:f>#REF!</xm:f>
            <x14:dxf>
              <font>
                <color rgb="FF9C0006"/>
              </font>
              <fill>
                <patternFill>
                  <bgColor rgb="FFFFC7CE"/>
                </patternFill>
              </fill>
            </x14:dxf>
          </x14:cfRule>
          <x14:cfRule type="containsText" priority="893" operator="containsText" id="{47DFFDBA-00A9-46C6-8DBD-F34C92DB6A2E}">
            <xm:f>NOT(ISERROR(SEARCH(#REF!,I1442)))</xm:f>
            <xm:f>#REF!</xm:f>
            <x14:dxf>
              <font>
                <color rgb="FF006100"/>
              </font>
              <fill>
                <patternFill>
                  <bgColor rgb="FFC6EFCE"/>
                </patternFill>
              </fill>
            </x14:dxf>
          </x14:cfRule>
          <xm:sqref>I1442:I1459</xm:sqref>
        </x14:conditionalFormatting>
        <x14:conditionalFormatting xmlns:xm="http://schemas.microsoft.com/office/excel/2006/main">
          <x14:cfRule type="containsText" priority="889" operator="containsText" id="{04B3C774-ECE2-49E8-992B-EE887580E7C0}">
            <xm:f>NOT(ISERROR(SEARCH(#REF!,I1440)))</xm:f>
            <xm:f>#REF!</xm:f>
            <x14:dxf>
              <font>
                <color rgb="FF9C0006"/>
              </font>
              <fill>
                <patternFill>
                  <bgColor rgb="FFFFC7CE"/>
                </patternFill>
              </fill>
            </x14:dxf>
          </x14:cfRule>
          <x14:cfRule type="containsText" priority="890" operator="containsText" id="{73466742-547E-47ED-A653-5BEEB5700F37}">
            <xm:f>NOT(ISERROR(SEARCH(#REF!,I1440)))</xm:f>
            <xm:f>#REF!</xm:f>
            <x14:dxf>
              <font>
                <color rgb="FF006100"/>
              </font>
              <fill>
                <patternFill>
                  <bgColor rgb="FFC6EFCE"/>
                </patternFill>
              </fill>
            </x14:dxf>
          </x14:cfRule>
          <xm:sqref>I1440:I1441</xm:sqref>
        </x14:conditionalFormatting>
        <x14:conditionalFormatting xmlns:xm="http://schemas.microsoft.com/office/excel/2006/main">
          <x14:cfRule type="containsText" priority="882" operator="containsText" id="{168DEAE4-3465-439B-965A-38CEEF93B9D2}">
            <xm:f>NOT(ISERROR(SEARCH(#REF!,G1482)))</xm:f>
            <xm:f>#REF!</xm:f>
            <x14:dxf>
              <font>
                <color rgb="FF9C0006"/>
              </font>
              <fill>
                <patternFill>
                  <bgColor rgb="FFFFC7CE"/>
                </patternFill>
              </fill>
            </x14:dxf>
          </x14:cfRule>
          <x14:cfRule type="containsText" priority="883" operator="containsText" id="{FA0F7A6B-26C4-4467-B9EC-4008512D1C09}">
            <xm:f>NOT(ISERROR(SEARCH(#REF!,G1482)))</xm:f>
            <xm:f>#REF!</xm:f>
            <x14:dxf>
              <font>
                <color rgb="FF006100"/>
              </font>
              <fill>
                <patternFill>
                  <bgColor rgb="FFC6EFCE"/>
                </patternFill>
              </fill>
            </x14:dxf>
          </x14:cfRule>
          <xm:sqref>G1482:G1499</xm:sqref>
        </x14:conditionalFormatting>
        <x14:conditionalFormatting xmlns:xm="http://schemas.microsoft.com/office/excel/2006/main">
          <x14:cfRule type="containsText" priority="879" operator="containsText" id="{0BB8D17C-5758-482A-8290-4EB7B0A5E934}">
            <xm:f>NOT(ISERROR(SEARCH(#REF!,G1480)))</xm:f>
            <xm:f>#REF!</xm:f>
            <x14:dxf>
              <font>
                <color rgb="FF9C0006"/>
              </font>
              <fill>
                <patternFill>
                  <bgColor rgb="FFFFC7CE"/>
                </patternFill>
              </fill>
            </x14:dxf>
          </x14:cfRule>
          <x14:cfRule type="containsText" priority="880" operator="containsText" id="{7F8514EA-1511-47C3-B234-AE64F3B814A4}">
            <xm:f>NOT(ISERROR(SEARCH(#REF!,G1480)))</xm:f>
            <xm:f>#REF!</xm:f>
            <x14:dxf>
              <font>
                <color rgb="FF006100"/>
              </font>
              <fill>
                <patternFill>
                  <bgColor rgb="FFC6EFCE"/>
                </patternFill>
              </fill>
            </x14:dxf>
          </x14:cfRule>
          <xm:sqref>G1480:G1481</xm:sqref>
        </x14:conditionalFormatting>
        <x14:conditionalFormatting xmlns:xm="http://schemas.microsoft.com/office/excel/2006/main">
          <x14:cfRule type="containsText" priority="939" operator="containsText" id="{C3CE6D2D-FE4B-4E81-8CB7-53C2DE85241E}">
            <xm:f>NOT(ISERROR(SEARCH(#REF!,G1185)))</xm:f>
            <xm:f>#REF!</xm:f>
            <x14:dxf>
              <font>
                <color rgb="FF9C0006"/>
              </font>
              <fill>
                <patternFill>
                  <bgColor rgb="FFFFC7CE"/>
                </patternFill>
              </fill>
            </x14:dxf>
          </x14:cfRule>
          <x14:cfRule type="containsText" priority="940" operator="containsText" id="{C3EF13F5-7F07-4661-BD0C-8ED017326A8D}">
            <xm:f>NOT(ISERROR(SEARCH(#REF!,G1185)))</xm:f>
            <xm:f>#REF!</xm:f>
            <x14:dxf>
              <font>
                <color rgb="FF006100"/>
              </font>
              <fill>
                <patternFill>
                  <bgColor rgb="FFC6EFCE"/>
                </patternFill>
              </fill>
            </x14:dxf>
          </x14:cfRule>
          <xm:sqref>G1185:G1209</xm:sqref>
        </x14:conditionalFormatting>
        <x14:conditionalFormatting xmlns:xm="http://schemas.microsoft.com/office/excel/2006/main">
          <x14:cfRule type="containsText" priority="1082" operator="containsText" id="{B61A92F3-9FBC-445F-A7B1-E77C9418AC31}">
            <xm:f>NOT(ISERROR(SEARCH(#REF!,G451)))</xm:f>
            <xm:f>#REF!</xm:f>
            <x14:dxf>
              <font>
                <color rgb="FF9C0006"/>
              </font>
              <fill>
                <patternFill>
                  <bgColor rgb="FFFFC7CE"/>
                </patternFill>
              </fill>
            </x14:dxf>
          </x14:cfRule>
          <x14:cfRule type="containsText" priority="1083" operator="containsText" id="{2BB93D2D-1C49-448A-B219-711156E4310A}">
            <xm:f>NOT(ISERROR(SEARCH(#REF!,G451)))</xm:f>
            <xm:f>#REF!</xm:f>
            <x14:dxf>
              <font>
                <color rgb="FF006100"/>
              </font>
              <fill>
                <patternFill>
                  <bgColor rgb="FFC6EFCE"/>
                </patternFill>
              </fill>
            </x14:dxf>
          </x14:cfRule>
          <xm:sqref>G451:G468</xm:sqref>
        </x14:conditionalFormatting>
        <x14:conditionalFormatting xmlns:xm="http://schemas.microsoft.com/office/excel/2006/main">
          <x14:cfRule type="containsText" priority="1079" operator="containsText" id="{24336BA7-F69A-4F1F-BEFB-742CBFCC7646}">
            <xm:f>NOT(ISERROR(SEARCH(#REF!,G449)))</xm:f>
            <xm:f>#REF!</xm:f>
            <x14:dxf>
              <font>
                <color rgb="FF9C0006"/>
              </font>
              <fill>
                <patternFill>
                  <bgColor rgb="FFFFC7CE"/>
                </patternFill>
              </fill>
            </x14:dxf>
          </x14:cfRule>
          <x14:cfRule type="containsText" priority="1080" operator="containsText" id="{CF3D0368-9A31-464F-B1AD-33A8CF163B54}">
            <xm:f>NOT(ISERROR(SEARCH(#REF!,G449)))</xm:f>
            <xm:f>#REF!</xm:f>
            <x14:dxf>
              <font>
                <color rgb="FF006100"/>
              </font>
              <fill>
                <patternFill>
                  <bgColor rgb="FFC6EFCE"/>
                </patternFill>
              </fill>
            </x14:dxf>
          </x14:cfRule>
          <xm:sqref>G449:G450</xm:sqref>
        </x14:conditionalFormatting>
        <x14:conditionalFormatting xmlns:xm="http://schemas.microsoft.com/office/excel/2006/main">
          <x14:cfRule type="containsText" priority="1072" operator="containsText" id="{4AA95AA0-3521-4197-BD68-EE3D606F0C7A}">
            <xm:f>NOT(ISERROR(SEARCH(#REF!,I451)))</xm:f>
            <xm:f>#REF!</xm:f>
            <x14:dxf>
              <font>
                <color rgb="FF9C0006"/>
              </font>
              <fill>
                <patternFill>
                  <bgColor rgb="FFFFC7CE"/>
                </patternFill>
              </fill>
            </x14:dxf>
          </x14:cfRule>
          <x14:cfRule type="containsText" priority="1073" operator="containsText" id="{1DF9DBF1-064A-4ADC-8601-54067C8F1617}">
            <xm:f>NOT(ISERROR(SEARCH(#REF!,I451)))</xm:f>
            <xm:f>#REF!</xm:f>
            <x14:dxf>
              <font>
                <color rgb="FF006100"/>
              </font>
              <fill>
                <patternFill>
                  <bgColor rgb="FFC6EFCE"/>
                </patternFill>
              </fill>
            </x14:dxf>
          </x14:cfRule>
          <xm:sqref>I451:I468</xm:sqref>
        </x14:conditionalFormatting>
        <x14:conditionalFormatting xmlns:xm="http://schemas.microsoft.com/office/excel/2006/main">
          <x14:cfRule type="containsText" priority="1069" operator="containsText" id="{405C66D5-8296-4D97-A11B-19A7510AF377}">
            <xm:f>NOT(ISERROR(SEARCH(#REF!,I449)))</xm:f>
            <xm:f>#REF!</xm:f>
            <x14:dxf>
              <font>
                <color rgb="FF9C0006"/>
              </font>
              <fill>
                <patternFill>
                  <bgColor rgb="FFFFC7CE"/>
                </patternFill>
              </fill>
            </x14:dxf>
          </x14:cfRule>
          <x14:cfRule type="containsText" priority="1070" operator="containsText" id="{84232EED-0530-4904-BDD0-12DAA6A27CE5}">
            <xm:f>NOT(ISERROR(SEARCH(#REF!,I449)))</xm:f>
            <xm:f>#REF!</xm:f>
            <x14:dxf>
              <font>
                <color rgb="FF006100"/>
              </font>
              <fill>
                <patternFill>
                  <bgColor rgb="FFC6EFCE"/>
                </patternFill>
              </fill>
            </x14:dxf>
          </x14:cfRule>
          <xm:sqref>I449:I450</xm:sqref>
        </x14:conditionalFormatting>
        <x14:conditionalFormatting xmlns:xm="http://schemas.microsoft.com/office/excel/2006/main">
          <x14:cfRule type="containsText" priority="1062" operator="containsText" id="{9E86F9F4-507D-41B4-83D4-3103FF7F7985}">
            <xm:f>NOT(ISERROR(SEARCH(#REF!,G503)))</xm:f>
            <xm:f>#REF!</xm:f>
            <x14:dxf>
              <font>
                <color rgb="FF9C0006"/>
              </font>
              <fill>
                <patternFill>
                  <bgColor rgb="FFFFC7CE"/>
                </patternFill>
              </fill>
            </x14:dxf>
          </x14:cfRule>
          <x14:cfRule type="containsText" priority="1063" operator="containsText" id="{CB0F3C0C-468D-4B49-9E5E-C070457DEE4E}">
            <xm:f>NOT(ISERROR(SEARCH(#REF!,G503)))</xm:f>
            <xm:f>#REF!</xm:f>
            <x14:dxf>
              <font>
                <color rgb="FF006100"/>
              </font>
              <fill>
                <patternFill>
                  <bgColor rgb="FFC6EFCE"/>
                </patternFill>
              </fill>
            </x14:dxf>
          </x14:cfRule>
          <xm:sqref>G503:G504</xm:sqref>
        </x14:conditionalFormatting>
        <x14:conditionalFormatting xmlns:xm="http://schemas.microsoft.com/office/excel/2006/main">
          <x14:cfRule type="containsText" priority="1024" operator="containsText" id="{99F92A46-1278-47DB-BE14-253755F0186D}">
            <xm:f>NOT(ISERROR(SEARCH(#REF!,G559)))</xm:f>
            <xm:f>#REF!</xm:f>
            <x14:dxf>
              <font>
                <color rgb="FF9C0006"/>
              </font>
              <fill>
                <patternFill>
                  <bgColor rgb="FFFFC7CE"/>
                </patternFill>
              </fill>
            </x14:dxf>
          </x14:cfRule>
          <x14:cfRule type="containsText" priority="1025" operator="containsText" id="{AC498934-ADE9-4E6F-804C-3AEDE14B0C33}">
            <xm:f>NOT(ISERROR(SEARCH(#REF!,G559)))</xm:f>
            <xm:f>#REF!</xm:f>
            <x14:dxf>
              <font>
                <color rgb="FF006100"/>
              </font>
              <fill>
                <patternFill>
                  <bgColor rgb="FFC6EFCE"/>
                </patternFill>
              </fill>
            </x14:dxf>
          </x14:cfRule>
          <xm:sqref>G559:G560</xm:sqref>
        </x14:conditionalFormatting>
        <x14:conditionalFormatting xmlns:xm="http://schemas.microsoft.com/office/excel/2006/main">
          <x14:cfRule type="containsText" priority="1057" operator="containsText" id="{82995769-FFAF-411D-8042-22BEA20F7E65}">
            <xm:f>NOT(ISERROR(SEARCH(#REF!,I487)))</xm:f>
            <xm:f>#REF!</xm:f>
            <x14:dxf>
              <font>
                <color rgb="FF9C0006"/>
              </font>
              <fill>
                <patternFill>
                  <bgColor rgb="FFFFC7CE"/>
                </patternFill>
              </fill>
            </x14:dxf>
          </x14:cfRule>
          <x14:cfRule type="containsText" priority="1058" operator="containsText" id="{577CD5A8-1CCC-4F98-BCBA-291159A8372A}">
            <xm:f>NOT(ISERROR(SEARCH(#REF!,I487)))</xm:f>
            <xm:f>#REF!</xm:f>
            <x14:dxf>
              <font>
                <color rgb="FF006100"/>
              </font>
              <fill>
                <patternFill>
                  <bgColor rgb="FFC6EFCE"/>
                </patternFill>
              </fill>
            </x14:dxf>
          </x14:cfRule>
          <xm:sqref>I487:I504</xm:sqref>
        </x14:conditionalFormatting>
        <x14:conditionalFormatting xmlns:xm="http://schemas.microsoft.com/office/excel/2006/main">
          <x14:cfRule type="containsText" priority="1054" operator="containsText" id="{FCEC3AD1-EDF0-4A15-9040-2B9593B530E0}">
            <xm:f>NOT(ISERROR(SEARCH(#REF!,I485)))</xm:f>
            <xm:f>#REF!</xm:f>
            <x14:dxf>
              <font>
                <color rgb="FF9C0006"/>
              </font>
              <fill>
                <patternFill>
                  <bgColor rgb="FFFFC7CE"/>
                </patternFill>
              </fill>
            </x14:dxf>
          </x14:cfRule>
          <x14:cfRule type="containsText" priority="1055" operator="containsText" id="{2F013140-D9B6-4D68-A93A-63DC71926A22}">
            <xm:f>NOT(ISERROR(SEARCH(#REF!,I485)))</xm:f>
            <xm:f>#REF!</xm:f>
            <x14:dxf>
              <font>
                <color rgb="FF006100"/>
              </font>
              <fill>
                <patternFill>
                  <bgColor rgb="FFC6EFCE"/>
                </patternFill>
              </fill>
            </x14:dxf>
          </x14:cfRule>
          <xm:sqref>I485:I486</xm:sqref>
        </x14:conditionalFormatting>
        <x14:conditionalFormatting xmlns:xm="http://schemas.microsoft.com/office/excel/2006/main">
          <x14:cfRule type="containsText" priority="1047" operator="containsText" id="{54E70E8A-833E-4CDA-9A93-E3C190F67BE9}">
            <xm:f>NOT(ISERROR(SEARCH(#REF!,G527)))</xm:f>
            <xm:f>#REF!</xm:f>
            <x14:dxf>
              <font>
                <color rgb="FF9C0006"/>
              </font>
              <fill>
                <patternFill>
                  <bgColor rgb="FFFFC7CE"/>
                </patternFill>
              </fill>
            </x14:dxf>
          </x14:cfRule>
          <x14:cfRule type="containsText" priority="1048" operator="containsText" id="{2FE344B5-E7B1-4E55-949D-436F9C6A0D84}">
            <xm:f>NOT(ISERROR(SEARCH(#REF!,G527)))</xm:f>
            <xm:f>#REF!</xm:f>
            <x14:dxf>
              <font>
                <color rgb="FF006100"/>
              </font>
              <fill>
                <patternFill>
                  <bgColor rgb="FFC6EFCE"/>
                </patternFill>
              </fill>
            </x14:dxf>
          </x14:cfRule>
          <xm:sqref>G527:G544</xm:sqref>
        </x14:conditionalFormatting>
        <x14:conditionalFormatting xmlns:xm="http://schemas.microsoft.com/office/excel/2006/main">
          <x14:cfRule type="containsText" priority="1044" operator="containsText" id="{87B3C371-B448-44E4-9FC5-FFC9D8ADF7CF}">
            <xm:f>NOT(ISERROR(SEARCH(#REF!,G525)))</xm:f>
            <xm:f>#REF!</xm:f>
            <x14:dxf>
              <font>
                <color rgb="FF9C0006"/>
              </font>
              <fill>
                <patternFill>
                  <bgColor rgb="FFFFC7CE"/>
                </patternFill>
              </fill>
            </x14:dxf>
          </x14:cfRule>
          <x14:cfRule type="containsText" priority="1045" operator="containsText" id="{74399398-FEA0-49FA-BE9D-34B3416ACC9C}">
            <xm:f>NOT(ISERROR(SEARCH(#REF!,G525)))</xm:f>
            <xm:f>#REF!</xm:f>
            <x14:dxf>
              <font>
                <color rgb="FF006100"/>
              </font>
              <fill>
                <patternFill>
                  <bgColor rgb="FFC6EFCE"/>
                </patternFill>
              </fill>
            </x14:dxf>
          </x14:cfRule>
          <xm:sqref>G525:G526</xm:sqref>
        </x14:conditionalFormatting>
        <x14:conditionalFormatting xmlns:xm="http://schemas.microsoft.com/office/excel/2006/main">
          <x14:cfRule type="containsText" priority="1037" operator="containsText" id="{EAAEF698-351E-46DC-A40C-DCA08E71E2D6}">
            <xm:f>NOT(ISERROR(SEARCH(#REF!,I527)))</xm:f>
            <xm:f>#REF!</xm:f>
            <x14:dxf>
              <font>
                <color rgb="FF9C0006"/>
              </font>
              <fill>
                <patternFill>
                  <bgColor rgb="FFFFC7CE"/>
                </patternFill>
              </fill>
            </x14:dxf>
          </x14:cfRule>
          <x14:cfRule type="containsText" priority="1038" operator="containsText" id="{0AF30F4E-9DEB-4F1B-B364-FA94AF9BF1EA}">
            <xm:f>NOT(ISERROR(SEARCH(#REF!,I527)))</xm:f>
            <xm:f>#REF!</xm:f>
            <x14:dxf>
              <font>
                <color rgb="FF006100"/>
              </font>
              <fill>
                <patternFill>
                  <bgColor rgb="FFC6EFCE"/>
                </patternFill>
              </fill>
            </x14:dxf>
          </x14:cfRule>
          <xm:sqref>I527:I544</xm:sqref>
        </x14:conditionalFormatting>
        <x14:conditionalFormatting xmlns:xm="http://schemas.microsoft.com/office/excel/2006/main">
          <x14:cfRule type="containsText" priority="1034" operator="containsText" id="{6AD2F662-F652-422F-BE18-36116EE68686}">
            <xm:f>NOT(ISERROR(SEARCH(#REF!,I525)))</xm:f>
            <xm:f>#REF!</xm:f>
            <x14:dxf>
              <font>
                <color rgb="FF9C0006"/>
              </font>
              <fill>
                <patternFill>
                  <bgColor rgb="FFFFC7CE"/>
                </patternFill>
              </fill>
            </x14:dxf>
          </x14:cfRule>
          <x14:cfRule type="containsText" priority="1035" operator="containsText" id="{1E0740E2-C616-4D8E-8FAF-52EFD0C95643}">
            <xm:f>NOT(ISERROR(SEARCH(#REF!,I525)))</xm:f>
            <xm:f>#REF!</xm:f>
            <x14:dxf>
              <font>
                <color rgb="FF006100"/>
              </font>
              <fill>
                <patternFill>
                  <bgColor rgb="FFC6EFCE"/>
                </patternFill>
              </fill>
            </x14:dxf>
          </x14:cfRule>
          <xm:sqref>I525:I526</xm:sqref>
        </x14:conditionalFormatting>
        <x14:conditionalFormatting xmlns:xm="http://schemas.microsoft.com/office/excel/2006/main">
          <x14:cfRule type="containsText" priority="1027" operator="containsText" id="{7F74C49C-106A-4227-A333-BC6517296823}">
            <xm:f>NOT(ISERROR(SEARCH(#REF!,G561)))</xm:f>
            <xm:f>#REF!</xm:f>
            <x14:dxf>
              <font>
                <color rgb="FF9C0006"/>
              </font>
              <fill>
                <patternFill>
                  <bgColor rgb="FFFFC7CE"/>
                </patternFill>
              </fill>
            </x14:dxf>
          </x14:cfRule>
          <x14:cfRule type="containsText" priority="1028" operator="containsText" id="{BDC45E23-FB5A-43B6-A32C-A12FA8941E63}">
            <xm:f>NOT(ISERROR(SEARCH(#REF!,G561)))</xm:f>
            <xm:f>#REF!</xm:f>
            <x14:dxf>
              <font>
                <color rgb="FF006100"/>
              </font>
              <fill>
                <patternFill>
                  <bgColor rgb="FFC6EFCE"/>
                </patternFill>
              </fill>
            </x14:dxf>
          </x14:cfRule>
          <xm:sqref>G561:G578</xm:sqref>
        </x14:conditionalFormatting>
        <x14:conditionalFormatting xmlns:xm="http://schemas.microsoft.com/office/excel/2006/main">
          <x14:cfRule type="containsText" priority="1017" operator="containsText" id="{8F14B284-F67F-441A-9EA0-C13A7CD6D0F7}">
            <xm:f>NOT(ISERROR(SEARCH(#REF!,I561)))</xm:f>
            <xm:f>#REF!</xm:f>
            <x14:dxf>
              <font>
                <color rgb="FF9C0006"/>
              </font>
              <fill>
                <patternFill>
                  <bgColor rgb="FFFFC7CE"/>
                </patternFill>
              </fill>
            </x14:dxf>
          </x14:cfRule>
          <x14:cfRule type="containsText" priority="1018" operator="containsText" id="{74FDB421-3566-48EB-B4E1-3F3387393C7F}">
            <xm:f>NOT(ISERROR(SEARCH(#REF!,I561)))</xm:f>
            <xm:f>#REF!</xm:f>
            <x14:dxf>
              <font>
                <color rgb="FF006100"/>
              </font>
              <fill>
                <patternFill>
                  <bgColor rgb="FFC6EFCE"/>
                </patternFill>
              </fill>
            </x14:dxf>
          </x14:cfRule>
          <xm:sqref>I561:I578</xm:sqref>
        </x14:conditionalFormatting>
        <x14:conditionalFormatting xmlns:xm="http://schemas.microsoft.com/office/excel/2006/main">
          <x14:cfRule type="containsText" priority="1014" operator="containsText" id="{ED2392D8-CCE5-4C7F-9B22-F3939F634AF8}">
            <xm:f>NOT(ISERROR(SEARCH(#REF!,I559)))</xm:f>
            <xm:f>#REF!</xm:f>
            <x14:dxf>
              <font>
                <color rgb="FF9C0006"/>
              </font>
              <fill>
                <patternFill>
                  <bgColor rgb="FFFFC7CE"/>
                </patternFill>
              </fill>
            </x14:dxf>
          </x14:cfRule>
          <x14:cfRule type="containsText" priority="1015" operator="containsText" id="{2F157F06-B775-4F6A-8CA0-0694ACC887F3}">
            <xm:f>NOT(ISERROR(SEARCH(#REF!,I559)))</xm:f>
            <xm:f>#REF!</xm:f>
            <x14:dxf>
              <font>
                <color rgb="FF006100"/>
              </font>
              <fill>
                <patternFill>
                  <bgColor rgb="FFC6EFCE"/>
                </patternFill>
              </fill>
            </x14:dxf>
          </x14:cfRule>
          <xm:sqref>I559:I560</xm:sqref>
        </x14:conditionalFormatting>
        <x14:conditionalFormatting xmlns:xm="http://schemas.microsoft.com/office/excel/2006/main">
          <x14:cfRule type="containsText" priority="1007" operator="containsText" id="{4A07C71E-4DD9-4764-AD9D-2D8D1AA271B4}">
            <xm:f>NOT(ISERROR(SEARCH(#REF!,G597)))</xm:f>
            <xm:f>#REF!</xm:f>
            <x14:dxf>
              <font>
                <color rgb="FF9C0006"/>
              </font>
              <fill>
                <patternFill>
                  <bgColor rgb="FFFFC7CE"/>
                </patternFill>
              </fill>
            </x14:dxf>
          </x14:cfRule>
          <x14:cfRule type="containsText" priority="1008" operator="containsText" id="{34077744-5B0E-4BFC-A714-1DD967E914FE}">
            <xm:f>NOT(ISERROR(SEARCH(#REF!,G597)))</xm:f>
            <xm:f>#REF!</xm:f>
            <x14:dxf>
              <font>
                <color rgb="FF006100"/>
              </font>
              <fill>
                <patternFill>
                  <bgColor rgb="FFC6EFCE"/>
                </patternFill>
              </fill>
            </x14:dxf>
          </x14:cfRule>
          <xm:sqref>G597:G614</xm:sqref>
        </x14:conditionalFormatting>
        <x14:conditionalFormatting xmlns:xm="http://schemas.microsoft.com/office/excel/2006/main">
          <x14:cfRule type="containsText" priority="1004" operator="containsText" id="{B92D0956-C5C0-4EA9-9D2A-34B46E9FE522}">
            <xm:f>NOT(ISERROR(SEARCH(#REF!,G595)))</xm:f>
            <xm:f>#REF!</xm:f>
            <x14:dxf>
              <font>
                <color rgb="FF9C0006"/>
              </font>
              <fill>
                <patternFill>
                  <bgColor rgb="FFFFC7CE"/>
                </patternFill>
              </fill>
            </x14:dxf>
          </x14:cfRule>
          <x14:cfRule type="containsText" priority="1005" operator="containsText" id="{D5129381-1222-486F-B394-9ED124127E8E}">
            <xm:f>NOT(ISERROR(SEARCH(#REF!,G595)))</xm:f>
            <xm:f>#REF!</xm:f>
            <x14:dxf>
              <font>
                <color rgb="FF006100"/>
              </font>
              <fill>
                <patternFill>
                  <bgColor rgb="FFC6EFCE"/>
                </patternFill>
              </fill>
            </x14:dxf>
          </x14:cfRule>
          <xm:sqref>G595:G596</xm:sqref>
        </x14:conditionalFormatting>
        <x14:conditionalFormatting xmlns:xm="http://schemas.microsoft.com/office/excel/2006/main">
          <x14:cfRule type="containsText" priority="997" operator="containsText" id="{DB71AF15-076D-4452-856B-58B6AF7696D9}">
            <xm:f>NOT(ISERROR(SEARCH(#REF!,I597)))</xm:f>
            <xm:f>#REF!</xm:f>
            <x14:dxf>
              <font>
                <color rgb="FF9C0006"/>
              </font>
              <fill>
                <patternFill>
                  <bgColor rgb="FFFFC7CE"/>
                </patternFill>
              </fill>
            </x14:dxf>
          </x14:cfRule>
          <x14:cfRule type="containsText" priority="998" operator="containsText" id="{257944B4-AED6-4EF7-B09B-2323FC41BD15}">
            <xm:f>NOT(ISERROR(SEARCH(#REF!,I597)))</xm:f>
            <xm:f>#REF!</xm:f>
            <x14:dxf>
              <font>
                <color rgb="FF006100"/>
              </font>
              <fill>
                <patternFill>
                  <bgColor rgb="FFC6EFCE"/>
                </patternFill>
              </fill>
            </x14:dxf>
          </x14:cfRule>
          <xm:sqref>I597:I614</xm:sqref>
        </x14:conditionalFormatting>
        <x14:conditionalFormatting xmlns:xm="http://schemas.microsoft.com/office/excel/2006/main">
          <x14:cfRule type="containsText" priority="994" operator="containsText" id="{3ED86AC0-20BE-4222-8D3B-7564585C20A0}">
            <xm:f>NOT(ISERROR(SEARCH(#REF!,I595)))</xm:f>
            <xm:f>#REF!</xm:f>
            <x14:dxf>
              <font>
                <color rgb="FF9C0006"/>
              </font>
              <fill>
                <patternFill>
                  <bgColor rgb="FFFFC7CE"/>
                </patternFill>
              </fill>
            </x14:dxf>
          </x14:cfRule>
          <x14:cfRule type="containsText" priority="995" operator="containsText" id="{55BDE652-379A-4B3F-B4DA-1AC222041082}">
            <xm:f>NOT(ISERROR(SEARCH(#REF!,I595)))</xm:f>
            <xm:f>#REF!</xm:f>
            <x14:dxf>
              <font>
                <color rgb="FF006100"/>
              </font>
              <fill>
                <patternFill>
                  <bgColor rgb="FFC6EFCE"/>
                </patternFill>
              </fill>
            </x14:dxf>
          </x14:cfRule>
          <xm:sqref>I595:I596</xm:sqref>
        </x14:conditionalFormatting>
        <x14:conditionalFormatting xmlns:xm="http://schemas.microsoft.com/office/excel/2006/main">
          <x14:cfRule type="containsText" priority="987" operator="containsText" id="{DC38D409-C453-483F-828F-D3F08D4128F9}">
            <xm:f>NOT(ISERROR(SEARCH(#REF!,G631)))</xm:f>
            <xm:f>#REF!</xm:f>
            <x14:dxf>
              <font>
                <color rgb="FF9C0006"/>
              </font>
              <fill>
                <patternFill>
                  <bgColor rgb="FFFFC7CE"/>
                </patternFill>
              </fill>
            </x14:dxf>
          </x14:cfRule>
          <x14:cfRule type="containsText" priority="988" operator="containsText" id="{9964EF61-AECA-440D-939E-686E7E2525AE}">
            <xm:f>NOT(ISERROR(SEARCH(#REF!,G631)))</xm:f>
            <xm:f>#REF!</xm:f>
            <x14:dxf>
              <font>
                <color rgb="FF006100"/>
              </font>
              <fill>
                <patternFill>
                  <bgColor rgb="FFC6EFCE"/>
                </patternFill>
              </fill>
            </x14:dxf>
          </x14:cfRule>
          <xm:sqref>G631:G648</xm:sqref>
        </x14:conditionalFormatting>
        <x14:conditionalFormatting xmlns:xm="http://schemas.microsoft.com/office/excel/2006/main">
          <x14:cfRule type="containsText" priority="984" operator="containsText" id="{6DFCB720-0D82-45B9-9550-F206B7F4F564}">
            <xm:f>NOT(ISERROR(SEARCH(#REF!,G629)))</xm:f>
            <xm:f>#REF!</xm:f>
            <x14:dxf>
              <font>
                <color rgb="FF9C0006"/>
              </font>
              <fill>
                <patternFill>
                  <bgColor rgb="FFFFC7CE"/>
                </patternFill>
              </fill>
            </x14:dxf>
          </x14:cfRule>
          <x14:cfRule type="containsText" priority="985" operator="containsText" id="{6B9596A6-9467-4EBC-9F99-0139B8728AC1}">
            <xm:f>NOT(ISERROR(SEARCH(#REF!,G629)))</xm:f>
            <xm:f>#REF!</xm:f>
            <x14:dxf>
              <font>
                <color rgb="FF006100"/>
              </font>
              <fill>
                <patternFill>
                  <bgColor rgb="FFC6EFCE"/>
                </patternFill>
              </fill>
            </x14:dxf>
          </x14:cfRule>
          <xm:sqref>G629:G630</xm:sqref>
        </x14:conditionalFormatting>
        <x14:conditionalFormatting xmlns:xm="http://schemas.microsoft.com/office/excel/2006/main">
          <x14:cfRule type="containsText" priority="977" operator="containsText" id="{85D2945B-F0C1-4FCB-9030-0F219DA23A40}">
            <xm:f>NOT(ISERROR(SEARCH(#REF!,I631)))</xm:f>
            <xm:f>#REF!</xm:f>
            <x14:dxf>
              <font>
                <color rgb="FF9C0006"/>
              </font>
              <fill>
                <patternFill>
                  <bgColor rgb="FFFFC7CE"/>
                </patternFill>
              </fill>
            </x14:dxf>
          </x14:cfRule>
          <x14:cfRule type="containsText" priority="978" operator="containsText" id="{3BC83F5F-9000-4A52-BB4C-F7F7A57D9400}">
            <xm:f>NOT(ISERROR(SEARCH(#REF!,I631)))</xm:f>
            <xm:f>#REF!</xm:f>
            <x14:dxf>
              <font>
                <color rgb="FF006100"/>
              </font>
              <fill>
                <patternFill>
                  <bgColor rgb="FFC6EFCE"/>
                </patternFill>
              </fill>
            </x14:dxf>
          </x14:cfRule>
          <xm:sqref>I631:I648</xm:sqref>
        </x14:conditionalFormatting>
        <x14:conditionalFormatting xmlns:xm="http://schemas.microsoft.com/office/excel/2006/main">
          <x14:cfRule type="containsText" priority="974" operator="containsText" id="{D039F266-71A7-4E25-A9CB-6BD367DA5D3F}">
            <xm:f>NOT(ISERROR(SEARCH(#REF!,I629)))</xm:f>
            <xm:f>#REF!</xm:f>
            <x14:dxf>
              <font>
                <color rgb="FF9C0006"/>
              </font>
              <fill>
                <patternFill>
                  <bgColor rgb="FFFFC7CE"/>
                </patternFill>
              </fill>
            </x14:dxf>
          </x14:cfRule>
          <x14:cfRule type="containsText" priority="975" operator="containsText" id="{16EBF2F4-3C14-4A40-B72F-0AA354BC440F}">
            <xm:f>NOT(ISERROR(SEARCH(#REF!,I629)))</xm:f>
            <xm:f>#REF!</xm:f>
            <x14:dxf>
              <font>
                <color rgb="FF006100"/>
              </font>
              <fill>
                <patternFill>
                  <bgColor rgb="FFC6EFCE"/>
                </patternFill>
              </fill>
            </x14:dxf>
          </x14:cfRule>
          <xm:sqref>I629:I630</xm:sqref>
        </x14:conditionalFormatting>
        <x14:conditionalFormatting xmlns:xm="http://schemas.microsoft.com/office/excel/2006/main">
          <x14:cfRule type="containsText" priority="967" operator="containsText" id="{4E88E000-C8EC-4271-8267-B0174817C59A}">
            <xm:f>NOT(ISERROR(SEARCH(#REF!,G665)))</xm:f>
            <xm:f>#REF!</xm:f>
            <x14:dxf>
              <font>
                <color rgb="FF9C0006"/>
              </font>
              <fill>
                <patternFill>
                  <bgColor rgb="FFFFC7CE"/>
                </patternFill>
              </fill>
            </x14:dxf>
          </x14:cfRule>
          <x14:cfRule type="containsText" priority="968" operator="containsText" id="{09B9D810-3501-4754-852B-3124DE465682}">
            <xm:f>NOT(ISERROR(SEARCH(#REF!,G665)))</xm:f>
            <xm:f>#REF!</xm:f>
            <x14:dxf>
              <font>
                <color rgb="FF006100"/>
              </font>
              <fill>
                <patternFill>
                  <bgColor rgb="FFC6EFCE"/>
                </patternFill>
              </fill>
            </x14:dxf>
          </x14:cfRule>
          <xm:sqref>G665:G682</xm:sqref>
        </x14:conditionalFormatting>
        <x14:conditionalFormatting xmlns:xm="http://schemas.microsoft.com/office/excel/2006/main">
          <x14:cfRule type="containsText" priority="964" operator="containsText" id="{508BEC52-B75B-4607-B308-EC56471460EC}">
            <xm:f>NOT(ISERROR(SEARCH(#REF!,G663)))</xm:f>
            <xm:f>#REF!</xm:f>
            <x14:dxf>
              <font>
                <color rgb="FF9C0006"/>
              </font>
              <fill>
                <patternFill>
                  <bgColor rgb="FFFFC7CE"/>
                </patternFill>
              </fill>
            </x14:dxf>
          </x14:cfRule>
          <x14:cfRule type="containsText" priority="965" operator="containsText" id="{2A9C4774-9131-4935-B4B4-E71DD19B052E}">
            <xm:f>NOT(ISERROR(SEARCH(#REF!,G663)))</xm:f>
            <xm:f>#REF!</xm:f>
            <x14:dxf>
              <font>
                <color rgb="FF006100"/>
              </font>
              <fill>
                <patternFill>
                  <bgColor rgb="FFC6EFCE"/>
                </patternFill>
              </fill>
            </x14:dxf>
          </x14:cfRule>
          <xm:sqref>G663:G664</xm:sqref>
        </x14:conditionalFormatting>
        <x14:conditionalFormatting xmlns:xm="http://schemas.microsoft.com/office/excel/2006/main">
          <x14:cfRule type="containsText" priority="957" operator="containsText" id="{6086E9B2-904F-4793-972B-59EBC1489491}">
            <xm:f>NOT(ISERROR(SEARCH(#REF!,I665)))</xm:f>
            <xm:f>#REF!</xm:f>
            <x14:dxf>
              <font>
                <color rgb="FF9C0006"/>
              </font>
              <fill>
                <patternFill>
                  <bgColor rgb="FFFFC7CE"/>
                </patternFill>
              </fill>
            </x14:dxf>
          </x14:cfRule>
          <x14:cfRule type="containsText" priority="958" operator="containsText" id="{615BF505-AD35-482D-B8E7-2A8AACAC8724}">
            <xm:f>NOT(ISERROR(SEARCH(#REF!,I665)))</xm:f>
            <xm:f>#REF!</xm:f>
            <x14:dxf>
              <font>
                <color rgb="FF006100"/>
              </font>
              <fill>
                <patternFill>
                  <bgColor rgb="FFC6EFCE"/>
                </patternFill>
              </fill>
            </x14:dxf>
          </x14:cfRule>
          <xm:sqref>I665:I682</xm:sqref>
        </x14:conditionalFormatting>
        <x14:conditionalFormatting xmlns:xm="http://schemas.microsoft.com/office/excel/2006/main">
          <x14:cfRule type="containsText" priority="942" operator="containsText" id="{E99494BE-59B9-4113-8D55-9DE5F693632E}">
            <xm:f>NOT(ISERROR(SEARCH(#REF!,I1044)))</xm:f>
            <xm:f>#REF!</xm:f>
            <x14:dxf>
              <font>
                <color rgb="FF9C0006"/>
              </font>
              <fill>
                <patternFill>
                  <bgColor rgb="FFFFC7CE"/>
                </patternFill>
              </fill>
            </x14:dxf>
          </x14:cfRule>
          <x14:cfRule type="containsText" priority="943" operator="containsText" id="{DDF1DE3C-11F5-4B17-8619-1682DED37B9B}">
            <xm:f>NOT(ISERROR(SEARCH(#REF!,I1044)))</xm:f>
            <xm:f>#REF!</xm:f>
            <x14:dxf>
              <font>
                <color rgb="FF006100"/>
              </font>
              <fill>
                <patternFill>
                  <bgColor rgb="FFC6EFCE"/>
                </patternFill>
              </fill>
            </x14:dxf>
          </x14:cfRule>
          <xm:sqref>I1044:I1047</xm:sqref>
        </x14:conditionalFormatting>
        <x14:conditionalFormatting xmlns:xm="http://schemas.microsoft.com/office/excel/2006/main">
          <x14:cfRule type="containsText" priority="947" operator="containsText" id="{502FBDAD-58F8-4C4B-B656-C276B88E699A}">
            <xm:f>NOT(ISERROR(SEARCH(#REF!,G1044)))</xm:f>
            <xm:f>#REF!</xm:f>
            <x14:dxf>
              <font>
                <color rgb="FF9C0006"/>
              </font>
              <fill>
                <patternFill>
                  <bgColor rgb="FFFFC7CE"/>
                </patternFill>
              </fill>
            </x14:dxf>
          </x14:cfRule>
          <x14:cfRule type="containsText" priority="948" operator="containsText" id="{5AA4DFDF-955C-4D16-9676-4582072C95D8}">
            <xm:f>NOT(ISERROR(SEARCH(#REF!,G1044)))</xm:f>
            <xm:f>#REF!</xm:f>
            <x14:dxf>
              <font>
                <color rgb="FF006100"/>
              </font>
              <fill>
                <patternFill>
                  <bgColor rgb="FFC6EFCE"/>
                </patternFill>
              </fill>
            </x14:dxf>
          </x14:cfRule>
          <xm:sqref>G1044:G1047</xm:sqref>
        </x14:conditionalFormatting>
        <x14:conditionalFormatting xmlns:xm="http://schemas.microsoft.com/office/excel/2006/main">
          <x14:cfRule type="containsText" priority="919" operator="containsText" id="{D9554E79-EAF3-47A6-9324-40EBB30F905D}">
            <xm:f>NOT(ISERROR(SEARCH(#REF!,I1226)))</xm:f>
            <xm:f>#REF!</xm:f>
            <x14:dxf>
              <font>
                <color rgb="FF9C0006"/>
              </font>
              <fill>
                <patternFill>
                  <bgColor rgb="FFFFC7CE"/>
                </patternFill>
              </fill>
            </x14:dxf>
          </x14:cfRule>
          <x14:cfRule type="containsText" priority="920" operator="containsText" id="{D499604B-A318-4F30-AF63-E59C66F895DE}">
            <xm:f>NOT(ISERROR(SEARCH(#REF!,I1226)))</xm:f>
            <xm:f>#REF!</xm:f>
            <x14:dxf>
              <font>
                <color rgb="FF006100"/>
              </font>
              <fill>
                <patternFill>
                  <bgColor rgb="FFC6EFCE"/>
                </patternFill>
              </fill>
            </x14:dxf>
          </x14:cfRule>
          <xm:sqref>I1226:I1227</xm:sqref>
        </x14:conditionalFormatting>
        <x14:conditionalFormatting xmlns:xm="http://schemas.microsoft.com/office/excel/2006/main">
          <x14:cfRule type="containsText" priority="927" operator="containsText" id="{9378848B-D6E8-46FA-B12D-5C645FB64395}">
            <xm:f>NOT(ISERROR(SEARCH(#REF!,G1310)))</xm:f>
            <xm:f>#REF!</xm:f>
            <x14:dxf>
              <font>
                <color rgb="FF9C0006"/>
              </font>
              <fill>
                <patternFill>
                  <bgColor rgb="FFFFC7CE"/>
                </patternFill>
              </fill>
            </x14:dxf>
          </x14:cfRule>
          <x14:cfRule type="containsText" priority="928" operator="containsText" id="{E7BDA947-0FD6-4BD0-A1EF-12674FC3C569}">
            <xm:f>NOT(ISERROR(SEARCH(#REF!,G1310)))</xm:f>
            <xm:f>#REF!</xm:f>
            <x14:dxf>
              <font>
                <color rgb="FF006100"/>
              </font>
              <fill>
                <patternFill>
                  <bgColor rgb="FFC6EFCE"/>
                </patternFill>
              </fill>
            </x14:dxf>
          </x14:cfRule>
          <xm:sqref>G1310:G1314</xm:sqref>
        </x14:conditionalFormatting>
        <x14:conditionalFormatting xmlns:xm="http://schemas.microsoft.com/office/excel/2006/main">
          <x14:cfRule type="containsText" priority="934" operator="containsText" id="{51D32946-2AAC-45CC-BF25-EB8EDB92C365}">
            <xm:f>NOT(ISERROR(SEARCH(#REF!,I1185)))</xm:f>
            <xm:f>#REF!</xm:f>
            <x14:dxf>
              <font>
                <color rgb="FF9C0006"/>
              </font>
              <fill>
                <patternFill>
                  <bgColor rgb="FFFFC7CE"/>
                </patternFill>
              </fill>
            </x14:dxf>
          </x14:cfRule>
          <x14:cfRule type="containsText" priority="935" operator="containsText" id="{FBF6D0CD-6FD9-41A6-B0B5-38A7870F801C}">
            <xm:f>NOT(ISERROR(SEARCH(#REF!,I1185)))</xm:f>
            <xm:f>#REF!</xm:f>
            <x14:dxf>
              <font>
                <color rgb="FF006100"/>
              </font>
              <fill>
                <patternFill>
                  <bgColor rgb="FFC6EFCE"/>
                </patternFill>
              </fill>
            </x14:dxf>
          </x14:cfRule>
          <xm:sqref>I1185:I1209</xm:sqref>
        </x14:conditionalFormatting>
        <x14:conditionalFormatting xmlns:xm="http://schemas.microsoft.com/office/excel/2006/main">
          <x14:cfRule type="containsText" priority="922" operator="containsText" id="{61A266A5-FF98-4A86-94AF-6E3E7C8ABAD4}">
            <xm:f>NOT(ISERROR(SEARCH(#REF!,I1228)))</xm:f>
            <xm:f>#REF!</xm:f>
            <x14:dxf>
              <font>
                <color rgb="FF9C0006"/>
              </font>
              <fill>
                <patternFill>
                  <bgColor rgb="FFFFC7CE"/>
                </patternFill>
              </fill>
            </x14:dxf>
          </x14:cfRule>
          <x14:cfRule type="containsText" priority="923" operator="containsText" id="{7ADA87CF-D044-4371-8D94-0D80105BA597}">
            <xm:f>NOT(ISERROR(SEARCH(#REF!,I1228)))</xm:f>
            <xm:f>#REF!</xm:f>
            <x14:dxf>
              <font>
                <color rgb="FF006100"/>
              </font>
              <fill>
                <patternFill>
                  <bgColor rgb="FFC6EFCE"/>
                </patternFill>
              </fill>
            </x14:dxf>
          </x14:cfRule>
          <xm:sqref>I1228:I1314</xm:sqref>
        </x14:conditionalFormatting>
        <x14:conditionalFormatting xmlns:xm="http://schemas.microsoft.com/office/excel/2006/main">
          <x14:cfRule type="containsText" priority="914" operator="containsText" id="{99D2B68F-E196-4B7D-A506-45C424E007A8}">
            <xm:f>NOT(ISERROR(SEARCH(#REF!,G1416)))</xm:f>
            <xm:f>#REF!</xm:f>
            <x14:dxf>
              <font>
                <color rgb="FF9C0006"/>
              </font>
              <fill>
                <patternFill>
                  <bgColor rgb="FFFFC7CE"/>
                </patternFill>
              </fill>
            </x14:dxf>
          </x14:cfRule>
          <x14:cfRule type="containsText" priority="915" operator="containsText" id="{029FDC9B-A129-4F85-950E-C78A165AE1B6}">
            <xm:f>NOT(ISERROR(SEARCH(#REF!,G1416)))</xm:f>
            <xm:f>#REF!</xm:f>
            <x14:dxf>
              <font>
                <color rgb="FF006100"/>
              </font>
              <fill>
                <patternFill>
                  <bgColor rgb="FFC6EFCE"/>
                </patternFill>
              </fill>
            </x14:dxf>
          </x14:cfRule>
          <xm:sqref>G1416:G1424</xm:sqref>
        </x14:conditionalFormatting>
        <x14:conditionalFormatting xmlns:xm="http://schemas.microsoft.com/office/excel/2006/main">
          <x14:cfRule type="containsText" priority="909" operator="containsText" id="{A1C002AE-50DD-489F-80F2-2C908A99CE7F}">
            <xm:f>NOT(ISERROR(SEARCH(#REF!,I1416)))</xm:f>
            <xm:f>#REF!</xm:f>
            <x14:dxf>
              <font>
                <color rgb="FF9C0006"/>
              </font>
              <fill>
                <patternFill>
                  <bgColor rgb="FFFFC7CE"/>
                </patternFill>
              </fill>
            </x14:dxf>
          </x14:cfRule>
          <x14:cfRule type="containsText" priority="910" operator="containsText" id="{CB75B120-C8C5-42A9-AABC-52E03EB31CB1}">
            <xm:f>NOT(ISERROR(SEARCH(#REF!,I1416)))</xm:f>
            <xm:f>#REF!</xm:f>
            <x14:dxf>
              <font>
                <color rgb="FF006100"/>
              </font>
              <fill>
                <patternFill>
                  <bgColor rgb="FFC6EFCE"/>
                </patternFill>
              </fill>
            </x14:dxf>
          </x14:cfRule>
          <xm:sqref>I1416:I1424</xm:sqref>
        </x14:conditionalFormatting>
        <x14:conditionalFormatting xmlns:xm="http://schemas.microsoft.com/office/excel/2006/main">
          <x14:cfRule type="containsText" priority="902" operator="containsText" id="{177A458D-82DA-4E06-AB84-0450782F418B}">
            <xm:f>NOT(ISERROR(SEARCH(#REF!,G1442)))</xm:f>
            <xm:f>#REF!</xm:f>
            <x14:dxf>
              <font>
                <color rgb="FF9C0006"/>
              </font>
              <fill>
                <patternFill>
                  <bgColor rgb="FFFFC7CE"/>
                </patternFill>
              </fill>
            </x14:dxf>
          </x14:cfRule>
          <x14:cfRule type="containsText" priority="903" operator="containsText" id="{4808A791-5819-496A-AC32-E47D1FA3E267}">
            <xm:f>NOT(ISERROR(SEARCH(#REF!,G1442)))</xm:f>
            <xm:f>#REF!</xm:f>
            <x14:dxf>
              <font>
                <color rgb="FF006100"/>
              </font>
              <fill>
                <patternFill>
                  <bgColor rgb="FFC6EFCE"/>
                </patternFill>
              </fill>
            </x14:dxf>
          </x14:cfRule>
          <xm:sqref>G1442:G1459</xm:sqref>
        </x14:conditionalFormatting>
        <x14:conditionalFormatting xmlns:xm="http://schemas.microsoft.com/office/excel/2006/main">
          <x14:cfRule type="containsText" priority="899" operator="containsText" id="{9E4378B6-20D8-47D0-A6F6-8D50B9C417F6}">
            <xm:f>NOT(ISERROR(SEARCH(#REF!,G1440)))</xm:f>
            <xm:f>#REF!</xm:f>
            <x14:dxf>
              <font>
                <color rgb="FF9C0006"/>
              </font>
              <fill>
                <patternFill>
                  <bgColor rgb="FFFFC7CE"/>
                </patternFill>
              </fill>
            </x14:dxf>
          </x14:cfRule>
          <x14:cfRule type="containsText" priority="900" operator="containsText" id="{861CFA9E-CE0E-44B6-8174-B977FF295DF0}">
            <xm:f>NOT(ISERROR(SEARCH(#REF!,G1440)))</xm:f>
            <xm:f>#REF!</xm:f>
            <x14:dxf>
              <font>
                <color rgb="FF006100"/>
              </font>
              <fill>
                <patternFill>
                  <bgColor rgb="FFC6EFCE"/>
                </patternFill>
              </fill>
            </x14:dxf>
          </x14:cfRule>
          <xm:sqref>G1440:G1441</xm:sqref>
        </x14:conditionalFormatting>
        <x14:conditionalFormatting xmlns:xm="http://schemas.microsoft.com/office/excel/2006/main">
          <x14:cfRule type="containsText" priority="872" operator="containsText" id="{E4FA07E7-9816-404A-B6EC-C99AB686D187}">
            <xm:f>NOT(ISERROR(SEARCH(#REF!,I1482)))</xm:f>
            <xm:f>#REF!</xm:f>
            <x14:dxf>
              <font>
                <color rgb="FF9C0006"/>
              </font>
              <fill>
                <patternFill>
                  <bgColor rgb="FFFFC7CE"/>
                </patternFill>
              </fill>
            </x14:dxf>
          </x14:cfRule>
          <x14:cfRule type="containsText" priority="873" operator="containsText" id="{F5A788F8-91A8-4E57-A427-AD3789B330E2}">
            <xm:f>NOT(ISERROR(SEARCH(#REF!,I1482)))</xm:f>
            <xm:f>#REF!</xm:f>
            <x14:dxf>
              <font>
                <color rgb="FF006100"/>
              </font>
              <fill>
                <patternFill>
                  <bgColor rgb="FFC6EFCE"/>
                </patternFill>
              </fill>
            </x14:dxf>
          </x14:cfRule>
          <xm:sqref>I1482:I1499</xm:sqref>
        </x14:conditionalFormatting>
        <x14:conditionalFormatting xmlns:xm="http://schemas.microsoft.com/office/excel/2006/main">
          <x14:cfRule type="containsText" priority="869" operator="containsText" id="{FB90DE8E-FCB7-4E0F-960F-4ED2C4EBE234}">
            <xm:f>NOT(ISERROR(SEARCH(#REF!,I1480)))</xm:f>
            <xm:f>#REF!</xm:f>
            <x14:dxf>
              <font>
                <color rgb="FF9C0006"/>
              </font>
              <fill>
                <patternFill>
                  <bgColor rgb="FFFFC7CE"/>
                </patternFill>
              </fill>
            </x14:dxf>
          </x14:cfRule>
          <x14:cfRule type="containsText" priority="870" operator="containsText" id="{30D8C851-C0AB-4AFA-AB32-16A3A9EB11FC}">
            <xm:f>NOT(ISERROR(SEARCH(#REF!,I1480)))</xm:f>
            <xm:f>#REF!</xm:f>
            <x14:dxf>
              <font>
                <color rgb="FF006100"/>
              </font>
              <fill>
                <patternFill>
                  <bgColor rgb="FFC6EFCE"/>
                </patternFill>
              </fill>
            </x14:dxf>
          </x14:cfRule>
          <xm:sqref>I1480:I1481</xm:sqref>
        </x14:conditionalFormatting>
        <x14:conditionalFormatting xmlns:xm="http://schemas.microsoft.com/office/excel/2006/main">
          <x14:cfRule type="containsText" priority="862" operator="containsText" id="{BE98FD4D-8E93-4201-9C24-B468E268D0FF}">
            <xm:f>NOT(ISERROR(SEARCH(#REF!,G1518)))</xm:f>
            <xm:f>#REF!</xm:f>
            <x14:dxf>
              <font>
                <color rgb="FF9C0006"/>
              </font>
              <fill>
                <patternFill>
                  <bgColor rgb="FFFFC7CE"/>
                </patternFill>
              </fill>
            </x14:dxf>
          </x14:cfRule>
          <x14:cfRule type="containsText" priority="863" operator="containsText" id="{4A4602DC-1955-435C-8AC6-821293A13BD5}">
            <xm:f>NOT(ISERROR(SEARCH(#REF!,G1518)))</xm:f>
            <xm:f>#REF!</xm:f>
            <x14:dxf>
              <font>
                <color rgb="FF006100"/>
              </font>
              <fill>
                <patternFill>
                  <bgColor rgb="FFC6EFCE"/>
                </patternFill>
              </fill>
            </x14:dxf>
          </x14:cfRule>
          <xm:sqref>G1518:G1535</xm:sqref>
        </x14:conditionalFormatting>
        <x14:conditionalFormatting xmlns:xm="http://schemas.microsoft.com/office/excel/2006/main">
          <x14:cfRule type="containsText" priority="859" operator="containsText" id="{E72A704F-0A0F-4474-AC81-9EC21214C8DB}">
            <xm:f>NOT(ISERROR(SEARCH(#REF!,G1516)))</xm:f>
            <xm:f>#REF!</xm:f>
            <x14:dxf>
              <font>
                <color rgb="FF9C0006"/>
              </font>
              <fill>
                <patternFill>
                  <bgColor rgb="FFFFC7CE"/>
                </patternFill>
              </fill>
            </x14:dxf>
          </x14:cfRule>
          <x14:cfRule type="containsText" priority="860" operator="containsText" id="{07621191-A1A2-4546-90F4-DDCA62388CF5}">
            <xm:f>NOT(ISERROR(SEARCH(#REF!,G1516)))</xm:f>
            <xm:f>#REF!</xm:f>
            <x14:dxf>
              <font>
                <color rgb="FF006100"/>
              </font>
              <fill>
                <patternFill>
                  <bgColor rgb="FFC6EFCE"/>
                </patternFill>
              </fill>
            </x14:dxf>
          </x14:cfRule>
          <xm:sqref>G1516:G1517</xm:sqref>
        </x14:conditionalFormatting>
        <x14:conditionalFormatting xmlns:xm="http://schemas.microsoft.com/office/excel/2006/main">
          <x14:cfRule type="containsText" priority="852" operator="containsText" id="{D978BABC-01E8-4149-AD97-C09C0F8C5E36}">
            <xm:f>NOT(ISERROR(SEARCH(#REF!,I1518)))</xm:f>
            <xm:f>#REF!</xm:f>
            <x14:dxf>
              <font>
                <color rgb="FF9C0006"/>
              </font>
              <fill>
                <patternFill>
                  <bgColor rgb="FFFFC7CE"/>
                </patternFill>
              </fill>
            </x14:dxf>
          </x14:cfRule>
          <x14:cfRule type="containsText" priority="853" operator="containsText" id="{C46D712E-986D-491F-A676-91DE4CA02903}">
            <xm:f>NOT(ISERROR(SEARCH(#REF!,I1518)))</xm:f>
            <xm:f>#REF!</xm:f>
            <x14:dxf>
              <font>
                <color rgb="FF006100"/>
              </font>
              <fill>
                <patternFill>
                  <bgColor rgb="FFC6EFCE"/>
                </patternFill>
              </fill>
            </x14:dxf>
          </x14:cfRule>
          <xm:sqref>I1518:I1535</xm:sqref>
        </x14:conditionalFormatting>
        <x14:conditionalFormatting xmlns:xm="http://schemas.microsoft.com/office/excel/2006/main">
          <x14:cfRule type="containsText" priority="849" operator="containsText" id="{39165083-0572-4C79-96B7-BBF3EA203B7D}">
            <xm:f>NOT(ISERROR(SEARCH(#REF!,I1516)))</xm:f>
            <xm:f>#REF!</xm:f>
            <x14:dxf>
              <font>
                <color rgb="FF9C0006"/>
              </font>
              <fill>
                <patternFill>
                  <bgColor rgb="FFFFC7CE"/>
                </patternFill>
              </fill>
            </x14:dxf>
          </x14:cfRule>
          <x14:cfRule type="containsText" priority="850" operator="containsText" id="{644ED343-C951-489D-9693-456B594ECAE9}">
            <xm:f>NOT(ISERROR(SEARCH(#REF!,I1516)))</xm:f>
            <xm:f>#REF!</xm:f>
            <x14:dxf>
              <font>
                <color rgb="FF006100"/>
              </font>
              <fill>
                <patternFill>
                  <bgColor rgb="FFC6EFCE"/>
                </patternFill>
              </fill>
            </x14:dxf>
          </x14:cfRule>
          <xm:sqref>I1516:I1517</xm:sqref>
        </x14:conditionalFormatting>
        <x14:conditionalFormatting xmlns:xm="http://schemas.microsoft.com/office/excel/2006/main">
          <x14:cfRule type="containsText" priority="842" operator="containsText" id="{65AF68DA-B918-40C9-B61F-D0DAFAA3029A}">
            <xm:f>NOT(ISERROR(SEARCH(#REF!,G1562)))</xm:f>
            <xm:f>#REF!</xm:f>
            <x14:dxf>
              <font>
                <color rgb="FF9C0006"/>
              </font>
              <fill>
                <patternFill>
                  <bgColor rgb="FFFFC7CE"/>
                </patternFill>
              </fill>
            </x14:dxf>
          </x14:cfRule>
          <x14:cfRule type="containsText" priority="843" operator="containsText" id="{2A0C797A-12BB-4382-A2F1-65B00B41A4AD}">
            <xm:f>NOT(ISERROR(SEARCH(#REF!,G1562)))</xm:f>
            <xm:f>#REF!</xm:f>
            <x14:dxf>
              <font>
                <color rgb="FF006100"/>
              </font>
              <fill>
                <patternFill>
                  <bgColor rgb="FFC6EFCE"/>
                </patternFill>
              </fill>
            </x14:dxf>
          </x14:cfRule>
          <xm:sqref>G1562:G1573</xm:sqref>
        </x14:conditionalFormatting>
        <x14:conditionalFormatting xmlns:xm="http://schemas.microsoft.com/office/excel/2006/main">
          <x14:cfRule type="containsText" priority="837" operator="containsText" id="{505C01C1-773C-43C9-859E-78817EEB486C}">
            <xm:f>NOT(ISERROR(SEARCH(#REF!,I1562)))</xm:f>
            <xm:f>#REF!</xm:f>
            <x14:dxf>
              <font>
                <color rgb="FF9C0006"/>
              </font>
              <fill>
                <patternFill>
                  <bgColor rgb="FFFFC7CE"/>
                </patternFill>
              </fill>
            </x14:dxf>
          </x14:cfRule>
          <x14:cfRule type="containsText" priority="838" operator="containsText" id="{CB691BED-B27F-4C24-B4B6-F06FA79311E9}">
            <xm:f>NOT(ISERROR(SEARCH(#REF!,I1562)))</xm:f>
            <xm:f>#REF!</xm:f>
            <x14:dxf>
              <font>
                <color rgb="FF006100"/>
              </font>
              <fill>
                <patternFill>
                  <bgColor rgb="FFC6EFCE"/>
                </patternFill>
              </fill>
            </x14:dxf>
          </x14:cfRule>
          <xm:sqref>I1562:I1573</xm:sqref>
        </x14:conditionalFormatting>
        <x14:conditionalFormatting xmlns:xm="http://schemas.microsoft.com/office/excel/2006/main">
          <x14:cfRule type="containsText" priority="832" operator="containsText" id="{626CDBF4-F803-46BD-9334-32EA73A061C9}">
            <xm:f>NOT(ISERROR(SEARCH(#REF!,G1607)))</xm:f>
            <xm:f>#REF!</xm:f>
            <x14:dxf>
              <font>
                <color rgb="FF9C0006"/>
              </font>
              <fill>
                <patternFill>
                  <bgColor rgb="FFFFC7CE"/>
                </patternFill>
              </fill>
            </x14:dxf>
          </x14:cfRule>
          <x14:cfRule type="containsText" priority="833" operator="containsText" id="{57236D51-CF58-426A-BB1A-39B95DB935F8}">
            <xm:f>NOT(ISERROR(SEARCH(#REF!,G1607)))</xm:f>
            <xm:f>#REF!</xm:f>
            <x14:dxf>
              <font>
                <color rgb="FF006100"/>
              </font>
              <fill>
                <patternFill>
                  <bgColor rgb="FFC6EFCE"/>
                </patternFill>
              </fill>
            </x14:dxf>
          </x14:cfRule>
          <xm:sqref>G1607:G1608</xm:sqref>
        </x14:conditionalFormatting>
        <x14:conditionalFormatting xmlns:xm="http://schemas.microsoft.com/office/excel/2006/main">
          <x14:cfRule type="containsText" priority="827" operator="containsText" id="{04339F94-C5C3-489B-8A09-9B415F4F8558}">
            <xm:f>NOT(ISERROR(SEARCH(#REF!,I1607)))</xm:f>
            <xm:f>#REF!</xm:f>
            <x14:dxf>
              <font>
                <color rgb="FF9C0006"/>
              </font>
              <fill>
                <patternFill>
                  <bgColor rgb="FFFFC7CE"/>
                </patternFill>
              </fill>
            </x14:dxf>
          </x14:cfRule>
          <x14:cfRule type="containsText" priority="828" operator="containsText" id="{52483D39-AFAE-42D0-B6FB-DDB02AADD8CC}">
            <xm:f>NOT(ISERROR(SEARCH(#REF!,I1607)))</xm:f>
            <xm:f>#REF!</xm:f>
            <x14:dxf>
              <font>
                <color rgb="FF006100"/>
              </font>
              <fill>
                <patternFill>
                  <bgColor rgb="FFC6EFCE"/>
                </patternFill>
              </fill>
            </x14:dxf>
          </x14:cfRule>
          <xm:sqref>I1607:I1608</xm:sqref>
        </x14:conditionalFormatting>
        <x14:conditionalFormatting xmlns:xm="http://schemas.microsoft.com/office/excel/2006/main">
          <x14:cfRule type="containsText" priority="822" operator="containsText" id="{B364E329-3487-4D70-9F61-C224E4C274BE}">
            <xm:f>NOT(ISERROR(SEARCH(#REF!,G1627)))</xm:f>
            <xm:f>#REF!</xm:f>
            <x14:dxf>
              <font>
                <color rgb="FF9C0006"/>
              </font>
              <fill>
                <patternFill>
                  <bgColor rgb="FFFFC7CE"/>
                </patternFill>
              </fill>
            </x14:dxf>
          </x14:cfRule>
          <x14:cfRule type="containsText" priority="823" operator="containsText" id="{A00F8D69-B8C1-4A10-8157-D3A2529786D3}">
            <xm:f>NOT(ISERROR(SEARCH(#REF!,G1627)))</xm:f>
            <xm:f>#REF!</xm:f>
            <x14:dxf>
              <font>
                <color rgb="FF006100"/>
              </font>
              <fill>
                <patternFill>
                  <bgColor rgb="FFC6EFCE"/>
                </patternFill>
              </fill>
            </x14:dxf>
          </x14:cfRule>
          <xm:sqref>G1627:G1644</xm:sqref>
        </x14:conditionalFormatting>
        <x14:conditionalFormatting xmlns:xm="http://schemas.microsoft.com/office/excel/2006/main">
          <x14:cfRule type="containsText" priority="819" operator="containsText" id="{97DB637A-CCE0-4A97-BD67-652DC5104155}">
            <xm:f>NOT(ISERROR(SEARCH(#REF!,G1625)))</xm:f>
            <xm:f>#REF!</xm:f>
            <x14:dxf>
              <font>
                <color rgb="FF9C0006"/>
              </font>
              <fill>
                <patternFill>
                  <bgColor rgb="FFFFC7CE"/>
                </patternFill>
              </fill>
            </x14:dxf>
          </x14:cfRule>
          <x14:cfRule type="containsText" priority="820" operator="containsText" id="{B0AB869E-F819-4967-B972-AC24FD1F37AB}">
            <xm:f>NOT(ISERROR(SEARCH(#REF!,G1625)))</xm:f>
            <xm:f>#REF!</xm:f>
            <x14:dxf>
              <font>
                <color rgb="FF006100"/>
              </font>
              <fill>
                <patternFill>
                  <bgColor rgb="FFC6EFCE"/>
                </patternFill>
              </fill>
            </x14:dxf>
          </x14:cfRule>
          <xm:sqref>G1625:G1626</xm:sqref>
        </x14:conditionalFormatting>
        <x14:conditionalFormatting xmlns:xm="http://schemas.microsoft.com/office/excel/2006/main">
          <x14:cfRule type="containsText" priority="812" operator="containsText" id="{6336E78D-3B81-42B0-A782-D3642ED33604}">
            <xm:f>NOT(ISERROR(SEARCH(#REF!,I1627)))</xm:f>
            <xm:f>#REF!</xm:f>
            <x14:dxf>
              <font>
                <color rgb="FF9C0006"/>
              </font>
              <fill>
                <patternFill>
                  <bgColor rgb="FFFFC7CE"/>
                </patternFill>
              </fill>
            </x14:dxf>
          </x14:cfRule>
          <x14:cfRule type="containsText" priority="813" operator="containsText" id="{F4168BAC-C3C0-4EAE-BCAC-AF4A7634A271}">
            <xm:f>NOT(ISERROR(SEARCH(#REF!,I1627)))</xm:f>
            <xm:f>#REF!</xm:f>
            <x14:dxf>
              <font>
                <color rgb="FF006100"/>
              </font>
              <fill>
                <patternFill>
                  <bgColor rgb="FFC6EFCE"/>
                </patternFill>
              </fill>
            </x14:dxf>
          </x14:cfRule>
          <xm:sqref>I1627:I1644</xm:sqref>
        </x14:conditionalFormatting>
        <x14:conditionalFormatting xmlns:xm="http://schemas.microsoft.com/office/excel/2006/main">
          <x14:cfRule type="containsText" priority="809" operator="containsText" id="{FDBC79CC-3AF4-4492-8230-24F9E95D6779}">
            <xm:f>NOT(ISERROR(SEARCH(#REF!,I1625)))</xm:f>
            <xm:f>#REF!</xm:f>
            <x14:dxf>
              <font>
                <color rgb="FF9C0006"/>
              </font>
              <fill>
                <patternFill>
                  <bgColor rgb="FFFFC7CE"/>
                </patternFill>
              </fill>
            </x14:dxf>
          </x14:cfRule>
          <x14:cfRule type="containsText" priority="810" operator="containsText" id="{1604474F-27AD-45FF-BDDA-40B360A2504A}">
            <xm:f>NOT(ISERROR(SEARCH(#REF!,I1625)))</xm:f>
            <xm:f>#REF!</xm:f>
            <x14:dxf>
              <font>
                <color rgb="FF006100"/>
              </font>
              <fill>
                <patternFill>
                  <bgColor rgb="FFC6EFCE"/>
                </patternFill>
              </fill>
            </x14:dxf>
          </x14:cfRule>
          <xm:sqref>I1625:I1626</xm:sqref>
        </x14:conditionalFormatting>
        <x14:conditionalFormatting xmlns:xm="http://schemas.microsoft.com/office/excel/2006/main">
          <x14:cfRule type="containsText" priority="802" operator="containsText" id="{A95CB8E1-52EE-4E70-BEB2-E288ABB5D602}">
            <xm:f>NOT(ISERROR(SEARCH(#REF!,G1663)))</xm:f>
            <xm:f>#REF!</xm:f>
            <x14:dxf>
              <font>
                <color rgb="FF9C0006"/>
              </font>
              <fill>
                <patternFill>
                  <bgColor rgb="FFFFC7CE"/>
                </patternFill>
              </fill>
            </x14:dxf>
          </x14:cfRule>
          <x14:cfRule type="containsText" priority="803" operator="containsText" id="{5BDCC542-17DA-4FA4-BCCE-0153E2152C2B}">
            <xm:f>NOT(ISERROR(SEARCH(#REF!,G1663)))</xm:f>
            <xm:f>#REF!</xm:f>
            <x14:dxf>
              <font>
                <color rgb="FF006100"/>
              </font>
              <fill>
                <patternFill>
                  <bgColor rgb="FFC6EFCE"/>
                </patternFill>
              </fill>
            </x14:dxf>
          </x14:cfRule>
          <xm:sqref>G1663:G1680</xm:sqref>
        </x14:conditionalFormatting>
        <x14:conditionalFormatting xmlns:xm="http://schemas.microsoft.com/office/excel/2006/main">
          <x14:cfRule type="containsText" priority="799" operator="containsText" id="{E6CB33F5-99A0-4F4B-A542-6BB4CA30D5EB}">
            <xm:f>NOT(ISERROR(SEARCH(#REF!,G1661)))</xm:f>
            <xm:f>#REF!</xm:f>
            <x14:dxf>
              <font>
                <color rgb="FF9C0006"/>
              </font>
              <fill>
                <patternFill>
                  <bgColor rgb="FFFFC7CE"/>
                </patternFill>
              </fill>
            </x14:dxf>
          </x14:cfRule>
          <x14:cfRule type="containsText" priority="800" operator="containsText" id="{57D2F50D-BC52-4DC3-8E1A-C6B159C0D96E}">
            <xm:f>NOT(ISERROR(SEARCH(#REF!,G1661)))</xm:f>
            <xm:f>#REF!</xm:f>
            <x14:dxf>
              <font>
                <color rgb="FF006100"/>
              </font>
              <fill>
                <patternFill>
                  <bgColor rgb="FFC6EFCE"/>
                </patternFill>
              </fill>
            </x14:dxf>
          </x14:cfRule>
          <xm:sqref>G1661:G1662</xm:sqref>
        </x14:conditionalFormatting>
        <x14:conditionalFormatting xmlns:xm="http://schemas.microsoft.com/office/excel/2006/main">
          <x14:cfRule type="containsText" priority="792" operator="containsText" id="{9E8D0959-31D2-43BA-AE1B-40E93E8396A2}">
            <xm:f>NOT(ISERROR(SEARCH(#REF!,I1663)))</xm:f>
            <xm:f>#REF!</xm:f>
            <x14:dxf>
              <font>
                <color rgb="FF9C0006"/>
              </font>
              <fill>
                <patternFill>
                  <bgColor rgb="FFFFC7CE"/>
                </patternFill>
              </fill>
            </x14:dxf>
          </x14:cfRule>
          <x14:cfRule type="containsText" priority="793" operator="containsText" id="{3C61845E-775F-4241-B7D2-D6C87DF26820}">
            <xm:f>NOT(ISERROR(SEARCH(#REF!,I1663)))</xm:f>
            <xm:f>#REF!</xm:f>
            <x14:dxf>
              <font>
                <color rgb="FF006100"/>
              </font>
              <fill>
                <patternFill>
                  <bgColor rgb="FFC6EFCE"/>
                </patternFill>
              </fill>
            </x14:dxf>
          </x14:cfRule>
          <xm:sqref>I1663:I1680</xm:sqref>
        </x14:conditionalFormatting>
        <x14:conditionalFormatting xmlns:xm="http://schemas.microsoft.com/office/excel/2006/main">
          <x14:cfRule type="containsText" priority="789" operator="containsText" id="{9467EB6F-3DEE-45BB-ADBA-178A01E41B2D}">
            <xm:f>NOT(ISERROR(SEARCH(#REF!,I1661)))</xm:f>
            <xm:f>#REF!</xm:f>
            <x14:dxf>
              <font>
                <color rgb="FF9C0006"/>
              </font>
              <fill>
                <patternFill>
                  <bgColor rgb="FFFFC7CE"/>
                </patternFill>
              </fill>
            </x14:dxf>
          </x14:cfRule>
          <x14:cfRule type="containsText" priority="790" operator="containsText" id="{290C7A4D-830E-463F-84FF-5D422BC8B926}">
            <xm:f>NOT(ISERROR(SEARCH(#REF!,I1661)))</xm:f>
            <xm:f>#REF!</xm:f>
            <x14:dxf>
              <font>
                <color rgb="FF006100"/>
              </font>
              <fill>
                <patternFill>
                  <bgColor rgb="FFC6EFCE"/>
                </patternFill>
              </fill>
            </x14:dxf>
          </x14:cfRule>
          <xm:sqref>I1661:I1662</xm:sqref>
        </x14:conditionalFormatting>
        <x14:conditionalFormatting xmlns:xm="http://schemas.microsoft.com/office/excel/2006/main">
          <x14:cfRule type="containsText" priority="782" operator="containsText" id="{DFF5F000-A750-401D-B410-B59EDCF99180}">
            <xm:f>NOT(ISERROR(SEARCH(#REF!,G1699)))</xm:f>
            <xm:f>#REF!</xm:f>
            <x14:dxf>
              <font>
                <color rgb="FF9C0006"/>
              </font>
              <fill>
                <patternFill>
                  <bgColor rgb="FFFFC7CE"/>
                </patternFill>
              </fill>
            </x14:dxf>
          </x14:cfRule>
          <x14:cfRule type="containsText" priority="783" operator="containsText" id="{DD69F1B6-8606-48E0-8F61-417414C4E0A3}">
            <xm:f>NOT(ISERROR(SEARCH(#REF!,G1699)))</xm:f>
            <xm:f>#REF!</xm:f>
            <x14:dxf>
              <font>
                <color rgb="FF006100"/>
              </font>
              <fill>
                <patternFill>
                  <bgColor rgb="FFC6EFCE"/>
                </patternFill>
              </fill>
            </x14:dxf>
          </x14:cfRule>
          <xm:sqref>G1699:G1716</xm:sqref>
        </x14:conditionalFormatting>
        <x14:conditionalFormatting xmlns:xm="http://schemas.microsoft.com/office/excel/2006/main">
          <x14:cfRule type="containsText" priority="779" operator="containsText" id="{E0EA2329-4C8A-4E79-B289-81B32E9CDC31}">
            <xm:f>NOT(ISERROR(SEARCH(#REF!,G1697)))</xm:f>
            <xm:f>#REF!</xm:f>
            <x14:dxf>
              <font>
                <color rgb="FF9C0006"/>
              </font>
              <fill>
                <patternFill>
                  <bgColor rgb="FFFFC7CE"/>
                </patternFill>
              </fill>
            </x14:dxf>
          </x14:cfRule>
          <x14:cfRule type="containsText" priority="780" operator="containsText" id="{85AA8A63-BAEE-4818-965C-EB9684B3640E}">
            <xm:f>NOT(ISERROR(SEARCH(#REF!,G1697)))</xm:f>
            <xm:f>#REF!</xm:f>
            <x14:dxf>
              <font>
                <color rgb="FF006100"/>
              </font>
              <fill>
                <patternFill>
                  <bgColor rgb="FFC6EFCE"/>
                </patternFill>
              </fill>
            </x14:dxf>
          </x14:cfRule>
          <xm:sqref>G1697:G1698</xm:sqref>
        </x14:conditionalFormatting>
        <x14:conditionalFormatting xmlns:xm="http://schemas.microsoft.com/office/excel/2006/main">
          <x14:cfRule type="containsText" priority="772" operator="containsText" id="{8D71FD4C-865B-482D-9C05-80CBC56A784D}">
            <xm:f>NOT(ISERROR(SEARCH(#REF!,I1699)))</xm:f>
            <xm:f>#REF!</xm:f>
            <x14:dxf>
              <font>
                <color rgb="FF9C0006"/>
              </font>
              <fill>
                <patternFill>
                  <bgColor rgb="FFFFC7CE"/>
                </patternFill>
              </fill>
            </x14:dxf>
          </x14:cfRule>
          <x14:cfRule type="containsText" priority="773" operator="containsText" id="{5B2D7AE9-4BC3-4331-9197-E863D5441351}">
            <xm:f>NOT(ISERROR(SEARCH(#REF!,I1699)))</xm:f>
            <xm:f>#REF!</xm:f>
            <x14:dxf>
              <font>
                <color rgb="FF006100"/>
              </font>
              <fill>
                <patternFill>
                  <bgColor rgb="FFC6EFCE"/>
                </patternFill>
              </fill>
            </x14:dxf>
          </x14:cfRule>
          <xm:sqref>I1699:I1716</xm:sqref>
        </x14:conditionalFormatting>
        <x14:conditionalFormatting xmlns:xm="http://schemas.microsoft.com/office/excel/2006/main">
          <x14:cfRule type="containsText" priority="769" operator="containsText" id="{34003C55-8CFE-402E-A9B9-9DF0C83F533A}">
            <xm:f>NOT(ISERROR(SEARCH(#REF!,I1697)))</xm:f>
            <xm:f>#REF!</xm:f>
            <x14:dxf>
              <font>
                <color rgb="FF9C0006"/>
              </font>
              <fill>
                <patternFill>
                  <bgColor rgb="FFFFC7CE"/>
                </patternFill>
              </fill>
            </x14:dxf>
          </x14:cfRule>
          <x14:cfRule type="containsText" priority="770" operator="containsText" id="{2DA49901-DD8B-4333-BCEA-E1C3FBA8F8F2}">
            <xm:f>NOT(ISERROR(SEARCH(#REF!,I1697)))</xm:f>
            <xm:f>#REF!</xm:f>
            <x14:dxf>
              <font>
                <color rgb="FF006100"/>
              </font>
              <fill>
                <patternFill>
                  <bgColor rgb="FFC6EFCE"/>
                </patternFill>
              </fill>
            </x14:dxf>
          </x14:cfRule>
          <xm:sqref>I1697:I1698</xm:sqref>
        </x14:conditionalFormatting>
        <x14:conditionalFormatting xmlns:xm="http://schemas.microsoft.com/office/excel/2006/main">
          <x14:cfRule type="containsText" priority="762" operator="containsText" id="{66D96AFF-B799-4BFB-832D-2202CB43C82A}">
            <xm:f>NOT(ISERROR(SEARCH(#REF!,G1733)))</xm:f>
            <xm:f>#REF!</xm:f>
            <x14:dxf>
              <font>
                <color rgb="FF9C0006"/>
              </font>
              <fill>
                <patternFill>
                  <bgColor rgb="FFFFC7CE"/>
                </patternFill>
              </fill>
            </x14:dxf>
          </x14:cfRule>
          <x14:cfRule type="containsText" priority="763" operator="containsText" id="{E9A5FE7E-1711-469E-A960-5A014F855A85}">
            <xm:f>NOT(ISERROR(SEARCH(#REF!,G1733)))</xm:f>
            <xm:f>#REF!</xm:f>
            <x14:dxf>
              <font>
                <color rgb="FF006100"/>
              </font>
              <fill>
                <patternFill>
                  <bgColor rgb="FFC6EFCE"/>
                </patternFill>
              </fill>
            </x14:dxf>
          </x14:cfRule>
          <xm:sqref>G1733:G1750</xm:sqref>
        </x14:conditionalFormatting>
        <x14:conditionalFormatting xmlns:xm="http://schemas.microsoft.com/office/excel/2006/main">
          <x14:cfRule type="containsText" priority="759" operator="containsText" id="{14CE6192-D652-4849-9AD7-6209EFAD8746}">
            <xm:f>NOT(ISERROR(SEARCH(#REF!,G1731)))</xm:f>
            <xm:f>#REF!</xm:f>
            <x14:dxf>
              <font>
                <color rgb="FF9C0006"/>
              </font>
              <fill>
                <patternFill>
                  <bgColor rgb="FFFFC7CE"/>
                </patternFill>
              </fill>
            </x14:dxf>
          </x14:cfRule>
          <x14:cfRule type="containsText" priority="760" operator="containsText" id="{7AA3FD41-9EA8-4CE6-974D-8B0C3D6B622D}">
            <xm:f>NOT(ISERROR(SEARCH(#REF!,G1731)))</xm:f>
            <xm:f>#REF!</xm:f>
            <x14:dxf>
              <font>
                <color rgb="FF006100"/>
              </font>
              <fill>
                <patternFill>
                  <bgColor rgb="FFC6EFCE"/>
                </patternFill>
              </fill>
            </x14:dxf>
          </x14:cfRule>
          <xm:sqref>G1731:G1732</xm:sqref>
        </x14:conditionalFormatting>
        <x14:conditionalFormatting xmlns:xm="http://schemas.microsoft.com/office/excel/2006/main">
          <x14:cfRule type="containsText" priority="752" operator="containsText" id="{162D5ECC-4FFB-4ABE-8E52-B02B911EF7A9}">
            <xm:f>NOT(ISERROR(SEARCH(#REF!,I1733)))</xm:f>
            <xm:f>#REF!</xm:f>
            <x14:dxf>
              <font>
                <color rgb="FF9C0006"/>
              </font>
              <fill>
                <patternFill>
                  <bgColor rgb="FFFFC7CE"/>
                </patternFill>
              </fill>
            </x14:dxf>
          </x14:cfRule>
          <x14:cfRule type="containsText" priority="753" operator="containsText" id="{23736904-E81C-4DCF-9568-D3E8C027BB6F}">
            <xm:f>NOT(ISERROR(SEARCH(#REF!,I1733)))</xm:f>
            <xm:f>#REF!</xm:f>
            <x14:dxf>
              <font>
                <color rgb="FF006100"/>
              </font>
              <fill>
                <patternFill>
                  <bgColor rgb="FFC6EFCE"/>
                </patternFill>
              </fill>
            </x14:dxf>
          </x14:cfRule>
          <xm:sqref>I1733:I1750</xm:sqref>
        </x14:conditionalFormatting>
        <x14:conditionalFormatting xmlns:xm="http://schemas.microsoft.com/office/excel/2006/main">
          <x14:cfRule type="containsText" priority="749" operator="containsText" id="{F8036308-7F94-4944-88F9-88DE3C39241E}">
            <xm:f>NOT(ISERROR(SEARCH(#REF!,I1731)))</xm:f>
            <xm:f>#REF!</xm:f>
            <x14:dxf>
              <font>
                <color rgb="FF9C0006"/>
              </font>
              <fill>
                <patternFill>
                  <bgColor rgb="FFFFC7CE"/>
                </patternFill>
              </fill>
            </x14:dxf>
          </x14:cfRule>
          <x14:cfRule type="containsText" priority="750" operator="containsText" id="{E08C8A59-A89E-4C79-A736-A718A0572000}">
            <xm:f>NOT(ISERROR(SEARCH(#REF!,I1731)))</xm:f>
            <xm:f>#REF!</xm:f>
            <x14:dxf>
              <font>
                <color rgb="FF006100"/>
              </font>
              <fill>
                <patternFill>
                  <bgColor rgb="FFC6EFCE"/>
                </patternFill>
              </fill>
            </x14:dxf>
          </x14:cfRule>
          <xm:sqref>I1731:I1732</xm:sqref>
        </x14:conditionalFormatting>
        <x14:conditionalFormatting xmlns:xm="http://schemas.microsoft.com/office/excel/2006/main">
          <x14:cfRule type="containsText" priority="742" operator="containsText" id="{2A95889D-7C56-45B9-98F0-B675A449E69E}">
            <xm:f>NOT(ISERROR(SEARCH(#REF!,G1767)))</xm:f>
            <xm:f>#REF!</xm:f>
            <x14:dxf>
              <font>
                <color rgb="FF9C0006"/>
              </font>
              <fill>
                <patternFill>
                  <bgColor rgb="FFFFC7CE"/>
                </patternFill>
              </fill>
            </x14:dxf>
          </x14:cfRule>
          <x14:cfRule type="containsText" priority="743" operator="containsText" id="{6442A5A5-5F01-44A6-8064-1EF2446ECF42}">
            <xm:f>NOT(ISERROR(SEARCH(#REF!,G1767)))</xm:f>
            <xm:f>#REF!</xm:f>
            <x14:dxf>
              <font>
                <color rgb="FF006100"/>
              </font>
              <fill>
                <patternFill>
                  <bgColor rgb="FFC6EFCE"/>
                </patternFill>
              </fill>
            </x14:dxf>
          </x14:cfRule>
          <xm:sqref>G1767:G1784</xm:sqref>
        </x14:conditionalFormatting>
        <x14:conditionalFormatting xmlns:xm="http://schemas.microsoft.com/office/excel/2006/main">
          <x14:cfRule type="containsText" priority="739" operator="containsText" id="{EE8EA02A-52D5-418D-ABEE-FC62A3D0A3A1}">
            <xm:f>NOT(ISERROR(SEARCH(#REF!,G1765)))</xm:f>
            <xm:f>#REF!</xm:f>
            <x14:dxf>
              <font>
                <color rgb="FF9C0006"/>
              </font>
              <fill>
                <patternFill>
                  <bgColor rgb="FFFFC7CE"/>
                </patternFill>
              </fill>
            </x14:dxf>
          </x14:cfRule>
          <x14:cfRule type="containsText" priority="740" operator="containsText" id="{68BEE588-48F1-4893-81D3-8DAFBE282350}">
            <xm:f>NOT(ISERROR(SEARCH(#REF!,G1765)))</xm:f>
            <xm:f>#REF!</xm:f>
            <x14:dxf>
              <font>
                <color rgb="FF006100"/>
              </font>
              <fill>
                <patternFill>
                  <bgColor rgb="FFC6EFCE"/>
                </patternFill>
              </fill>
            </x14:dxf>
          </x14:cfRule>
          <xm:sqref>G1765:G1766</xm:sqref>
        </x14:conditionalFormatting>
        <x14:conditionalFormatting xmlns:xm="http://schemas.microsoft.com/office/excel/2006/main">
          <x14:cfRule type="containsText" priority="732" operator="containsText" id="{391AE9D5-9201-4675-8637-3F557F1BE4BF}">
            <xm:f>NOT(ISERROR(SEARCH(#REF!,I1767)))</xm:f>
            <xm:f>#REF!</xm:f>
            <x14:dxf>
              <font>
                <color rgb="FF9C0006"/>
              </font>
              <fill>
                <patternFill>
                  <bgColor rgb="FFFFC7CE"/>
                </patternFill>
              </fill>
            </x14:dxf>
          </x14:cfRule>
          <x14:cfRule type="containsText" priority="733" operator="containsText" id="{42DFA3C6-1AAF-4C54-8752-6B0B2EA92AE0}">
            <xm:f>NOT(ISERROR(SEARCH(#REF!,I1767)))</xm:f>
            <xm:f>#REF!</xm:f>
            <x14:dxf>
              <font>
                <color rgb="FF006100"/>
              </font>
              <fill>
                <patternFill>
                  <bgColor rgb="FFC6EFCE"/>
                </patternFill>
              </fill>
            </x14:dxf>
          </x14:cfRule>
          <xm:sqref>I1767:I1784</xm:sqref>
        </x14:conditionalFormatting>
        <x14:conditionalFormatting xmlns:xm="http://schemas.microsoft.com/office/excel/2006/main">
          <x14:cfRule type="containsText" priority="729" operator="containsText" id="{2109A02B-DE6F-4F1E-BDF0-484174185652}">
            <xm:f>NOT(ISERROR(SEARCH(#REF!,I1765)))</xm:f>
            <xm:f>#REF!</xm:f>
            <x14:dxf>
              <font>
                <color rgb="FF9C0006"/>
              </font>
              <fill>
                <patternFill>
                  <bgColor rgb="FFFFC7CE"/>
                </patternFill>
              </fill>
            </x14:dxf>
          </x14:cfRule>
          <x14:cfRule type="containsText" priority="730" operator="containsText" id="{832F0CD0-8D23-4B37-B956-A0F5151A69E0}">
            <xm:f>NOT(ISERROR(SEARCH(#REF!,I1765)))</xm:f>
            <xm:f>#REF!</xm:f>
            <x14:dxf>
              <font>
                <color rgb="FF006100"/>
              </font>
              <fill>
                <patternFill>
                  <bgColor rgb="FFC6EFCE"/>
                </patternFill>
              </fill>
            </x14:dxf>
          </x14:cfRule>
          <xm:sqref>I1765:I1766</xm:sqref>
        </x14:conditionalFormatting>
        <x14:conditionalFormatting xmlns:xm="http://schemas.microsoft.com/office/excel/2006/main">
          <x14:cfRule type="containsText" priority="722" operator="containsText" id="{A663AF00-B737-4322-AB36-A0CA181ED8F4}">
            <xm:f>NOT(ISERROR(SEARCH(#REF!,G1802)))</xm:f>
            <xm:f>#REF!</xm:f>
            <x14:dxf>
              <font>
                <color rgb="FF9C0006"/>
              </font>
              <fill>
                <patternFill>
                  <bgColor rgb="FFFFC7CE"/>
                </patternFill>
              </fill>
            </x14:dxf>
          </x14:cfRule>
          <x14:cfRule type="containsText" priority="723" operator="containsText" id="{E6D268A3-F787-4055-BE31-584F87382221}">
            <xm:f>NOT(ISERROR(SEARCH(#REF!,G1802)))</xm:f>
            <xm:f>#REF!</xm:f>
            <x14:dxf>
              <font>
                <color rgb="FF006100"/>
              </font>
              <fill>
                <patternFill>
                  <bgColor rgb="FFC6EFCE"/>
                </patternFill>
              </fill>
            </x14:dxf>
          </x14:cfRule>
          <xm:sqref>G1802:G1819</xm:sqref>
        </x14:conditionalFormatting>
        <x14:conditionalFormatting xmlns:xm="http://schemas.microsoft.com/office/excel/2006/main">
          <x14:cfRule type="containsText" priority="719" operator="containsText" id="{7897C037-879C-4388-B38A-871DD124584C}">
            <xm:f>NOT(ISERROR(SEARCH(#REF!,G1800)))</xm:f>
            <xm:f>#REF!</xm:f>
            <x14:dxf>
              <font>
                <color rgb="FF9C0006"/>
              </font>
              <fill>
                <patternFill>
                  <bgColor rgb="FFFFC7CE"/>
                </patternFill>
              </fill>
            </x14:dxf>
          </x14:cfRule>
          <x14:cfRule type="containsText" priority="720" operator="containsText" id="{B42A2A5B-FC09-4FF8-914D-C78E32EB6BE5}">
            <xm:f>NOT(ISERROR(SEARCH(#REF!,G1800)))</xm:f>
            <xm:f>#REF!</xm:f>
            <x14:dxf>
              <font>
                <color rgb="FF006100"/>
              </font>
              <fill>
                <patternFill>
                  <bgColor rgb="FFC6EFCE"/>
                </patternFill>
              </fill>
            </x14:dxf>
          </x14:cfRule>
          <xm:sqref>G1800:G1801</xm:sqref>
        </x14:conditionalFormatting>
        <x14:conditionalFormatting xmlns:xm="http://schemas.microsoft.com/office/excel/2006/main">
          <x14:cfRule type="containsText" priority="712" operator="containsText" id="{1AC22C48-32DD-4822-9AF7-65F52E5EB70E}">
            <xm:f>NOT(ISERROR(SEARCH(#REF!,I1802)))</xm:f>
            <xm:f>#REF!</xm:f>
            <x14:dxf>
              <font>
                <color rgb="FF9C0006"/>
              </font>
              <fill>
                <patternFill>
                  <bgColor rgb="FFFFC7CE"/>
                </patternFill>
              </fill>
            </x14:dxf>
          </x14:cfRule>
          <x14:cfRule type="containsText" priority="713" operator="containsText" id="{E3AB1648-3190-48D5-AA33-DC36E4E134D8}">
            <xm:f>NOT(ISERROR(SEARCH(#REF!,I1802)))</xm:f>
            <xm:f>#REF!</xm:f>
            <x14:dxf>
              <font>
                <color rgb="FF006100"/>
              </font>
              <fill>
                <patternFill>
                  <bgColor rgb="FFC6EFCE"/>
                </patternFill>
              </fill>
            </x14:dxf>
          </x14:cfRule>
          <xm:sqref>I1802:I1819</xm:sqref>
        </x14:conditionalFormatting>
        <x14:conditionalFormatting xmlns:xm="http://schemas.microsoft.com/office/excel/2006/main">
          <x14:cfRule type="containsText" priority="709" operator="containsText" id="{31B2D121-49FC-448E-A7A6-C81A0A51C6CA}">
            <xm:f>NOT(ISERROR(SEARCH(#REF!,I1800)))</xm:f>
            <xm:f>#REF!</xm:f>
            <x14:dxf>
              <font>
                <color rgb="FF9C0006"/>
              </font>
              <fill>
                <patternFill>
                  <bgColor rgb="FFFFC7CE"/>
                </patternFill>
              </fill>
            </x14:dxf>
          </x14:cfRule>
          <x14:cfRule type="containsText" priority="710" operator="containsText" id="{C2007D92-0FC3-47A8-BE1D-A498167E3730}">
            <xm:f>NOT(ISERROR(SEARCH(#REF!,I1800)))</xm:f>
            <xm:f>#REF!</xm:f>
            <x14:dxf>
              <font>
                <color rgb="FF006100"/>
              </font>
              <fill>
                <patternFill>
                  <bgColor rgb="FFC6EFCE"/>
                </patternFill>
              </fill>
            </x14:dxf>
          </x14:cfRule>
          <xm:sqref>I1800:I1801</xm:sqref>
        </x14:conditionalFormatting>
        <x14:conditionalFormatting xmlns:xm="http://schemas.microsoft.com/office/excel/2006/main">
          <x14:cfRule type="containsText" priority="702" operator="containsText" id="{FF6F8C8B-765B-4FC4-99A0-DD14F2186BAF}">
            <xm:f>NOT(ISERROR(SEARCH(#REF!,G1838)))</xm:f>
            <xm:f>#REF!</xm:f>
            <x14:dxf>
              <font>
                <color rgb="FF9C0006"/>
              </font>
              <fill>
                <patternFill>
                  <bgColor rgb="FFFFC7CE"/>
                </patternFill>
              </fill>
            </x14:dxf>
          </x14:cfRule>
          <x14:cfRule type="containsText" priority="703" operator="containsText" id="{3E816FA7-0D95-4278-9562-45696880F0D4}">
            <xm:f>NOT(ISERROR(SEARCH(#REF!,G1838)))</xm:f>
            <xm:f>#REF!</xm:f>
            <x14:dxf>
              <font>
                <color rgb="FF006100"/>
              </font>
              <fill>
                <patternFill>
                  <bgColor rgb="FFC6EFCE"/>
                </patternFill>
              </fill>
            </x14:dxf>
          </x14:cfRule>
          <xm:sqref>G1838:G1855</xm:sqref>
        </x14:conditionalFormatting>
        <x14:conditionalFormatting xmlns:xm="http://schemas.microsoft.com/office/excel/2006/main">
          <x14:cfRule type="containsText" priority="699" operator="containsText" id="{F114C6E1-C98A-4D1C-B14A-216814912726}">
            <xm:f>NOT(ISERROR(SEARCH(#REF!,G1836)))</xm:f>
            <xm:f>#REF!</xm:f>
            <x14:dxf>
              <font>
                <color rgb="FF9C0006"/>
              </font>
              <fill>
                <patternFill>
                  <bgColor rgb="FFFFC7CE"/>
                </patternFill>
              </fill>
            </x14:dxf>
          </x14:cfRule>
          <x14:cfRule type="containsText" priority="700" operator="containsText" id="{AC1159B0-7FAB-47CC-9E91-3E4AF32B52C3}">
            <xm:f>NOT(ISERROR(SEARCH(#REF!,G1836)))</xm:f>
            <xm:f>#REF!</xm:f>
            <x14:dxf>
              <font>
                <color rgb="FF006100"/>
              </font>
              <fill>
                <patternFill>
                  <bgColor rgb="FFC6EFCE"/>
                </patternFill>
              </fill>
            </x14:dxf>
          </x14:cfRule>
          <xm:sqref>G1836:G1837</xm:sqref>
        </x14:conditionalFormatting>
        <x14:conditionalFormatting xmlns:xm="http://schemas.microsoft.com/office/excel/2006/main">
          <x14:cfRule type="containsText" priority="692" operator="containsText" id="{36F423B6-8DD6-47EE-8B0F-95A88DC4370D}">
            <xm:f>NOT(ISERROR(SEARCH(#REF!,I1838)))</xm:f>
            <xm:f>#REF!</xm:f>
            <x14:dxf>
              <font>
                <color rgb="FF9C0006"/>
              </font>
              <fill>
                <patternFill>
                  <bgColor rgb="FFFFC7CE"/>
                </patternFill>
              </fill>
            </x14:dxf>
          </x14:cfRule>
          <x14:cfRule type="containsText" priority="693" operator="containsText" id="{5830E962-92C8-49D5-8BF4-1CCCA0365963}">
            <xm:f>NOT(ISERROR(SEARCH(#REF!,I1838)))</xm:f>
            <xm:f>#REF!</xm:f>
            <x14:dxf>
              <font>
                <color rgb="FF006100"/>
              </font>
              <fill>
                <patternFill>
                  <bgColor rgb="FFC6EFCE"/>
                </patternFill>
              </fill>
            </x14:dxf>
          </x14:cfRule>
          <xm:sqref>I1838:I1855</xm:sqref>
        </x14:conditionalFormatting>
        <x14:conditionalFormatting xmlns:xm="http://schemas.microsoft.com/office/excel/2006/main">
          <x14:cfRule type="containsText" priority="689" operator="containsText" id="{66B35239-B812-4E1E-BD45-DFFF294CBDFA}">
            <xm:f>NOT(ISERROR(SEARCH(#REF!,I1836)))</xm:f>
            <xm:f>#REF!</xm:f>
            <x14:dxf>
              <font>
                <color rgb="FF9C0006"/>
              </font>
              <fill>
                <patternFill>
                  <bgColor rgb="FFFFC7CE"/>
                </patternFill>
              </fill>
            </x14:dxf>
          </x14:cfRule>
          <x14:cfRule type="containsText" priority="690" operator="containsText" id="{400EBE33-0BD8-44D5-A489-BC09937C4844}">
            <xm:f>NOT(ISERROR(SEARCH(#REF!,I1836)))</xm:f>
            <xm:f>#REF!</xm:f>
            <x14:dxf>
              <font>
                <color rgb="FF006100"/>
              </font>
              <fill>
                <patternFill>
                  <bgColor rgb="FFC6EFCE"/>
                </patternFill>
              </fill>
            </x14:dxf>
          </x14:cfRule>
          <xm:sqref>I1836:I1837</xm:sqref>
        </x14:conditionalFormatting>
        <x14:conditionalFormatting xmlns:xm="http://schemas.microsoft.com/office/excel/2006/main">
          <x14:cfRule type="containsText" priority="682" operator="containsText" id="{1B1040D9-3F9D-415C-BCF2-C0EC99326DF4}">
            <xm:f>NOT(ISERROR(SEARCH(#REF!,G1874)))</xm:f>
            <xm:f>#REF!</xm:f>
            <x14:dxf>
              <font>
                <color rgb="FF9C0006"/>
              </font>
              <fill>
                <patternFill>
                  <bgColor rgb="FFFFC7CE"/>
                </patternFill>
              </fill>
            </x14:dxf>
          </x14:cfRule>
          <x14:cfRule type="containsText" priority="683" operator="containsText" id="{98B84045-5DAB-446E-A624-44A70B097EDF}">
            <xm:f>NOT(ISERROR(SEARCH(#REF!,G1874)))</xm:f>
            <xm:f>#REF!</xm:f>
            <x14:dxf>
              <font>
                <color rgb="FF006100"/>
              </font>
              <fill>
                <patternFill>
                  <bgColor rgb="FFC6EFCE"/>
                </patternFill>
              </fill>
            </x14:dxf>
          </x14:cfRule>
          <xm:sqref>G1874:G1891</xm:sqref>
        </x14:conditionalFormatting>
        <x14:conditionalFormatting xmlns:xm="http://schemas.microsoft.com/office/excel/2006/main">
          <x14:cfRule type="containsText" priority="679" operator="containsText" id="{74AA7B52-C90B-41B2-98BA-3B936740F7C7}">
            <xm:f>NOT(ISERROR(SEARCH(#REF!,G1872)))</xm:f>
            <xm:f>#REF!</xm:f>
            <x14:dxf>
              <font>
                <color rgb="FF9C0006"/>
              </font>
              <fill>
                <patternFill>
                  <bgColor rgb="FFFFC7CE"/>
                </patternFill>
              </fill>
            </x14:dxf>
          </x14:cfRule>
          <x14:cfRule type="containsText" priority="680" operator="containsText" id="{B36497CF-6A8F-4F02-95BB-44EEB487320D}">
            <xm:f>NOT(ISERROR(SEARCH(#REF!,G1872)))</xm:f>
            <xm:f>#REF!</xm:f>
            <x14:dxf>
              <font>
                <color rgb="FF006100"/>
              </font>
              <fill>
                <patternFill>
                  <bgColor rgb="FFC6EFCE"/>
                </patternFill>
              </fill>
            </x14:dxf>
          </x14:cfRule>
          <xm:sqref>G1872:G1873</xm:sqref>
        </x14:conditionalFormatting>
        <x14:conditionalFormatting xmlns:xm="http://schemas.microsoft.com/office/excel/2006/main">
          <x14:cfRule type="containsText" priority="672" operator="containsText" id="{0C00401C-1C2A-4BEB-95E2-A9A0326430D4}">
            <xm:f>NOT(ISERROR(SEARCH(#REF!,I1874)))</xm:f>
            <xm:f>#REF!</xm:f>
            <x14:dxf>
              <font>
                <color rgb="FF9C0006"/>
              </font>
              <fill>
                <patternFill>
                  <bgColor rgb="FFFFC7CE"/>
                </patternFill>
              </fill>
            </x14:dxf>
          </x14:cfRule>
          <x14:cfRule type="containsText" priority="673" operator="containsText" id="{E0293891-C9F5-470E-BB45-307C4A43C1F3}">
            <xm:f>NOT(ISERROR(SEARCH(#REF!,I1874)))</xm:f>
            <xm:f>#REF!</xm:f>
            <x14:dxf>
              <font>
                <color rgb="FF006100"/>
              </font>
              <fill>
                <patternFill>
                  <bgColor rgb="FFC6EFCE"/>
                </patternFill>
              </fill>
            </x14:dxf>
          </x14:cfRule>
          <xm:sqref>I1874:I1891</xm:sqref>
        </x14:conditionalFormatting>
        <x14:conditionalFormatting xmlns:xm="http://schemas.microsoft.com/office/excel/2006/main">
          <x14:cfRule type="containsText" priority="669" operator="containsText" id="{CF426DA6-F469-48EC-A91F-08A8A2AD32F4}">
            <xm:f>NOT(ISERROR(SEARCH(#REF!,I1872)))</xm:f>
            <xm:f>#REF!</xm:f>
            <x14:dxf>
              <font>
                <color rgb="FF9C0006"/>
              </font>
              <fill>
                <patternFill>
                  <bgColor rgb="FFFFC7CE"/>
                </patternFill>
              </fill>
            </x14:dxf>
          </x14:cfRule>
          <x14:cfRule type="containsText" priority="670" operator="containsText" id="{064BE2C7-4DF7-4305-A138-0CB6F39E3352}">
            <xm:f>NOT(ISERROR(SEARCH(#REF!,I1872)))</xm:f>
            <xm:f>#REF!</xm:f>
            <x14:dxf>
              <font>
                <color rgb="FF006100"/>
              </font>
              <fill>
                <patternFill>
                  <bgColor rgb="FFC6EFCE"/>
                </patternFill>
              </fill>
            </x14:dxf>
          </x14:cfRule>
          <xm:sqref>I1872:I1873</xm:sqref>
        </x14:conditionalFormatting>
        <x14:conditionalFormatting xmlns:xm="http://schemas.microsoft.com/office/excel/2006/main">
          <x14:cfRule type="containsText" priority="662" operator="containsText" id="{4E527879-B48B-4A59-9A53-C2BA4221968D}">
            <xm:f>NOT(ISERROR(SEARCH(#REF!,G1908)))</xm:f>
            <xm:f>#REF!</xm:f>
            <x14:dxf>
              <font>
                <color rgb="FF9C0006"/>
              </font>
              <fill>
                <patternFill>
                  <bgColor rgb="FFFFC7CE"/>
                </patternFill>
              </fill>
            </x14:dxf>
          </x14:cfRule>
          <x14:cfRule type="containsText" priority="663" operator="containsText" id="{EAC61494-386B-44E7-8370-60A9EE9EDE72}">
            <xm:f>NOT(ISERROR(SEARCH(#REF!,G1908)))</xm:f>
            <xm:f>#REF!</xm:f>
            <x14:dxf>
              <font>
                <color rgb="FF006100"/>
              </font>
              <fill>
                <patternFill>
                  <bgColor rgb="FFC6EFCE"/>
                </patternFill>
              </fill>
            </x14:dxf>
          </x14:cfRule>
          <xm:sqref>G1908:G1925</xm:sqref>
        </x14:conditionalFormatting>
        <x14:conditionalFormatting xmlns:xm="http://schemas.microsoft.com/office/excel/2006/main">
          <x14:cfRule type="containsText" priority="659" operator="containsText" id="{83E364C3-DC97-42DB-A97A-9EBAE3BDB03B}">
            <xm:f>NOT(ISERROR(SEARCH(#REF!,G1906)))</xm:f>
            <xm:f>#REF!</xm:f>
            <x14:dxf>
              <font>
                <color rgb="FF9C0006"/>
              </font>
              <fill>
                <patternFill>
                  <bgColor rgb="FFFFC7CE"/>
                </patternFill>
              </fill>
            </x14:dxf>
          </x14:cfRule>
          <x14:cfRule type="containsText" priority="660" operator="containsText" id="{AE0BCED5-391A-43D4-8EA3-8B6E927D5217}">
            <xm:f>NOT(ISERROR(SEARCH(#REF!,G1906)))</xm:f>
            <xm:f>#REF!</xm:f>
            <x14:dxf>
              <font>
                <color rgb="FF006100"/>
              </font>
              <fill>
                <patternFill>
                  <bgColor rgb="FFC6EFCE"/>
                </patternFill>
              </fill>
            </x14:dxf>
          </x14:cfRule>
          <xm:sqref>G1906:G1907</xm:sqref>
        </x14:conditionalFormatting>
        <x14:conditionalFormatting xmlns:xm="http://schemas.microsoft.com/office/excel/2006/main">
          <x14:cfRule type="containsText" priority="652" operator="containsText" id="{421B021A-701C-4AB9-9901-1AB84F2CEBE7}">
            <xm:f>NOT(ISERROR(SEARCH(#REF!,I1908)))</xm:f>
            <xm:f>#REF!</xm:f>
            <x14:dxf>
              <font>
                <color rgb="FF9C0006"/>
              </font>
              <fill>
                <patternFill>
                  <bgColor rgb="FFFFC7CE"/>
                </patternFill>
              </fill>
            </x14:dxf>
          </x14:cfRule>
          <x14:cfRule type="containsText" priority="653" operator="containsText" id="{396B317A-B7FB-49C3-A0B1-F4D784C0C240}">
            <xm:f>NOT(ISERROR(SEARCH(#REF!,I1908)))</xm:f>
            <xm:f>#REF!</xm:f>
            <x14:dxf>
              <font>
                <color rgb="FF006100"/>
              </font>
              <fill>
                <patternFill>
                  <bgColor rgb="FFC6EFCE"/>
                </patternFill>
              </fill>
            </x14:dxf>
          </x14:cfRule>
          <xm:sqref>I1908:I1925</xm:sqref>
        </x14:conditionalFormatting>
        <x14:conditionalFormatting xmlns:xm="http://schemas.microsoft.com/office/excel/2006/main">
          <x14:cfRule type="containsText" priority="649" operator="containsText" id="{C091E5D6-6A9D-483C-9EAC-0A74FAFBD5FA}">
            <xm:f>NOT(ISERROR(SEARCH(#REF!,I1906)))</xm:f>
            <xm:f>#REF!</xm:f>
            <x14:dxf>
              <font>
                <color rgb="FF9C0006"/>
              </font>
              <fill>
                <patternFill>
                  <bgColor rgb="FFFFC7CE"/>
                </patternFill>
              </fill>
            </x14:dxf>
          </x14:cfRule>
          <x14:cfRule type="containsText" priority="650" operator="containsText" id="{273E19C5-B9EC-4D65-90C3-5C207E5799A4}">
            <xm:f>NOT(ISERROR(SEARCH(#REF!,I1906)))</xm:f>
            <xm:f>#REF!</xm:f>
            <x14:dxf>
              <font>
                <color rgb="FF006100"/>
              </font>
              <fill>
                <patternFill>
                  <bgColor rgb="FFC6EFCE"/>
                </patternFill>
              </fill>
            </x14:dxf>
          </x14:cfRule>
          <xm:sqref>I1906:I1907</xm:sqref>
        </x14:conditionalFormatting>
        <x14:conditionalFormatting xmlns:xm="http://schemas.microsoft.com/office/excel/2006/main">
          <x14:cfRule type="containsText" priority="642" operator="containsText" id="{C61B9068-DAC6-45F8-AD69-6B412D1FB5E4}">
            <xm:f>NOT(ISERROR(SEARCH(#REF!,G1942)))</xm:f>
            <xm:f>#REF!</xm:f>
            <x14:dxf>
              <font>
                <color rgb="FF9C0006"/>
              </font>
              <fill>
                <patternFill>
                  <bgColor rgb="FFFFC7CE"/>
                </patternFill>
              </fill>
            </x14:dxf>
          </x14:cfRule>
          <x14:cfRule type="containsText" priority="643" operator="containsText" id="{671C36B5-6538-4E14-AAE2-425FE04EB625}">
            <xm:f>NOT(ISERROR(SEARCH(#REF!,G1942)))</xm:f>
            <xm:f>#REF!</xm:f>
            <x14:dxf>
              <font>
                <color rgb="FF006100"/>
              </font>
              <fill>
                <patternFill>
                  <bgColor rgb="FFC6EFCE"/>
                </patternFill>
              </fill>
            </x14:dxf>
          </x14:cfRule>
          <xm:sqref>G1942:G1959</xm:sqref>
        </x14:conditionalFormatting>
        <x14:conditionalFormatting xmlns:xm="http://schemas.microsoft.com/office/excel/2006/main">
          <x14:cfRule type="containsText" priority="639" operator="containsText" id="{748E9F84-6E7C-401D-BE25-456B7427A46F}">
            <xm:f>NOT(ISERROR(SEARCH(#REF!,G1940)))</xm:f>
            <xm:f>#REF!</xm:f>
            <x14:dxf>
              <font>
                <color rgb="FF9C0006"/>
              </font>
              <fill>
                <patternFill>
                  <bgColor rgb="FFFFC7CE"/>
                </patternFill>
              </fill>
            </x14:dxf>
          </x14:cfRule>
          <x14:cfRule type="containsText" priority="640" operator="containsText" id="{64BE997F-7318-4D3B-9C59-30273A6782AA}">
            <xm:f>NOT(ISERROR(SEARCH(#REF!,G1940)))</xm:f>
            <xm:f>#REF!</xm:f>
            <x14:dxf>
              <font>
                <color rgb="FF006100"/>
              </font>
              <fill>
                <patternFill>
                  <bgColor rgb="FFC6EFCE"/>
                </patternFill>
              </fill>
            </x14:dxf>
          </x14:cfRule>
          <xm:sqref>G1940:G1941</xm:sqref>
        </x14:conditionalFormatting>
        <x14:conditionalFormatting xmlns:xm="http://schemas.microsoft.com/office/excel/2006/main">
          <x14:cfRule type="containsText" priority="632" operator="containsText" id="{9D8F2B57-EAED-4B47-89C2-C562F5C0B316}">
            <xm:f>NOT(ISERROR(SEARCH(#REF!,I1942)))</xm:f>
            <xm:f>#REF!</xm:f>
            <x14:dxf>
              <font>
                <color rgb="FF9C0006"/>
              </font>
              <fill>
                <patternFill>
                  <bgColor rgb="FFFFC7CE"/>
                </patternFill>
              </fill>
            </x14:dxf>
          </x14:cfRule>
          <x14:cfRule type="containsText" priority="633" operator="containsText" id="{5DF1ACF7-C939-499C-B7C1-5DEBF66106F0}">
            <xm:f>NOT(ISERROR(SEARCH(#REF!,I1942)))</xm:f>
            <xm:f>#REF!</xm:f>
            <x14:dxf>
              <font>
                <color rgb="FF006100"/>
              </font>
              <fill>
                <patternFill>
                  <bgColor rgb="FFC6EFCE"/>
                </patternFill>
              </fill>
            </x14:dxf>
          </x14:cfRule>
          <xm:sqref>I1942:I1959</xm:sqref>
        </x14:conditionalFormatting>
        <x14:conditionalFormatting xmlns:xm="http://schemas.microsoft.com/office/excel/2006/main">
          <x14:cfRule type="containsText" priority="629" operator="containsText" id="{FB69F962-4BE0-4439-AA5E-94C0BFF4E377}">
            <xm:f>NOT(ISERROR(SEARCH(#REF!,I1940)))</xm:f>
            <xm:f>#REF!</xm:f>
            <x14:dxf>
              <font>
                <color rgb="FF9C0006"/>
              </font>
              <fill>
                <patternFill>
                  <bgColor rgb="FFFFC7CE"/>
                </patternFill>
              </fill>
            </x14:dxf>
          </x14:cfRule>
          <x14:cfRule type="containsText" priority="630" operator="containsText" id="{BA44BE46-86D1-4E02-BADE-47716CB3B27A}">
            <xm:f>NOT(ISERROR(SEARCH(#REF!,I1940)))</xm:f>
            <xm:f>#REF!</xm:f>
            <x14:dxf>
              <font>
                <color rgb="FF006100"/>
              </font>
              <fill>
                <patternFill>
                  <bgColor rgb="FFC6EFCE"/>
                </patternFill>
              </fill>
            </x14:dxf>
          </x14:cfRule>
          <xm:sqref>I1940:I1941</xm:sqref>
        </x14:conditionalFormatting>
        <x14:conditionalFormatting xmlns:xm="http://schemas.microsoft.com/office/excel/2006/main">
          <x14:cfRule type="containsText" priority="589" operator="containsText" id="{A65EF33E-253A-42F3-9E5E-C5A4405151A1}">
            <xm:f>NOT(ISERROR(SEARCH(#REF!,G49)))</xm:f>
            <xm:f>#REF!</xm:f>
            <x14:dxf>
              <font>
                <color rgb="FF9C0006"/>
              </font>
              <fill>
                <patternFill>
                  <bgColor rgb="FFFFC7CE"/>
                </patternFill>
              </fill>
            </x14:dxf>
          </x14:cfRule>
          <x14:cfRule type="containsText" priority="590" operator="containsText" id="{3C06A095-0450-46BD-A4D4-5657C47C97C6}">
            <xm:f>NOT(ISERROR(SEARCH(#REF!,G49)))</xm:f>
            <xm:f>#REF!</xm:f>
            <x14:dxf>
              <font>
                <color rgb="FF006100"/>
              </font>
              <fill>
                <patternFill>
                  <bgColor rgb="FFC6EFCE"/>
                </patternFill>
              </fill>
            </x14:dxf>
          </x14:cfRule>
          <xm:sqref>G49</xm:sqref>
        </x14:conditionalFormatting>
        <x14:conditionalFormatting xmlns:xm="http://schemas.microsoft.com/office/excel/2006/main">
          <x14:cfRule type="containsText" priority="584" operator="containsText" id="{0324F931-5CAC-4F0B-8B71-33985B22102E}">
            <xm:f>NOT(ISERROR(SEARCH(#REF!,I49)))</xm:f>
            <xm:f>#REF!</xm:f>
            <x14:dxf>
              <font>
                <color rgb="FF9C0006"/>
              </font>
              <fill>
                <patternFill>
                  <bgColor rgb="FFFFC7CE"/>
                </patternFill>
              </fill>
            </x14:dxf>
          </x14:cfRule>
          <x14:cfRule type="containsText" priority="585" operator="containsText" id="{B2243DB9-1BC3-4272-84FB-06438E894999}">
            <xm:f>NOT(ISERROR(SEARCH(#REF!,I49)))</xm:f>
            <xm:f>#REF!</xm:f>
            <x14:dxf>
              <font>
                <color rgb="FF006100"/>
              </font>
              <fill>
                <patternFill>
                  <bgColor rgb="FFC6EFCE"/>
                </patternFill>
              </fill>
            </x14:dxf>
          </x14:cfRule>
          <xm:sqref>I49</xm:sqref>
        </x14:conditionalFormatting>
        <x14:conditionalFormatting xmlns:xm="http://schemas.microsoft.com/office/excel/2006/main">
          <x14:cfRule type="containsText" priority="579" operator="containsText" id="{FF4D55E8-641E-4C4A-8D28-EC996862D924}">
            <xm:f>NOT(ISERROR(SEARCH(#REF!,G50)))</xm:f>
            <xm:f>#REF!</xm:f>
            <x14:dxf>
              <font>
                <color rgb="FF9C0006"/>
              </font>
              <fill>
                <patternFill>
                  <bgColor rgb="FFFFC7CE"/>
                </patternFill>
              </fill>
            </x14:dxf>
          </x14:cfRule>
          <x14:cfRule type="containsText" priority="580" operator="containsText" id="{8629D953-0098-4A87-B42C-D4A2962C6189}">
            <xm:f>NOT(ISERROR(SEARCH(#REF!,G50)))</xm:f>
            <xm:f>#REF!</xm:f>
            <x14:dxf>
              <font>
                <color rgb="FF006100"/>
              </font>
              <fill>
                <patternFill>
                  <bgColor rgb="FFC6EFCE"/>
                </patternFill>
              </fill>
            </x14:dxf>
          </x14:cfRule>
          <xm:sqref>G50</xm:sqref>
        </x14:conditionalFormatting>
        <x14:conditionalFormatting xmlns:xm="http://schemas.microsoft.com/office/excel/2006/main">
          <x14:cfRule type="containsText" priority="574" operator="containsText" id="{DAB5E371-D3C6-40BF-B5FC-8FC0FE7FF00E}">
            <xm:f>NOT(ISERROR(SEARCH(#REF!,I50)))</xm:f>
            <xm:f>#REF!</xm:f>
            <x14:dxf>
              <font>
                <color rgb="FF9C0006"/>
              </font>
              <fill>
                <patternFill>
                  <bgColor rgb="FFFFC7CE"/>
                </patternFill>
              </fill>
            </x14:dxf>
          </x14:cfRule>
          <x14:cfRule type="containsText" priority="575" operator="containsText" id="{D53B8E5E-0FE8-4A80-A73E-0F3D33384BB4}">
            <xm:f>NOT(ISERROR(SEARCH(#REF!,I50)))</xm:f>
            <xm:f>#REF!</xm:f>
            <x14:dxf>
              <font>
                <color rgb="FF006100"/>
              </font>
              <fill>
                <patternFill>
                  <bgColor rgb="FFC6EFCE"/>
                </patternFill>
              </fill>
            </x14:dxf>
          </x14:cfRule>
          <xm:sqref>I50</xm:sqref>
        </x14:conditionalFormatting>
        <x14:conditionalFormatting xmlns:xm="http://schemas.microsoft.com/office/excel/2006/main">
          <x14:cfRule type="containsText" priority="569" operator="containsText" id="{F987A1AE-B721-4F8D-9BCE-4BF82B17ECEA}">
            <xm:f>NOT(ISERROR(SEARCH(#REF!,G51)))</xm:f>
            <xm:f>#REF!</xm:f>
            <x14:dxf>
              <font>
                <color rgb="FF9C0006"/>
              </font>
              <fill>
                <patternFill>
                  <bgColor rgb="FFFFC7CE"/>
                </patternFill>
              </fill>
            </x14:dxf>
          </x14:cfRule>
          <x14:cfRule type="containsText" priority="570" operator="containsText" id="{9038EDFE-329E-4A9F-BCD9-8AF3DB4E4D0D}">
            <xm:f>NOT(ISERROR(SEARCH(#REF!,G51)))</xm:f>
            <xm:f>#REF!</xm:f>
            <x14:dxf>
              <font>
                <color rgb="FF006100"/>
              </font>
              <fill>
                <patternFill>
                  <bgColor rgb="FFC6EFCE"/>
                </patternFill>
              </fill>
            </x14:dxf>
          </x14:cfRule>
          <xm:sqref>G51</xm:sqref>
        </x14:conditionalFormatting>
        <x14:conditionalFormatting xmlns:xm="http://schemas.microsoft.com/office/excel/2006/main">
          <x14:cfRule type="containsText" priority="564" operator="containsText" id="{26C4F49F-3DBA-473C-885F-88DDB20D055D}">
            <xm:f>NOT(ISERROR(SEARCH(#REF!,I51)))</xm:f>
            <xm:f>#REF!</xm:f>
            <x14:dxf>
              <font>
                <color rgb="FF9C0006"/>
              </font>
              <fill>
                <patternFill>
                  <bgColor rgb="FFFFC7CE"/>
                </patternFill>
              </fill>
            </x14:dxf>
          </x14:cfRule>
          <x14:cfRule type="containsText" priority="565" operator="containsText" id="{0C6840B5-F445-440A-A540-2331F0F288F8}">
            <xm:f>NOT(ISERROR(SEARCH(#REF!,I51)))</xm:f>
            <xm:f>#REF!</xm:f>
            <x14:dxf>
              <font>
                <color rgb="FF006100"/>
              </font>
              <fill>
                <patternFill>
                  <bgColor rgb="FFC6EFCE"/>
                </patternFill>
              </fill>
            </x14:dxf>
          </x14:cfRule>
          <xm:sqref>I51</xm:sqref>
        </x14:conditionalFormatting>
        <x14:conditionalFormatting xmlns:xm="http://schemas.microsoft.com/office/excel/2006/main">
          <x14:cfRule type="containsText" priority="559" operator="containsText" id="{9FA87AFD-FD30-4DB5-8B13-9B77D0F4C2E4}">
            <xm:f>NOT(ISERROR(SEARCH(#REF!,G52)))</xm:f>
            <xm:f>#REF!</xm:f>
            <x14:dxf>
              <font>
                <color rgb="FF9C0006"/>
              </font>
              <fill>
                <patternFill>
                  <bgColor rgb="FFFFC7CE"/>
                </patternFill>
              </fill>
            </x14:dxf>
          </x14:cfRule>
          <x14:cfRule type="containsText" priority="560" operator="containsText" id="{48438BE6-6C9E-4FA7-8BE4-424B685082EB}">
            <xm:f>NOT(ISERROR(SEARCH(#REF!,G52)))</xm:f>
            <xm:f>#REF!</xm:f>
            <x14:dxf>
              <font>
                <color rgb="FF006100"/>
              </font>
              <fill>
                <patternFill>
                  <bgColor rgb="FFC6EFCE"/>
                </patternFill>
              </fill>
            </x14:dxf>
          </x14:cfRule>
          <xm:sqref>G52</xm:sqref>
        </x14:conditionalFormatting>
        <x14:conditionalFormatting xmlns:xm="http://schemas.microsoft.com/office/excel/2006/main">
          <x14:cfRule type="containsText" priority="554" operator="containsText" id="{13DE90C9-D7BE-43A2-8AD5-6F9B9BBF0FA7}">
            <xm:f>NOT(ISERROR(SEARCH(#REF!,I52)))</xm:f>
            <xm:f>#REF!</xm:f>
            <x14:dxf>
              <font>
                <color rgb="FF9C0006"/>
              </font>
              <fill>
                <patternFill>
                  <bgColor rgb="FFFFC7CE"/>
                </patternFill>
              </fill>
            </x14:dxf>
          </x14:cfRule>
          <x14:cfRule type="containsText" priority="555" operator="containsText" id="{5AB94C94-E8FB-4569-9567-BC34DAB57904}">
            <xm:f>NOT(ISERROR(SEARCH(#REF!,I52)))</xm:f>
            <xm:f>#REF!</xm:f>
            <x14:dxf>
              <font>
                <color rgb="FF006100"/>
              </font>
              <fill>
                <patternFill>
                  <bgColor rgb="FFC6EFCE"/>
                </patternFill>
              </fill>
            </x14:dxf>
          </x14:cfRule>
          <xm:sqref>I52</xm:sqref>
        </x14:conditionalFormatting>
        <x14:conditionalFormatting xmlns:xm="http://schemas.microsoft.com/office/excel/2006/main">
          <x14:cfRule type="containsText" priority="549" operator="containsText" id="{8C2B6769-E8CA-4E0B-90C7-913EF93F3689}">
            <xm:f>NOT(ISERROR(SEARCH(#REF!,G53)))</xm:f>
            <xm:f>#REF!</xm:f>
            <x14:dxf>
              <font>
                <color rgb="FF9C0006"/>
              </font>
              <fill>
                <patternFill>
                  <bgColor rgb="FFFFC7CE"/>
                </patternFill>
              </fill>
            </x14:dxf>
          </x14:cfRule>
          <x14:cfRule type="containsText" priority="550" operator="containsText" id="{59C8E217-5AB9-4A87-B023-0F069079FCF4}">
            <xm:f>NOT(ISERROR(SEARCH(#REF!,G53)))</xm:f>
            <xm:f>#REF!</xm:f>
            <x14:dxf>
              <font>
                <color rgb="FF006100"/>
              </font>
              <fill>
                <patternFill>
                  <bgColor rgb="FFC6EFCE"/>
                </patternFill>
              </fill>
            </x14:dxf>
          </x14:cfRule>
          <xm:sqref>G53</xm:sqref>
        </x14:conditionalFormatting>
        <x14:conditionalFormatting xmlns:xm="http://schemas.microsoft.com/office/excel/2006/main">
          <x14:cfRule type="containsText" priority="544" operator="containsText" id="{655CCACE-B0FD-4DA0-B4D0-B7D27E4E78DB}">
            <xm:f>NOT(ISERROR(SEARCH(#REF!,I53)))</xm:f>
            <xm:f>#REF!</xm:f>
            <x14:dxf>
              <font>
                <color rgb="FF9C0006"/>
              </font>
              <fill>
                <patternFill>
                  <bgColor rgb="FFFFC7CE"/>
                </patternFill>
              </fill>
            </x14:dxf>
          </x14:cfRule>
          <x14:cfRule type="containsText" priority="545" operator="containsText" id="{FA6B7CDE-9437-40FF-A332-939F1BDA8A56}">
            <xm:f>NOT(ISERROR(SEARCH(#REF!,I53)))</xm:f>
            <xm:f>#REF!</xm:f>
            <x14:dxf>
              <font>
                <color rgb="FF006100"/>
              </font>
              <fill>
                <patternFill>
                  <bgColor rgb="FFC6EFCE"/>
                </patternFill>
              </fill>
            </x14:dxf>
          </x14:cfRule>
          <xm:sqref>I53</xm:sqref>
        </x14:conditionalFormatting>
        <x14:conditionalFormatting xmlns:xm="http://schemas.microsoft.com/office/excel/2006/main">
          <x14:cfRule type="containsText" priority="539" operator="containsText" id="{D61BCB6C-315B-4CFC-97E3-B501AEE99581}">
            <xm:f>NOT(ISERROR(SEARCH(#REF!,G54)))</xm:f>
            <xm:f>#REF!</xm:f>
            <x14:dxf>
              <font>
                <color rgb="FF9C0006"/>
              </font>
              <fill>
                <patternFill>
                  <bgColor rgb="FFFFC7CE"/>
                </patternFill>
              </fill>
            </x14:dxf>
          </x14:cfRule>
          <x14:cfRule type="containsText" priority="540" operator="containsText" id="{AFCB8165-48A0-40E7-BE06-880F5078B960}">
            <xm:f>NOT(ISERROR(SEARCH(#REF!,G54)))</xm:f>
            <xm:f>#REF!</xm:f>
            <x14:dxf>
              <font>
                <color rgb="FF006100"/>
              </font>
              <fill>
                <patternFill>
                  <bgColor rgb="FFC6EFCE"/>
                </patternFill>
              </fill>
            </x14:dxf>
          </x14:cfRule>
          <xm:sqref>G54</xm:sqref>
        </x14:conditionalFormatting>
        <x14:conditionalFormatting xmlns:xm="http://schemas.microsoft.com/office/excel/2006/main">
          <x14:cfRule type="containsText" priority="534" operator="containsText" id="{403B2C92-3FF8-460C-894A-616E9B5739C8}">
            <xm:f>NOT(ISERROR(SEARCH(#REF!,I54)))</xm:f>
            <xm:f>#REF!</xm:f>
            <x14:dxf>
              <font>
                <color rgb="FF9C0006"/>
              </font>
              <fill>
                <patternFill>
                  <bgColor rgb="FFFFC7CE"/>
                </patternFill>
              </fill>
            </x14:dxf>
          </x14:cfRule>
          <x14:cfRule type="containsText" priority="535" operator="containsText" id="{452A34E7-AD57-4A7B-83C4-BFF4C2D069E8}">
            <xm:f>NOT(ISERROR(SEARCH(#REF!,I54)))</xm:f>
            <xm:f>#REF!</xm:f>
            <x14:dxf>
              <font>
                <color rgb="FF006100"/>
              </font>
              <fill>
                <patternFill>
                  <bgColor rgb="FFC6EFCE"/>
                </patternFill>
              </fill>
            </x14:dxf>
          </x14:cfRule>
          <xm:sqref>I54</xm:sqref>
        </x14:conditionalFormatting>
        <x14:conditionalFormatting xmlns:xm="http://schemas.microsoft.com/office/excel/2006/main">
          <x14:cfRule type="containsText" priority="529" operator="containsText" id="{7EBDB59A-845F-43E3-B1CB-531A695F5385}">
            <xm:f>NOT(ISERROR(SEARCH(#REF!,I295)))</xm:f>
            <xm:f>#REF!</xm:f>
            <x14:dxf>
              <font>
                <color rgb="FF9C0006"/>
              </font>
              <fill>
                <patternFill>
                  <bgColor rgb="FFFFC7CE"/>
                </patternFill>
              </fill>
            </x14:dxf>
          </x14:cfRule>
          <x14:cfRule type="containsText" priority="530" operator="containsText" id="{D2638EB2-B486-4F7E-AFC6-7FC66297BD21}">
            <xm:f>NOT(ISERROR(SEARCH(#REF!,I295)))</xm:f>
            <xm:f>#REF!</xm:f>
            <x14:dxf>
              <font>
                <color rgb="FF006100"/>
              </font>
              <fill>
                <patternFill>
                  <bgColor rgb="FFC6EFCE"/>
                </patternFill>
              </fill>
            </x14:dxf>
          </x14:cfRule>
          <xm:sqref>I295:I314</xm:sqref>
        </x14:conditionalFormatting>
        <x14:conditionalFormatting xmlns:xm="http://schemas.microsoft.com/office/excel/2006/main">
          <x14:cfRule type="containsText" priority="524" operator="containsText" id="{B5ABD42E-1E72-4FC3-B67D-E438E116D7B1}">
            <xm:f>NOT(ISERROR(SEARCH(#REF!,G295)))</xm:f>
            <xm:f>#REF!</xm:f>
            <x14:dxf>
              <font>
                <color rgb="FF9C0006"/>
              </font>
              <fill>
                <patternFill>
                  <bgColor rgb="FFFFC7CE"/>
                </patternFill>
              </fill>
            </x14:dxf>
          </x14:cfRule>
          <x14:cfRule type="containsText" priority="525" operator="containsText" id="{C8F4FBB1-48B1-4CED-9981-6C3453611BB0}">
            <xm:f>NOT(ISERROR(SEARCH(#REF!,G295)))</xm:f>
            <xm:f>#REF!</xm:f>
            <x14:dxf>
              <font>
                <color rgb="FF006100"/>
              </font>
              <fill>
                <patternFill>
                  <bgColor rgb="FFC6EFCE"/>
                </patternFill>
              </fill>
            </x14:dxf>
          </x14:cfRule>
          <xm:sqref>G295 G297 G299 G301 G303 G305 G307 G309 G311 G313</xm:sqref>
        </x14:conditionalFormatting>
        <x14:conditionalFormatting xmlns:xm="http://schemas.microsoft.com/office/excel/2006/main">
          <x14:cfRule type="containsText" priority="519" operator="containsText" id="{3D7E24E5-CEC9-4DB6-8F73-7A4DE7DEA64D}">
            <xm:f>NOT(ISERROR(SEARCH(#REF!,G296)))</xm:f>
            <xm:f>#REF!</xm:f>
            <x14:dxf>
              <font>
                <color rgb="FF9C0006"/>
              </font>
              <fill>
                <patternFill>
                  <bgColor rgb="FFFFC7CE"/>
                </patternFill>
              </fill>
            </x14:dxf>
          </x14:cfRule>
          <x14:cfRule type="containsText" priority="520" operator="containsText" id="{D54BCD40-0D21-4624-B0E7-46EDEA5D9D1C}">
            <xm:f>NOT(ISERROR(SEARCH(#REF!,G296)))</xm:f>
            <xm:f>#REF!</xm:f>
            <x14:dxf>
              <font>
                <color rgb="FF006100"/>
              </font>
              <fill>
                <patternFill>
                  <bgColor rgb="FFC6EFCE"/>
                </patternFill>
              </fill>
            </x14:dxf>
          </x14:cfRule>
          <xm:sqref>G296 G298 G300 G302 G304 G306 G308 G310 G312 G314</xm:sqref>
        </x14:conditionalFormatting>
        <x14:conditionalFormatting xmlns:xm="http://schemas.microsoft.com/office/excel/2006/main">
          <x14:cfRule type="containsText" priority="514" operator="containsText" id="{0E04C04C-2C83-41D5-9C0E-43CE4C93230F}">
            <xm:f>NOT(ISERROR(SEARCH(#REF!,G335)))</xm:f>
            <xm:f>#REF!</xm:f>
            <x14:dxf>
              <font>
                <color rgb="FF9C0006"/>
              </font>
              <fill>
                <patternFill>
                  <bgColor rgb="FFFFC7CE"/>
                </patternFill>
              </fill>
            </x14:dxf>
          </x14:cfRule>
          <x14:cfRule type="containsText" priority="515" operator="containsText" id="{23AF1102-C7E3-4FC8-86CF-3B33F235B946}">
            <xm:f>NOT(ISERROR(SEARCH(#REF!,G335)))</xm:f>
            <xm:f>#REF!</xm:f>
            <x14:dxf>
              <font>
                <color rgb="FF006100"/>
              </font>
              <fill>
                <patternFill>
                  <bgColor rgb="FFC6EFCE"/>
                </patternFill>
              </fill>
            </x14:dxf>
          </x14:cfRule>
          <xm:sqref>G335</xm:sqref>
        </x14:conditionalFormatting>
        <x14:conditionalFormatting xmlns:xm="http://schemas.microsoft.com/office/excel/2006/main">
          <x14:cfRule type="containsText" priority="509" operator="containsText" id="{22F44951-2225-44D3-AC62-9B1BE50208AB}">
            <xm:f>NOT(ISERROR(SEARCH(#REF!,I335)))</xm:f>
            <xm:f>#REF!</xm:f>
            <x14:dxf>
              <font>
                <color rgb="FF9C0006"/>
              </font>
              <fill>
                <patternFill>
                  <bgColor rgb="FFFFC7CE"/>
                </patternFill>
              </fill>
            </x14:dxf>
          </x14:cfRule>
          <x14:cfRule type="containsText" priority="510" operator="containsText" id="{40BAC4F3-ED7D-44B2-9BB3-D73915DF18F2}">
            <xm:f>NOT(ISERROR(SEARCH(#REF!,I335)))</xm:f>
            <xm:f>#REF!</xm:f>
            <x14:dxf>
              <font>
                <color rgb="FF006100"/>
              </font>
              <fill>
                <patternFill>
                  <bgColor rgb="FFC6EFCE"/>
                </patternFill>
              </fill>
            </x14:dxf>
          </x14:cfRule>
          <xm:sqref>I335</xm:sqref>
        </x14:conditionalFormatting>
        <x14:conditionalFormatting xmlns:xm="http://schemas.microsoft.com/office/excel/2006/main">
          <x14:cfRule type="containsText" priority="502" operator="containsText" id="{B0F35C80-0FE7-4669-BA4F-52440DD51CE3}">
            <xm:f>NOT(ISERROR(SEARCH(#REF!,G335)))</xm:f>
            <xm:f>#REF!</xm:f>
            <x14:dxf>
              <font>
                <color rgb="FF9C0006"/>
              </font>
              <fill>
                <patternFill>
                  <bgColor rgb="FFFFC7CE"/>
                </patternFill>
              </fill>
            </x14:dxf>
          </x14:cfRule>
          <x14:cfRule type="containsText" priority="503" operator="containsText" id="{FC18623F-BF6F-4D68-9B62-46B292BB973C}">
            <xm:f>NOT(ISERROR(SEARCH(#REF!,G335)))</xm:f>
            <xm:f>#REF!</xm:f>
            <x14:dxf>
              <font>
                <color rgb="FF006100"/>
              </font>
              <fill>
                <patternFill>
                  <bgColor rgb="FFC6EFCE"/>
                </patternFill>
              </fill>
            </x14:dxf>
          </x14:cfRule>
          <xm:sqref>G335:G349</xm:sqref>
        </x14:conditionalFormatting>
        <x14:conditionalFormatting xmlns:xm="http://schemas.microsoft.com/office/excel/2006/main">
          <x14:cfRule type="containsText" priority="499" operator="containsText" id="{838DDC59-2F3A-48F7-8AC1-A7D7D9BB8877}">
            <xm:f>NOT(ISERROR(SEARCH(#REF!,G331)))</xm:f>
            <xm:f>#REF!</xm:f>
            <x14:dxf>
              <font>
                <color rgb="FF9C0006"/>
              </font>
              <fill>
                <patternFill>
                  <bgColor rgb="FFFFC7CE"/>
                </patternFill>
              </fill>
            </x14:dxf>
          </x14:cfRule>
          <x14:cfRule type="containsText" priority="500" operator="containsText" id="{111CA39F-F4FD-4AB5-90D6-3A975B0B08C0}">
            <xm:f>NOT(ISERROR(SEARCH(#REF!,G331)))</xm:f>
            <xm:f>#REF!</xm:f>
            <x14:dxf>
              <font>
                <color rgb="FF006100"/>
              </font>
              <fill>
                <patternFill>
                  <bgColor rgb="FFC6EFCE"/>
                </patternFill>
              </fill>
            </x14:dxf>
          </x14:cfRule>
          <xm:sqref>G331:G332</xm:sqref>
        </x14:conditionalFormatting>
        <x14:conditionalFormatting xmlns:xm="http://schemas.microsoft.com/office/excel/2006/main">
          <x14:cfRule type="containsText" priority="492" operator="containsText" id="{49704314-BFD0-45E2-A712-AD0C9214037B}">
            <xm:f>NOT(ISERROR(SEARCH(#REF!,I333)))</xm:f>
            <xm:f>#REF!</xm:f>
            <x14:dxf>
              <font>
                <color rgb="FF9C0006"/>
              </font>
              <fill>
                <patternFill>
                  <bgColor rgb="FFFFC7CE"/>
                </patternFill>
              </fill>
            </x14:dxf>
          </x14:cfRule>
          <x14:cfRule type="containsText" priority="493" operator="containsText" id="{141BF211-5FB6-4D1B-BD1D-728B3E655A62}">
            <xm:f>NOT(ISERROR(SEARCH(#REF!,I333)))</xm:f>
            <xm:f>#REF!</xm:f>
            <x14:dxf>
              <font>
                <color rgb="FF006100"/>
              </font>
              <fill>
                <patternFill>
                  <bgColor rgb="FFC6EFCE"/>
                </patternFill>
              </fill>
            </x14:dxf>
          </x14:cfRule>
          <xm:sqref>I333:I349</xm:sqref>
        </x14:conditionalFormatting>
        <x14:conditionalFormatting xmlns:xm="http://schemas.microsoft.com/office/excel/2006/main">
          <x14:cfRule type="containsText" priority="489" operator="containsText" id="{3A6B1C91-A959-48CE-91F8-74978D611580}">
            <xm:f>NOT(ISERROR(SEARCH(#REF!,I331)))</xm:f>
            <xm:f>#REF!</xm:f>
            <x14:dxf>
              <font>
                <color rgb="FF9C0006"/>
              </font>
              <fill>
                <patternFill>
                  <bgColor rgb="FFFFC7CE"/>
                </patternFill>
              </fill>
            </x14:dxf>
          </x14:cfRule>
          <x14:cfRule type="containsText" priority="490" operator="containsText" id="{D99B5600-D9B9-4FB6-B761-FA34F14D0333}">
            <xm:f>NOT(ISERROR(SEARCH(#REF!,I331)))</xm:f>
            <xm:f>#REF!</xm:f>
            <x14:dxf>
              <font>
                <color rgb="FF006100"/>
              </font>
              <fill>
                <patternFill>
                  <bgColor rgb="FFC6EFCE"/>
                </patternFill>
              </fill>
            </x14:dxf>
          </x14:cfRule>
          <xm:sqref>I331:I332</xm:sqref>
        </x14:conditionalFormatting>
        <x14:conditionalFormatting xmlns:xm="http://schemas.microsoft.com/office/excel/2006/main">
          <x14:cfRule type="containsText" priority="484" operator="containsText" id="{79E4EAD9-6588-428C-B885-F3F76A803EE8}">
            <xm:f>NOT(ISERROR(SEARCH(#REF!,G336)))</xm:f>
            <xm:f>#REF!</xm:f>
            <x14:dxf>
              <font>
                <color rgb="FF9C0006"/>
              </font>
              <fill>
                <patternFill>
                  <bgColor rgb="FFFFC7CE"/>
                </patternFill>
              </fill>
            </x14:dxf>
          </x14:cfRule>
          <x14:cfRule type="containsText" priority="485" operator="containsText" id="{DF497737-61A9-40E5-977B-4401A4F722A6}">
            <xm:f>NOT(ISERROR(SEARCH(#REF!,G336)))</xm:f>
            <xm:f>#REF!</xm:f>
            <x14:dxf>
              <font>
                <color rgb="FF006100"/>
              </font>
              <fill>
                <patternFill>
                  <bgColor rgb="FFC6EFCE"/>
                </patternFill>
              </fill>
            </x14:dxf>
          </x14:cfRule>
          <xm:sqref>G336</xm:sqref>
        </x14:conditionalFormatting>
        <x14:conditionalFormatting xmlns:xm="http://schemas.microsoft.com/office/excel/2006/main">
          <x14:cfRule type="containsText" priority="479" operator="containsText" id="{21DE094C-5F26-47C0-BC41-B3BD676B5198}">
            <xm:f>NOT(ISERROR(SEARCH(#REF!,I336)))</xm:f>
            <xm:f>#REF!</xm:f>
            <x14:dxf>
              <font>
                <color rgb="FF9C0006"/>
              </font>
              <fill>
                <patternFill>
                  <bgColor rgb="FFFFC7CE"/>
                </patternFill>
              </fill>
            </x14:dxf>
          </x14:cfRule>
          <x14:cfRule type="containsText" priority="480" operator="containsText" id="{374F5AAC-5FBE-4B4D-8D7E-72BDBB67A0F2}">
            <xm:f>NOT(ISERROR(SEARCH(#REF!,I336)))</xm:f>
            <xm:f>#REF!</xm:f>
            <x14:dxf>
              <font>
                <color rgb="FF006100"/>
              </font>
              <fill>
                <patternFill>
                  <bgColor rgb="FFC6EFCE"/>
                </patternFill>
              </fill>
            </x14:dxf>
          </x14:cfRule>
          <xm:sqref>I336</xm:sqref>
        </x14:conditionalFormatting>
        <x14:conditionalFormatting xmlns:xm="http://schemas.microsoft.com/office/excel/2006/main">
          <x14:cfRule type="containsText" priority="474" operator="containsText" id="{14828075-D890-41F8-963D-84715609E803}">
            <xm:f>NOT(ISERROR(SEARCH(#REF!,G337)))</xm:f>
            <xm:f>#REF!</xm:f>
            <x14:dxf>
              <font>
                <color rgb="FF9C0006"/>
              </font>
              <fill>
                <patternFill>
                  <bgColor rgb="FFFFC7CE"/>
                </patternFill>
              </fill>
            </x14:dxf>
          </x14:cfRule>
          <x14:cfRule type="containsText" priority="475" operator="containsText" id="{50F2C2F8-4B61-4A21-AEC7-2C78BF4A37A2}">
            <xm:f>NOT(ISERROR(SEARCH(#REF!,G337)))</xm:f>
            <xm:f>#REF!</xm:f>
            <x14:dxf>
              <font>
                <color rgb="FF006100"/>
              </font>
              <fill>
                <patternFill>
                  <bgColor rgb="FFC6EFCE"/>
                </patternFill>
              </fill>
            </x14:dxf>
          </x14:cfRule>
          <xm:sqref>G337</xm:sqref>
        </x14:conditionalFormatting>
        <x14:conditionalFormatting xmlns:xm="http://schemas.microsoft.com/office/excel/2006/main">
          <x14:cfRule type="containsText" priority="469" operator="containsText" id="{7702F567-605B-4975-99E5-D03721E2A650}">
            <xm:f>NOT(ISERROR(SEARCH(#REF!,I337)))</xm:f>
            <xm:f>#REF!</xm:f>
            <x14:dxf>
              <font>
                <color rgb="FF9C0006"/>
              </font>
              <fill>
                <patternFill>
                  <bgColor rgb="FFFFC7CE"/>
                </patternFill>
              </fill>
            </x14:dxf>
          </x14:cfRule>
          <x14:cfRule type="containsText" priority="470" operator="containsText" id="{B998BDA8-32A0-4CB7-BB74-A7007972156B}">
            <xm:f>NOT(ISERROR(SEARCH(#REF!,I337)))</xm:f>
            <xm:f>#REF!</xm:f>
            <x14:dxf>
              <font>
                <color rgb="FF006100"/>
              </font>
              <fill>
                <patternFill>
                  <bgColor rgb="FFC6EFCE"/>
                </patternFill>
              </fill>
            </x14:dxf>
          </x14:cfRule>
          <xm:sqref>I337</xm:sqref>
        </x14:conditionalFormatting>
        <x14:conditionalFormatting xmlns:xm="http://schemas.microsoft.com/office/excel/2006/main">
          <x14:cfRule type="containsText" priority="464" operator="containsText" id="{B6E0D403-12CA-46C8-B70B-9BE9D43EE6EE}">
            <xm:f>NOT(ISERROR(SEARCH(#REF!,G338)))</xm:f>
            <xm:f>#REF!</xm:f>
            <x14:dxf>
              <font>
                <color rgb="FF9C0006"/>
              </font>
              <fill>
                <patternFill>
                  <bgColor rgb="FFFFC7CE"/>
                </patternFill>
              </fill>
            </x14:dxf>
          </x14:cfRule>
          <x14:cfRule type="containsText" priority="465" operator="containsText" id="{A4A0276B-96F4-4BA5-9E23-566B448CE530}">
            <xm:f>NOT(ISERROR(SEARCH(#REF!,G338)))</xm:f>
            <xm:f>#REF!</xm:f>
            <x14:dxf>
              <font>
                <color rgb="FF006100"/>
              </font>
              <fill>
                <patternFill>
                  <bgColor rgb="FFC6EFCE"/>
                </patternFill>
              </fill>
            </x14:dxf>
          </x14:cfRule>
          <xm:sqref>G338</xm:sqref>
        </x14:conditionalFormatting>
        <x14:conditionalFormatting xmlns:xm="http://schemas.microsoft.com/office/excel/2006/main">
          <x14:cfRule type="containsText" priority="459" operator="containsText" id="{5EF161B5-E411-4878-B8F7-896745212702}">
            <xm:f>NOT(ISERROR(SEARCH(#REF!,I338)))</xm:f>
            <xm:f>#REF!</xm:f>
            <x14:dxf>
              <font>
                <color rgb="FF9C0006"/>
              </font>
              <fill>
                <patternFill>
                  <bgColor rgb="FFFFC7CE"/>
                </patternFill>
              </fill>
            </x14:dxf>
          </x14:cfRule>
          <x14:cfRule type="containsText" priority="460" operator="containsText" id="{AE877FD9-1678-4BCA-802B-595166B7FFDD}">
            <xm:f>NOT(ISERROR(SEARCH(#REF!,I338)))</xm:f>
            <xm:f>#REF!</xm:f>
            <x14:dxf>
              <font>
                <color rgb="FF006100"/>
              </font>
              <fill>
                <patternFill>
                  <bgColor rgb="FFC6EFCE"/>
                </patternFill>
              </fill>
            </x14:dxf>
          </x14:cfRule>
          <xm:sqref>I338</xm:sqref>
        </x14:conditionalFormatting>
        <x14:conditionalFormatting xmlns:xm="http://schemas.microsoft.com/office/excel/2006/main">
          <x14:cfRule type="containsText" priority="454" operator="containsText" id="{CBDB776B-E36A-48AD-B70F-B144129E24B9}">
            <xm:f>NOT(ISERROR(SEARCH(#REF!,G339)))</xm:f>
            <xm:f>#REF!</xm:f>
            <x14:dxf>
              <font>
                <color rgb="FF9C0006"/>
              </font>
              <fill>
                <patternFill>
                  <bgColor rgb="FFFFC7CE"/>
                </patternFill>
              </fill>
            </x14:dxf>
          </x14:cfRule>
          <x14:cfRule type="containsText" priority="455" operator="containsText" id="{AFCCA28D-839C-4352-A4FB-B605D2DD6FBA}">
            <xm:f>NOT(ISERROR(SEARCH(#REF!,G339)))</xm:f>
            <xm:f>#REF!</xm:f>
            <x14:dxf>
              <font>
                <color rgb="FF006100"/>
              </font>
              <fill>
                <patternFill>
                  <bgColor rgb="FFC6EFCE"/>
                </patternFill>
              </fill>
            </x14:dxf>
          </x14:cfRule>
          <xm:sqref>G339</xm:sqref>
        </x14:conditionalFormatting>
        <x14:conditionalFormatting xmlns:xm="http://schemas.microsoft.com/office/excel/2006/main">
          <x14:cfRule type="containsText" priority="449" operator="containsText" id="{E2E0DF74-F2D3-48A6-BA6A-6CCD56CB152C}">
            <xm:f>NOT(ISERROR(SEARCH(#REF!,I339)))</xm:f>
            <xm:f>#REF!</xm:f>
            <x14:dxf>
              <font>
                <color rgb="FF9C0006"/>
              </font>
              <fill>
                <patternFill>
                  <bgColor rgb="FFFFC7CE"/>
                </patternFill>
              </fill>
            </x14:dxf>
          </x14:cfRule>
          <x14:cfRule type="containsText" priority="450" operator="containsText" id="{FE8E8FF0-6B6B-434E-8589-A485F6176F12}">
            <xm:f>NOT(ISERROR(SEARCH(#REF!,I339)))</xm:f>
            <xm:f>#REF!</xm:f>
            <x14:dxf>
              <font>
                <color rgb="FF006100"/>
              </font>
              <fill>
                <patternFill>
                  <bgColor rgb="FFC6EFCE"/>
                </patternFill>
              </fill>
            </x14:dxf>
          </x14:cfRule>
          <xm:sqref>I339</xm:sqref>
        </x14:conditionalFormatting>
        <x14:conditionalFormatting xmlns:xm="http://schemas.microsoft.com/office/excel/2006/main">
          <x14:cfRule type="containsText" priority="444" operator="containsText" id="{4B7F2A1F-6C37-4A63-8208-4DA4795B0EDA}">
            <xm:f>NOT(ISERROR(SEARCH(#REF!,G340)))</xm:f>
            <xm:f>#REF!</xm:f>
            <x14:dxf>
              <font>
                <color rgb="FF9C0006"/>
              </font>
              <fill>
                <patternFill>
                  <bgColor rgb="FFFFC7CE"/>
                </patternFill>
              </fill>
            </x14:dxf>
          </x14:cfRule>
          <x14:cfRule type="containsText" priority="445" operator="containsText" id="{D6D47CF4-5DE5-4845-AE1B-A7C3FD355EBA}">
            <xm:f>NOT(ISERROR(SEARCH(#REF!,G340)))</xm:f>
            <xm:f>#REF!</xm:f>
            <x14:dxf>
              <font>
                <color rgb="FF006100"/>
              </font>
              <fill>
                <patternFill>
                  <bgColor rgb="FFC6EFCE"/>
                </patternFill>
              </fill>
            </x14:dxf>
          </x14:cfRule>
          <xm:sqref>G340</xm:sqref>
        </x14:conditionalFormatting>
        <x14:conditionalFormatting xmlns:xm="http://schemas.microsoft.com/office/excel/2006/main">
          <x14:cfRule type="containsText" priority="439" operator="containsText" id="{54EFFEBF-78EA-4270-812F-ED3BA34AAD3A}">
            <xm:f>NOT(ISERROR(SEARCH(#REF!,I340)))</xm:f>
            <xm:f>#REF!</xm:f>
            <x14:dxf>
              <font>
                <color rgb="FF9C0006"/>
              </font>
              <fill>
                <patternFill>
                  <bgColor rgb="FFFFC7CE"/>
                </patternFill>
              </fill>
            </x14:dxf>
          </x14:cfRule>
          <x14:cfRule type="containsText" priority="440" operator="containsText" id="{FF0C5EB0-6AA1-46C8-A615-08E3470EEF07}">
            <xm:f>NOT(ISERROR(SEARCH(#REF!,I340)))</xm:f>
            <xm:f>#REF!</xm:f>
            <x14:dxf>
              <font>
                <color rgb="FF006100"/>
              </font>
              <fill>
                <patternFill>
                  <bgColor rgb="FFC6EFCE"/>
                </patternFill>
              </fill>
            </x14:dxf>
          </x14:cfRule>
          <xm:sqref>I340</xm:sqref>
        </x14:conditionalFormatting>
        <x14:conditionalFormatting xmlns:xm="http://schemas.microsoft.com/office/excel/2006/main">
          <x14:cfRule type="containsText" priority="434" operator="containsText" id="{90226EBA-516D-456B-B6E3-C435EE96278F}">
            <xm:f>NOT(ISERROR(SEARCH(#REF!,G341)))</xm:f>
            <xm:f>#REF!</xm:f>
            <x14:dxf>
              <font>
                <color rgb="FF9C0006"/>
              </font>
              <fill>
                <patternFill>
                  <bgColor rgb="FFFFC7CE"/>
                </patternFill>
              </fill>
            </x14:dxf>
          </x14:cfRule>
          <x14:cfRule type="containsText" priority="435" operator="containsText" id="{AF211F89-DF11-4CFA-A043-BDA3029CA25A}">
            <xm:f>NOT(ISERROR(SEARCH(#REF!,G341)))</xm:f>
            <xm:f>#REF!</xm:f>
            <x14:dxf>
              <font>
                <color rgb="FF006100"/>
              </font>
              <fill>
                <patternFill>
                  <bgColor rgb="FFC6EFCE"/>
                </patternFill>
              </fill>
            </x14:dxf>
          </x14:cfRule>
          <xm:sqref>G341</xm:sqref>
        </x14:conditionalFormatting>
        <x14:conditionalFormatting xmlns:xm="http://schemas.microsoft.com/office/excel/2006/main">
          <x14:cfRule type="containsText" priority="429" operator="containsText" id="{6BE35B67-9B20-46B9-9D6D-C13A5185C55C}">
            <xm:f>NOT(ISERROR(SEARCH(#REF!,I341)))</xm:f>
            <xm:f>#REF!</xm:f>
            <x14:dxf>
              <font>
                <color rgb="FF9C0006"/>
              </font>
              <fill>
                <patternFill>
                  <bgColor rgb="FFFFC7CE"/>
                </patternFill>
              </fill>
            </x14:dxf>
          </x14:cfRule>
          <x14:cfRule type="containsText" priority="430" operator="containsText" id="{788252A8-07C4-40EA-9C25-7B39F2CD4028}">
            <xm:f>NOT(ISERROR(SEARCH(#REF!,I341)))</xm:f>
            <xm:f>#REF!</xm:f>
            <x14:dxf>
              <font>
                <color rgb="FF006100"/>
              </font>
              <fill>
                <patternFill>
                  <bgColor rgb="FFC6EFCE"/>
                </patternFill>
              </fill>
            </x14:dxf>
          </x14:cfRule>
          <xm:sqref>I341</xm:sqref>
        </x14:conditionalFormatting>
        <x14:conditionalFormatting xmlns:xm="http://schemas.microsoft.com/office/excel/2006/main">
          <x14:cfRule type="containsText" priority="424" operator="containsText" id="{C1C95D52-A684-45A5-BB38-63C830A7BEFD}">
            <xm:f>NOT(ISERROR(SEARCH(#REF!,G342)))</xm:f>
            <xm:f>#REF!</xm:f>
            <x14:dxf>
              <font>
                <color rgb="FF9C0006"/>
              </font>
              <fill>
                <patternFill>
                  <bgColor rgb="FFFFC7CE"/>
                </patternFill>
              </fill>
            </x14:dxf>
          </x14:cfRule>
          <x14:cfRule type="containsText" priority="425" operator="containsText" id="{D8F53AF0-66FD-4A49-9B2A-1D775C6BF1CF}">
            <xm:f>NOT(ISERROR(SEARCH(#REF!,G342)))</xm:f>
            <xm:f>#REF!</xm:f>
            <x14:dxf>
              <font>
                <color rgb="FF006100"/>
              </font>
              <fill>
                <patternFill>
                  <bgColor rgb="FFC6EFCE"/>
                </patternFill>
              </fill>
            </x14:dxf>
          </x14:cfRule>
          <xm:sqref>G342</xm:sqref>
        </x14:conditionalFormatting>
        <x14:conditionalFormatting xmlns:xm="http://schemas.microsoft.com/office/excel/2006/main">
          <x14:cfRule type="containsText" priority="419" operator="containsText" id="{753BD231-3D66-4687-B6F3-7EAF423F6016}">
            <xm:f>NOT(ISERROR(SEARCH(#REF!,I342)))</xm:f>
            <xm:f>#REF!</xm:f>
            <x14:dxf>
              <font>
                <color rgb="FF9C0006"/>
              </font>
              <fill>
                <patternFill>
                  <bgColor rgb="FFFFC7CE"/>
                </patternFill>
              </fill>
            </x14:dxf>
          </x14:cfRule>
          <x14:cfRule type="containsText" priority="420" operator="containsText" id="{D3782235-4AC2-40EC-A74D-3DFE1576B183}">
            <xm:f>NOT(ISERROR(SEARCH(#REF!,I342)))</xm:f>
            <xm:f>#REF!</xm:f>
            <x14:dxf>
              <font>
                <color rgb="FF006100"/>
              </font>
              <fill>
                <patternFill>
                  <bgColor rgb="FFC6EFCE"/>
                </patternFill>
              </fill>
            </x14:dxf>
          </x14:cfRule>
          <xm:sqref>I342</xm:sqref>
        </x14:conditionalFormatting>
        <x14:conditionalFormatting xmlns:xm="http://schemas.microsoft.com/office/excel/2006/main">
          <x14:cfRule type="containsText" priority="414" operator="containsText" id="{4B44FEB7-7D34-40C0-95E3-C95AC20B865B}">
            <xm:f>NOT(ISERROR(SEARCH(#REF!,G343)))</xm:f>
            <xm:f>#REF!</xm:f>
            <x14:dxf>
              <font>
                <color rgb="FF9C0006"/>
              </font>
              <fill>
                <patternFill>
                  <bgColor rgb="FFFFC7CE"/>
                </patternFill>
              </fill>
            </x14:dxf>
          </x14:cfRule>
          <x14:cfRule type="containsText" priority="415" operator="containsText" id="{6C7522B1-D1FB-434E-BE07-FF0FC81689C1}">
            <xm:f>NOT(ISERROR(SEARCH(#REF!,G343)))</xm:f>
            <xm:f>#REF!</xm:f>
            <x14:dxf>
              <font>
                <color rgb="FF006100"/>
              </font>
              <fill>
                <patternFill>
                  <bgColor rgb="FFC6EFCE"/>
                </patternFill>
              </fill>
            </x14:dxf>
          </x14:cfRule>
          <xm:sqref>G343</xm:sqref>
        </x14:conditionalFormatting>
        <x14:conditionalFormatting xmlns:xm="http://schemas.microsoft.com/office/excel/2006/main">
          <x14:cfRule type="containsText" priority="409" operator="containsText" id="{33860976-D693-4538-BBD5-452FBF566A95}">
            <xm:f>NOT(ISERROR(SEARCH(#REF!,I343)))</xm:f>
            <xm:f>#REF!</xm:f>
            <x14:dxf>
              <font>
                <color rgb="FF9C0006"/>
              </font>
              <fill>
                <patternFill>
                  <bgColor rgb="FFFFC7CE"/>
                </patternFill>
              </fill>
            </x14:dxf>
          </x14:cfRule>
          <x14:cfRule type="containsText" priority="410" operator="containsText" id="{A29E6AD7-C53D-4CA7-8DE2-5ED96AE56F80}">
            <xm:f>NOT(ISERROR(SEARCH(#REF!,I343)))</xm:f>
            <xm:f>#REF!</xm:f>
            <x14:dxf>
              <font>
                <color rgb="FF006100"/>
              </font>
              <fill>
                <patternFill>
                  <bgColor rgb="FFC6EFCE"/>
                </patternFill>
              </fill>
            </x14:dxf>
          </x14:cfRule>
          <xm:sqref>I343</xm:sqref>
        </x14:conditionalFormatting>
        <x14:conditionalFormatting xmlns:xm="http://schemas.microsoft.com/office/excel/2006/main">
          <x14:cfRule type="containsText" priority="404" operator="containsText" id="{A9C8BD95-6C8F-47F1-A34F-0770F08B4662}">
            <xm:f>NOT(ISERROR(SEARCH(#REF!,G344)))</xm:f>
            <xm:f>#REF!</xm:f>
            <x14:dxf>
              <font>
                <color rgb="FF9C0006"/>
              </font>
              <fill>
                <patternFill>
                  <bgColor rgb="FFFFC7CE"/>
                </patternFill>
              </fill>
            </x14:dxf>
          </x14:cfRule>
          <x14:cfRule type="containsText" priority="405" operator="containsText" id="{2A3526EF-29AE-4559-9674-21E288C6B0DF}">
            <xm:f>NOT(ISERROR(SEARCH(#REF!,G344)))</xm:f>
            <xm:f>#REF!</xm:f>
            <x14:dxf>
              <font>
                <color rgb="FF006100"/>
              </font>
              <fill>
                <patternFill>
                  <bgColor rgb="FFC6EFCE"/>
                </patternFill>
              </fill>
            </x14:dxf>
          </x14:cfRule>
          <xm:sqref>G344</xm:sqref>
        </x14:conditionalFormatting>
        <x14:conditionalFormatting xmlns:xm="http://schemas.microsoft.com/office/excel/2006/main">
          <x14:cfRule type="containsText" priority="399" operator="containsText" id="{7766DF70-81D8-4C03-84D5-D1123D937079}">
            <xm:f>NOT(ISERROR(SEARCH(#REF!,I344)))</xm:f>
            <xm:f>#REF!</xm:f>
            <x14:dxf>
              <font>
                <color rgb="FF9C0006"/>
              </font>
              <fill>
                <patternFill>
                  <bgColor rgb="FFFFC7CE"/>
                </patternFill>
              </fill>
            </x14:dxf>
          </x14:cfRule>
          <x14:cfRule type="containsText" priority="400" operator="containsText" id="{9C3527D5-B5C4-4615-84C1-0B67B6BAA9A7}">
            <xm:f>NOT(ISERROR(SEARCH(#REF!,I344)))</xm:f>
            <xm:f>#REF!</xm:f>
            <x14:dxf>
              <font>
                <color rgb="FF006100"/>
              </font>
              <fill>
                <patternFill>
                  <bgColor rgb="FFC6EFCE"/>
                </patternFill>
              </fill>
            </x14:dxf>
          </x14:cfRule>
          <xm:sqref>I344</xm:sqref>
        </x14:conditionalFormatting>
        <x14:conditionalFormatting xmlns:xm="http://schemas.microsoft.com/office/excel/2006/main">
          <x14:cfRule type="containsText" priority="394" operator="containsText" id="{4A4E859B-6ABD-48FD-9600-0D677080E28D}">
            <xm:f>NOT(ISERROR(SEARCH(#REF!,G345)))</xm:f>
            <xm:f>#REF!</xm:f>
            <x14:dxf>
              <font>
                <color rgb="FF9C0006"/>
              </font>
              <fill>
                <patternFill>
                  <bgColor rgb="FFFFC7CE"/>
                </patternFill>
              </fill>
            </x14:dxf>
          </x14:cfRule>
          <x14:cfRule type="containsText" priority="395" operator="containsText" id="{059F6857-F08F-47BF-8386-E5220A4912AA}">
            <xm:f>NOT(ISERROR(SEARCH(#REF!,G345)))</xm:f>
            <xm:f>#REF!</xm:f>
            <x14:dxf>
              <font>
                <color rgb="FF006100"/>
              </font>
              <fill>
                <patternFill>
                  <bgColor rgb="FFC6EFCE"/>
                </patternFill>
              </fill>
            </x14:dxf>
          </x14:cfRule>
          <xm:sqref>G345</xm:sqref>
        </x14:conditionalFormatting>
        <x14:conditionalFormatting xmlns:xm="http://schemas.microsoft.com/office/excel/2006/main">
          <x14:cfRule type="containsText" priority="389" operator="containsText" id="{72EAB872-CAB0-48EB-BB76-89B03BD2234A}">
            <xm:f>NOT(ISERROR(SEARCH(#REF!,I345)))</xm:f>
            <xm:f>#REF!</xm:f>
            <x14:dxf>
              <font>
                <color rgb="FF9C0006"/>
              </font>
              <fill>
                <patternFill>
                  <bgColor rgb="FFFFC7CE"/>
                </patternFill>
              </fill>
            </x14:dxf>
          </x14:cfRule>
          <x14:cfRule type="containsText" priority="390" operator="containsText" id="{4FAFD5B0-D64D-4E56-8D8E-B533F6FB69F8}">
            <xm:f>NOT(ISERROR(SEARCH(#REF!,I345)))</xm:f>
            <xm:f>#REF!</xm:f>
            <x14:dxf>
              <font>
                <color rgb="FF006100"/>
              </font>
              <fill>
                <patternFill>
                  <bgColor rgb="FFC6EFCE"/>
                </patternFill>
              </fill>
            </x14:dxf>
          </x14:cfRule>
          <xm:sqref>I345</xm:sqref>
        </x14:conditionalFormatting>
        <x14:conditionalFormatting xmlns:xm="http://schemas.microsoft.com/office/excel/2006/main">
          <x14:cfRule type="containsText" priority="384" operator="containsText" id="{16895E75-04D7-4951-AB2E-676FC0829903}">
            <xm:f>NOT(ISERROR(SEARCH(#REF!,G346)))</xm:f>
            <xm:f>#REF!</xm:f>
            <x14:dxf>
              <font>
                <color rgb="FF9C0006"/>
              </font>
              <fill>
                <patternFill>
                  <bgColor rgb="FFFFC7CE"/>
                </patternFill>
              </fill>
            </x14:dxf>
          </x14:cfRule>
          <x14:cfRule type="containsText" priority="385" operator="containsText" id="{3988BD6B-6BD4-454B-B757-7E32AE1EF21A}">
            <xm:f>NOT(ISERROR(SEARCH(#REF!,G346)))</xm:f>
            <xm:f>#REF!</xm:f>
            <x14:dxf>
              <font>
                <color rgb="FF006100"/>
              </font>
              <fill>
                <patternFill>
                  <bgColor rgb="FFC6EFCE"/>
                </patternFill>
              </fill>
            </x14:dxf>
          </x14:cfRule>
          <xm:sqref>G346</xm:sqref>
        </x14:conditionalFormatting>
        <x14:conditionalFormatting xmlns:xm="http://schemas.microsoft.com/office/excel/2006/main">
          <x14:cfRule type="containsText" priority="379" operator="containsText" id="{2BBD341A-4B14-4DC5-95CF-936EBE4F79FC}">
            <xm:f>NOT(ISERROR(SEARCH(#REF!,I346)))</xm:f>
            <xm:f>#REF!</xm:f>
            <x14:dxf>
              <font>
                <color rgb="FF9C0006"/>
              </font>
              <fill>
                <patternFill>
                  <bgColor rgb="FFFFC7CE"/>
                </patternFill>
              </fill>
            </x14:dxf>
          </x14:cfRule>
          <x14:cfRule type="containsText" priority="380" operator="containsText" id="{F2B51502-A6DC-40F2-A394-55657D9CBB1B}">
            <xm:f>NOT(ISERROR(SEARCH(#REF!,I346)))</xm:f>
            <xm:f>#REF!</xm:f>
            <x14:dxf>
              <font>
                <color rgb="FF006100"/>
              </font>
              <fill>
                <patternFill>
                  <bgColor rgb="FFC6EFCE"/>
                </patternFill>
              </fill>
            </x14:dxf>
          </x14:cfRule>
          <xm:sqref>I346</xm:sqref>
        </x14:conditionalFormatting>
        <x14:conditionalFormatting xmlns:xm="http://schemas.microsoft.com/office/excel/2006/main">
          <x14:cfRule type="containsText" priority="374" operator="containsText" id="{CF715EFE-664F-4390-9196-E17483D9EE2D}">
            <xm:f>NOT(ISERROR(SEARCH(#REF!,G347)))</xm:f>
            <xm:f>#REF!</xm:f>
            <x14:dxf>
              <font>
                <color rgb="FF9C0006"/>
              </font>
              <fill>
                <patternFill>
                  <bgColor rgb="FFFFC7CE"/>
                </patternFill>
              </fill>
            </x14:dxf>
          </x14:cfRule>
          <x14:cfRule type="containsText" priority="375" operator="containsText" id="{8E431A06-4495-48CC-BB64-EB0E4195B6F8}">
            <xm:f>NOT(ISERROR(SEARCH(#REF!,G347)))</xm:f>
            <xm:f>#REF!</xm:f>
            <x14:dxf>
              <font>
                <color rgb="FF006100"/>
              </font>
              <fill>
                <patternFill>
                  <bgColor rgb="FFC6EFCE"/>
                </patternFill>
              </fill>
            </x14:dxf>
          </x14:cfRule>
          <xm:sqref>G347</xm:sqref>
        </x14:conditionalFormatting>
        <x14:conditionalFormatting xmlns:xm="http://schemas.microsoft.com/office/excel/2006/main">
          <x14:cfRule type="containsText" priority="369" operator="containsText" id="{C58DB517-32E6-4D59-AE33-EB9F6F906F02}">
            <xm:f>NOT(ISERROR(SEARCH(#REF!,I347)))</xm:f>
            <xm:f>#REF!</xm:f>
            <x14:dxf>
              <font>
                <color rgb="FF9C0006"/>
              </font>
              <fill>
                <patternFill>
                  <bgColor rgb="FFFFC7CE"/>
                </patternFill>
              </fill>
            </x14:dxf>
          </x14:cfRule>
          <x14:cfRule type="containsText" priority="370" operator="containsText" id="{78AC660B-66D1-456C-9590-EABC15B78D03}">
            <xm:f>NOT(ISERROR(SEARCH(#REF!,I347)))</xm:f>
            <xm:f>#REF!</xm:f>
            <x14:dxf>
              <font>
                <color rgb="FF006100"/>
              </font>
              <fill>
                <patternFill>
                  <bgColor rgb="FFC6EFCE"/>
                </patternFill>
              </fill>
            </x14:dxf>
          </x14:cfRule>
          <xm:sqref>I347</xm:sqref>
        </x14:conditionalFormatting>
        <x14:conditionalFormatting xmlns:xm="http://schemas.microsoft.com/office/excel/2006/main">
          <x14:cfRule type="containsText" priority="364" operator="containsText" id="{E5B56A2A-C785-4CDA-A2C8-571B0E609090}">
            <xm:f>NOT(ISERROR(SEARCH(#REF!,G348)))</xm:f>
            <xm:f>#REF!</xm:f>
            <x14:dxf>
              <font>
                <color rgb="FF9C0006"/>
              </font>
              <fill>
                <patternFill>
                  <bgColor rgb="FFFFC7CE"/>
                </patternFill>
              </fill>
            </x14:dxf>
          </x14:cfRule>
          <x14:cfRule type="containsText" priority="365" operator="containsText" id="{A51977B3-6C3E-48BF-8C65-1F6FC612AE07}">
            <xm:f>NOT(ISERROR(SEARCH(#REF!,G348)))</xm:f>
            <xm:f>#REF!</xm:f>
            <x14:dxf>
              <font>
                <color rgb="FF006100"/>
              </font>
              <fill>
                <patternFill>
                  <bgColor rgb="FFC6EFCE"/>
                </patternFill>
              </fill>
            </x14:dxf>
          </x14:cfRule>
          <xm:sqref>G348</xm:sqref>
        </x14:conditionalFormatting>
        <x14:conditionalFormatting xmlns:xm="http://schemas.microsoft.com/office/excel/2006/main">
          <x14:cfRule type="containsText" priority="359" operator="containsText" id="{BF20D4DF-B967-4C84-BDF9-D65C06173FBB}">
            <xm:f>NOT(ISERROR(SEARCH(#REF!,I348)))</xm:f>
            <xm:f>#REF!</xm:f>
            <x14:dxf>
              <font>
                <color rgb="FF9C0006"/>
              </font>
              <fill>
                <patternFill>
                  <bgColor rgb="FFFFC7CE"/>
                </patternFill>
              </fill>
            </x14:dxf>
          </x14:cfRule>
          <x14:cfRule type="containsText" priority="360" operator="containsText" id="{50882937-076F-41B6-88DF-7472104A44D4}">
            <xm:f>NOT(ISERROR(SEARCH(#REF!,I348)))</xm:f>
            <xm:f>#REF!</xm:f>
            <x14:dxf>
              <font>
                <color rgb="FF006100"/>
              </font>
              <fill>
                <patternFill>
                  <bgColor rgb="FFC6EFCE"/>
                </patternFill>
              </fill>
            </x14:dxf>
          </x14:cfRule>
          <xm:sqref>I348</xm:sqref>
        </x14:conditionalFormatting>
        <x14:conditionalFormatting xmlns:xm="http://schemas.microsoft.com/office/excel/2006/main">
          <x14:cfRule type="containsText" priority="354" operator="containsText" id="{D3FB0E09-512A-4D21-8546-DBA99A6F6F02}">
            <xm:f>NOT(ISERROR(SEARCH(#REF!,G333)))</xm:f>
            <xm:f>#REF!</xm:f>
            <x14:dxf>
              <font>
                <color rgb="FF9C0006"/>
              </font>
              <fill>
                <patternFill>
                  <bgColor rgb="FFFFC7CE"/>
                </patternFill>
              </fill>
            </x14:dxf>
          </x14:cfRule>
          <x14:cfRule type="containsText" priority="355" operator="containsText" id="{2BE5D14E-C9CC-4028-B849-D7B76627F61A}">
            <xm:f>NOT(ISERROR(SEARCH(#REF!,G333)))</xm:f>
            <xm:f>#REF!</xm:f>
            <x14:dxf>
              <font>
                <color rgb="FF006100"/>
              </font>
              <fill>
                <patternFill>
                  <bgColor rgb="FFC6EFCE"/>
                </patternFill>
              </fill>
            </x14:dxf>
          </x14:cfRule>
          <xm:sqref>G333</xm:sqref>
        </x14:conditionalFormatting>
        <x14:conditionalFormatting xmlns:xm="http://schemas.microsoft.com/office/excel/2006/main">
          <x14:cfRule type="containsText" priority="349" operator="containsText" id="{28B0A255-FAE7-4407-B536-E2A91627F42F}">
            <xm:f>NOT(ISERROR(SEARCH(#REF!,G334)))</xm:f>
            <xm:f>#REF!</xm:f>
            <x14:dxf>
              <font>
                <color rgb="FF9C0006"/>
              </font>
              <fill>
                <patternFill>
                  <bgColor rgb="FFFFC7CE"/>
                </patternFill>
              </fill>
            </x14:dxf>
          </x14:cfRule>
          <x14:cfRule type="containsText" priority="350" operator="containsText" id="{284029F1-7FD5-4AC1-A60C-FB4240F849C2}">
            <xm:f>NOT(ISERROR(SEARCH(#REF!,G334)))</xm:f>
            <xm:f>#REF!</xm:f>
            <x14:dxf>
              <font>
                <color rgb="FF006100"/>
              </font>
              <fill>
                <patternFill>
                  <bgColor rgb="FFC6EFCE"/>
                </patternFill>
              </fill>
            </x14:dxf>
          </x14:cfRule>
          <xm:sqref>G334</xm:sqref>
        </x14:conditionalFormatting>
        <x14:conditionalFormatting xmlns:xm="http://schemas.microsoft.com/office/excel/2006/main">
          <x14:cfRule type="containsText" priority="342" operator="containsText" id="{0E247B86-96ED-4938-AEBB-2A7E37474DA4}">
            <xm:f>NOT(ISERROR(SEARCH(#REF!,G350)))</xm:f>
            <xm:f>#REF!</xm:f>
            <x14:dxf>
              <font>
                <color rgb="FF9C0006"/>
              </font>
              <fill>
                <patternFill>
                  <bgColor rgb="FFFFC7CE"/>
                </patternFill>
              </fill>
            </x14:dxf>
          </x14:cfRule>
          <x14:cfRule type="containsText" priority="343" operator="containsText" id="{B6462FA2-3F14-4C28-A0FC-F659F9CF3820}">
            <xm:f>NOT(ISERROR(SEARCH(#REF!,G350)))</xm:f>
            <xm:f>#REF!</xm:f>
            <x14:dxf>
              <font>
                <color rgb="FF006100"/>
              </font>
              <fill>
                <patternFill>
                  <bgColor rgb="FFC6EFCE"/>
                </patternFill>
              </fill>
            </x14:dxf>
          </x14:cfRule>
          <xm:sqref>G350</xm:sqref>
        </x14:conditionalFormatting>
        <x14:conditionalFormatting xmlns:xm="http://schemas.microsoft.com/office/excel/2006/main">
          <x14:cfRule type="containsText" priority="337" operator="containsText" id="{49951FD1-784E-4C77-B740-16DA1B822444}">
            <xm:f>NOT(ISERROR(SEARCH(#REF!,I350)))</xm:f>
            <xm:f>#REF!</xm:f>
            <x14:dxf>
              <font>
                <color rgb="FF9C0006"/>
              </font>
              <fill>
                <patternFill>
                  <bgColor rgb="FFFFC7CE"/>
                </patternFill>
              </fill>
            </x14:dxf>
          </x14:cfRule>
          <x14:cfRule type="containsText" priority="338" operator="containsText" id="{6227519A-6A3C-4EEF-8BFA-933CE7C0B55D}">
            <xm:f>NOT(ISERROR(SEARCH(#REF!,I350)))</xm:f>
            <xm:f>#REF!</xm:f>
            <x14:dxf>
              <font>
                <color rgb="FF006100"/>
              </font>
              <fill>
                <patternFill>
                  <bgColor rgb="FFC6EFCE"/>
                </patternFill>
              </fill>
            </x14:dxf>
          </x14:cfRule>
          <xm:sqref>I350</xm:sqref>
        </x14:conditionalFormatting>
        <x14:conditionalFormatting xmlns:xm="http://schemas.microsoft.com/office/excel/2006/main">
          <x14:cfRule type="containsText" priority="332" operator="containsText" id="{8824EF56-9C2F-4DED-9A0E-395015DDCFF6}">
            <xm:f>NOT(ISERROR(SEARCH(#REF!,G351)))</xm:f>
            <xm:f>#REF!</xm:f>
            <x14:dxf>
              <font>
                <color rgb="FF9C0006"/>
              </font>
              <fill>
                <patternFill>
                  <bgColor rgb="FFFFC7CE"/>
                </patternFill>
              </fill>
            </x14:dxf>
          </x14:cfRule>
          <x14:cfRule type="containsText" priority="333" operator="containsText" id="{92ED07DC-D650-4A9D-AD96-C3815CBEC9CC}">
            <xm:f>NOT(ISERROR(SEARCH(#REF!,G351)))</xm:f>
            <xm:f>#REF!</xm:f>
            <x14:dxf>
              <font>
                <color rgb="FF006100"/>
              </font>
              <fill>
                <patternFill>
                  <bgColor rgb="FFC6EFCE"/>
                </patternFill>
              </fill>
            </x14:dxf>
          </x14:cfRule>
          <xm:sqref>G351 G431</xm:sqref>
        </x14:conditionalFormatting>
        <x14:conditionalFormatting xmlns:xm="http://schemas.microsoft.com/office/excel/2006/main">
          <x14:cfRule type="containsText" priority="327" operator="containsText" id="{CABCE393-BD2A-475A-917C-1DEEA7CFF7AD}">
            <xm:f>NOT(ISERROR(SEARCH(#REF!,I351)))</xm:f>
            <xm:f>#REF!</xm:f>
            <x14:dxf>
              <font>
                <color rgb="FF9C0006"/>
              </font>
              <fill>
                <patternFill>
                  <bgColor rgb="FFFFC7CE"/>
                </patternFill>
              </fill>
            </x14:dxf>
          </x14:cfRule>
          <x14:cfRule type="containsText" priority="328" operator="containsText" id="{22397485-9EC1-4D7E-9F1A-277AB2B2A3FE}">
            <xm:f>NOT(ISERROR(SEARCH(#REF!,I351)))</xm:f>
            <xm:f>#REF!</xm:f>
            <x14:dxf>
              <font>
                <color rgb="FF006100"/>
              </font>
              <fill>
                <patternFill>
                  <bgColor rgb="FFC6EFCE"/>
                </patternFill>
              </fill>
            </x14:dxf>
          </x14:cfRule>
          <xm:sqref>I351 I431</xm:sqref>
        </x14:conditionalFormatting>
        <x14:conditionalFormatting xmlns:xm="http://schemas.microsoft.com/office/excel/2006/main">
          <x14:cfRule type="containsText" priority="322" operator="containsText" id="{7BC903C3-BA29-4171-AC4F-D4CBD06C0443}">
            <xm:f>NOT(ISERROR(SEARCH(#REF!,G697)))</xm:f>
            <xm:f>#REF!</xm:f>
            <x14:dxf>
              <font>
                <color rgb="FF9C0006"/>
              </font>
              <fill>
                <patternFill>
                  <bgColor rgb="FFFFC7CE"/>
                </patternFill>
              </fill>
            </x14:dxf>
          </x14:cfRule>
          <x14:cfRule type="containsText" priority="323" operator="containsText" id="{915863C3-7C1C-49F7-ABD2-6CE816075F5B}">
            <xm:f>NOT(ISERROR(SEARCH(#REF!,G697)))</xm:f>
            <xm:f>#REF!</xm:f>
            <x14:dxf>
              <font>
                <color rgb="FF006100"/>
              </font>
              <fill>
                <patternFill>
                  <bgColor rgb="FFC6EFCE"/>
                </patternFill>
              </fill>
            </x14:dxf>
          </x14:cfRule>
          <xm:sqref>I697:I755 G697:G817</xm:sqref>
        </x14:conditionalFormatting>
        <x14:conditionalFormatting xmlns:xm="http://schemas.microsoft.com/office/excel/2006/main">
          <x14:cfRule type="containsText" priority="317" operator="containsText" id="{3375CE08-19E2-4676-8EE8-BF7AFF018676}">
            <xm:f>NOT(ISERROR(SEARCH(#REF!,I758)))</xm:f>
            <xm:f>#REF!</xm:f>
            <x14:dxf>
              <font>
                <color rgb="FF9C0006"/>
              </font>
              <fill>
                <patternFill>
                  <bgColor rgb="FFFFC7CE"/>
                </patternFill>
              </fill>
            </x14:dxf>
          </x14:cfRule>
          <x14:cfRule type="containsText" priority="318" operator="containsText" id="{E81B5D9C-A75F-45AE-B6CA-FF54CCA4E898}">
            <xm:f>NOT(ISERROR(SEARCH(#REF!,I758)))</xm:f>
            <xm:f>#REF!</xm:f>
            <x14:dxf>
              <font>
                <color rgb="FF006100"/>
              </font>
              <fill>
                <patternFill>
                  <bgColor rgb="FFC6EFCE"/>
                </patternFill>
              </fill>
            </x14:dxf>
          </x14:cfRule>
          <xm:sqref>I758:I817</xm:sqref>
        </x14:conditionalFormatting>
        <x14:conditionalFormatting xmlns:xm="http://schemas.microsoft.com/office/excel/2006/main">
          <x14:cfRule type="containsText" priority="314" operator="containsText" id="{A5F6DB74-F40B-420C-B97D-8BC9C1E418F9}">
            <xm:f>NOT(ISERROR(SEARCH(#REF!,I756)))</xm:f>
            <xm:f>#REF!</xm:f>
            <x14:dxf>
              <font>
                <color rgb="FF9C0006"/>
              </font>
              <fill>
                <patternFill>
                  <bgColor rgb="FFFFC7CE"/>
                </patternFill>
              </fill>
            </x14:dxf>
          </x14:cfRule>
          <x14:cfRule type="containsText" priority="315" operator="containsText" id="{134EC1E9-7554-4C15-B0DB-968E30570112}">
            <xm:f>NOT(ISERROR(SEARCH(#REF!,I756)))</xm:f>
            <xm:f>#REF!</xm:f>
            <x14:dxf>
              <font>
                <color rgb="FF006100"/>
              </font>
              <fill>
                <patternFill>
                  <bgColor rgb="FFC6EFCE"/>
                </patternFill>
              </fill>
            </x14:dxf>
          </x14:cfRule>
          <xm:sqref>I756:I757</xm:sqref>
        </x14:conditionalFormatting>
        <x14:conditionalFormatting xmlns:xm="http://schemas.microsoft.com/office/excel/2006/main">
          <x14:cfRule type="containsText" priority="309" operator="containsText" id="{36D1F7BD-E3D7-440A-BEAC-C2C5EAADDAC8}">
            <xm:f>NOT(ISERROR(SEARCH(#REF!,G818)))</xm:f>
            <xm:f>#REF!</xm:f>
            <x14:dxf>
              <font>
                <color rgb="FF9C0006"/>
              </font>
              <fill>
                <patternFill>
                  <bgColor rgb="FFFFC7CE"/>
                </patternFill>
              </fill>
            </x14:dxf>
          </x14:cfRule>
          <x14:cfRule type="containsText" priority="310" operator="containsText" id="{3EFAA378-AE0E-419D-A3CF-7213E676B932}">
            <xm:f>NOT(ISERROR(SEARCH(#REF!,G818)))</xm:f>
            <xm:f>#REF!</xm:f>
            <x14:dxf>
              <font>
                <color rgb="FF006100"/>
              </font>
              <fill>
                <patternFill>
                  <bgColor rgb="FFC6EFCE"/>
                </patternFill>
              </fill>
            </x14:dxf>
          </x14:cfRule>
          <xm:sqref>G818:G901</xm:sqref>
        </x14:conditionalFormatting>
        <x14:conditionalFormatting xmlns:xm="http://schemas.microsoft.com/office/excel/2006/main">
          <x14:cfRule type="containsText" priority="302" operator="containsText" id="{E748DDCA-A3E9-40B2-961E-FEE54CB009B2}">
            <xm:f>NOT(ISERROR(SEARCH(#REF!,I820)))</xm:f>
            <xm:f>#REF!</xm:f>
            <x14:dxf>
              <font>
                <color rgb="FF9C0006"/>
              </font>
              <fill>
                <patternFill>
                  <bgColor rgb="FFFFC7CE"/>
                </patternFill>
              </fill>
            </x14:dxf>
          </x14:cfRule>
          <x14:cfRule type="containsText" priority="303" operator="containsText" id="{2D1CD7AD-F653-4BA7-BE38-D450150D8BDC}">
            <xm:f>NOT(ISERROR(SEARCH(#REF!,I820)))</xm:f>
            <xm:f>#REF!</xm:f>
            <x14:dxf>
              <font>
                <color rgb="FF006100"/>
              </font>
              <fill>
                <patternFill>
                  <bgColor rgb="FFC6EFCE"/>
                </patternFill>
              </fill>
            </x14:dxf>
          </x14:cfRule>
          <xm:sqref>I820:I901</xm:sqref>
        </x14:conditionalFormatting>
        <x14:conditionalFormatting xmlns:xm="http://schemas.microsoft.com/office/excel/2006/main">
          <x14:cfRule type="containsText" priority="299" operator="containsText" id="{FD46EC82-66C5-4DEA-8663-1B3EAC643CF2}">
            <xm:f>NOT(ISERROR(SEARCH(#REF!,I818)))</xm:f>
            <xm:f>#REF!</xm:f>
            <x14:dxf>
              <font>
                <color rgb="FF9C0006"/>
              </font>
              <fill>
                <patternFill>
                  <bgColor rgb="FFFFC7CE"/>
                </patternFill>
              </fill>
            </x14:dxf>
          </x14:cfRule>
          <x14:cfRule type="containsText" priority="300" operator="containsText" id="{40083A29-5E6B-4329-9F8F-37E214F324A7}">
            <xm:f>NOT(ISERROR(SEARCH(#REF!,I818)))</xm:f>
            <xm:f>#REF!</xm:f>
            <x14:dxf>
              <font>
                <color rgb="FF006100"/>
              </font>
              <fill>
                <patternFill>
                  <bgColor rgb="FFC6EFCE"/>
                </patternFill>
              </fill>
            </x14:dxf>
          </x14:cfRule>
          <xm:sqref>I818:I819</xm:sqref>
        </x14:conditionalFormatting>
        <x14:conditionalFormatting xmlns:xm="http://schemas.microsoft.com/office/excel/2006/main">
          <x14:cfRule type="containsText" priority="292" operator="containsText" id="{A778C274-FA40-46DE-92A6-D6E48E4B962D}">
            <xm:f>NOT(ISERROR(SEARCH(#REF!,G1002)))</xm:f>
            <xm:f>#REF!</xm:f>
            <x14:dxf>
              <font>
                <color rgb="FF9C0006"/>
              </font>
              <fill>
                <patternFill>
                  <bgColor rgb="FFFFC7CE"/>
                </patternFill>
              </fill>
            </x14:dxf>
          </x14:cfRule>
          <x14:cfRule type="containsText" priority="293" operator="containsText" id="{0E4F3212-E75B-437B-953E-5E5FC7120F76}">
            <xm:f>NOT(ISERROR(SEARCH(#REF!,G1002)))</xm:f>
            <xm:f>#REF!</xm:f>
            <x14:dxf>
              <font>
                <color rgb="FF006100"/>
              </font>
              <fill>
                <patternFill>
                  <bgColor rgb="FFC6EFCE"/>
                </patternFill>
              </fill>
            </x14:dxf>
          </x14:cfRule>
          <xm:sqref>I1002:I1021 I1025:I1037 G1002:G1021 G1025:G1037</xm:sqref>
        </x14:conditionalFormatting>
        <x14:conditionalFormatting xmlns:xm="http://schemas.microsoft.com/office/excel/2006/main">
          <x14:cfRule type="containsText" priority="287" operator="containsText" id="{47E5FD0B-28EA-4792-83D4-EA0212438BE6}">
            <xm:f>NOT(ISERROR(SEARCH(#REF!,I1008)))</xm:f>
            <xm:f>#REF!</xm:f>
            <x14:dxf>
              <font>
                <color rgb="FF9C0006"/>
              </font>
              <fill>
                <patternFill>
                  <bgColor rgb="FFFFC7CE"/>
                </patternFill>
              </fill>
            </x14:dxf>
          </x14:cfRule>
          <x14:cfRule type="containsText" priority="288" operator="containsText" id="{A2F4F252-E250-430F-B547-378AF51ACCE2}">
            <xm:f>NOT(ISERROR(SEARCH(#REF!,I1008)))</xm:f>
            <xm:f>#REF!</xm:f>
            <x14:dxf>
              <font>
                <color rgb="FF006100"/>
              </font>
              <fill>
                <patternFill>
                  <bgColor rgb="FFC6EFCE"/>
                </patternFill>
              </fill>
            </x14:dxf>
          </x14:cfRule>
          <xm:sqref>I1008:I1017</xm:sqref>
        </x14:conditionalFormatting>
        <x14:conditionalFormatting xmlns:xm="http://schemas.microsoft.com/office/excel/2006/main">
          <x14:cfRule type="containsText" priority="282" operator="containsText" id="{BF5F4B0F-56F0-42C3-8EE4-A974BD564D1A}">
            <xm:f>NOT(ISERROR(SEARCH(#REF!,I1002)))</xm:f>
            <xm:f>#REF!</xm:f>
            <x14:dxf>
              <font>
                <color rgb="FF9C0006"/>
              </font>
              <fill>
                <patternFill>
                  <bgColor rgb="FFFFC7CE"/>
                </patternFill>
              </fill>
            </x14:dxf>
          </x14:cfRule>
          <x14:cfRule type="containsText" priority="283" operator="containsText" id="{30E987AD-39F4-42B2-8CEE-1AD10C70FD53}">
            <xm:f>NOT(ISERROR(SEARCH(#REF!,I1002)))</xm:f>
            <xm:f>#REF!</xm:f>
            <x14:dxf>
              <font>
                <color rgb="FF006100"/>
              </font>
              <fill>
                <patternFill>
                  <bgColor rgb="FFC6EFCE"/>
                </patternFill>
              </fill>
            </x14:dxf>
          </x14:cfRule>
          <xm:sqref>I1002:I1007</xm:sqref>
        </x14:conditionalFormatting>
        <x14:conditionalFormatting xmlns:xm="http://schemas.microsoft.com/office/excel/2006/main">
          <x14:cfRule type="containsText" priority="279" operator="containsText" id="{31148DE4-DE68-4C0F-8C30-431F1AD06A87}">
            <xm:f>NOT(ISERROR(SEARCH(#REF!,G918)))</xm:f>
            <xm:f>#REF!</xm:f>
            <x14:dxf>
              <font>
                <color rgb="FF9C0006"/>
              </font>
              <fill>
                <patternFill>
                  <bgColor rgb="FFFFC7CE"/>
                </patternFill>
              </fill>
            </x14:dxf>
          </x14:cfRule>
          <x14:cfRule type="containsText" priority="280" operator="containsText" id="{726B40E6-3845-4B8B-997E-E166E4F9DFDB}">
            <xm:f>NOT(ISERROR(SEARCH(#REF!,G918)))</xm:f>
            <xm:f>#REF!</xm:f>
            <x14:dxf>
              <font>
                <color rgb="FF006100"/>
              </font>
              <fill>
                <patternFill>
                  <bgColor rgb="FFC6EFCE"/>
                </patternFill>
              </fill>
            </x14:dxf>
          </x14:cfRule>
          <xm:sqref>G918:G1001</xm:sqref>
        </x14:conditionalFormatting>
        <x14:conditionalFormatting xmlns:xm="http://schemas.microsoft.com/office/excel/2006/main">
          <x14:cfRule type="containsText" priority="272" operator="containsText" id="{70056B08-AD94-4227-A713-74A40DC64CBC}">
            <xm:f>NOT(ISERROR(SEARCH(#REF!,I920)))</xm:f>
            <xm:f>#REF!</xm:f>
            <x14:dxf>
              <font>
                <color rgb="FF9C0006"/>
              </font>
              <fill>
                <patternFill>
                  <bgColor rgb="FFFFC7CE"/>
                </patternFill>
              </fill>
            </x14:dxf>
          </x14:cfRule>
          <x14:cfRule type="containsText" priority="273" operator="containsText" id="{AB9F36F5-B37A-4CC7-A869-EB2C25E93473}">
            <xm:f>NOT(ISERROR(SEARCH(#REF!,I920)))</xm:f>
            <xm:f>#REF!</xm:f>
            <x14:dxf>
              <font>
                <color rgb="FF006100"/>
              </font>
              <fill>
                <patternFill>
                  <bgColor rgb="FFC6EFCE"/>
                </patternFill>
              </fill>
            </x14:dxf>
          </x14:cfRule>
          <xm:sqref>I920:I1001</xm:sqref>
        </x14:conditionalFormatting>
        <x14:conditionalFormatting xmlns:xm="http://schemas.microsoft.com/office/excel/2006/main">
          <x14:cfRule type="containsText" priority="269" operator="containsText" id="{6337C46B-2788-4BA6-BC9A-463BFA0F343B}">
            <xm:f>NOT(ISERROR(SEARCH(#REF!,I918)))</xm:f>
            <xm:f>#REF!</xm:f>
            <x14:dxf>
              <font>
                <color rgb="FF9C0006"/>
              </font>
              <fill>
                <patternFill>
                  <bgColor rgb="FFFFC7CE"/>
                </patternFill>
              </fill>
            </x14:dxf>
          </x14:cfRule>
          <x14:cfRule type="containsText" priority="270" operator="containsText" id="{E6E0BC1D-A528-4926-8C64-48840444E047}">
            <xm:f>NOT(ISERROR(SEARCH(#REF!,I918)))</xm:f>
            <xm:f>#REF!</xm:f>
            <x14:dxf>
              <font>
                <color rgb="FF006100"/>
              </font>
              <fill>
                <patternFill>
                  <bgColor rgb="FFC6EFCE"/>
                </patternFill>
              </fill>
            </x14:dxf>
          </x14:cfRule>
          <xm:sqref>I918:I919</xm:sqref>
        </x14:conditionalFormatting>
        <x14:conditionalFormatting xmlns:xm="http://schemas.microsoft.com/office/excel/2006/main">
          <x14:cfRule type="containsText" priority="262" operator="containsText" id="{351F1AA2-3BF9-4D60-A545-DDD31B419E0C}">
            <xm:f>NOT(ISERROR(SEARCH(#REF!,I1024)))</xm:f>
            <xm:f>#REF!</xm:f>
            <x14:dxf>
              <font>
                <color rgb="FF9C0006"/>
              </font>
              <fill>
                <patternFill>
                  <bgColor rgb="FFFFC7CE"/>
                </patternFill>
              </fill>
            </x14:dxf>
          </x14:cfRule>
          <x14:cfRule type="containsText" priority="263" operator="containsText" id="{382D1D8E-26C4-49B2-BA5C-D1B2F3A4A3A6}">
            <xm:f>NOT(ISERROR(SEARCH(#REF!,I1024)))</xm:f>
            <xm:f>#REF!</xm:f>
            <x14:dxf>
              <font>
                <color rgb="FF006100"/>
              </font>
              <fill>
                <patternFill>
                  <bgColor rgb="FFC6EFCE"/>
                </patternFill>
              </fill>
            </x14:dxf>
          </x14:cfRule>
          <xm:sqref>I1024</xm:sqref>
        </x14:conditionalFormatting>
        <x14:conditionalFormatting xmlns:xm="http://schemas.microsoft.com/office/excel/2006/main">
          <x14:cfRule type="containsText" priority="257" operator="containsText" id="{03CEF4D4-92A8-4068-A21C-D0257FF6D9F1}">
            <xm:f>NOT(ISERROR(SEARCH(#REF!,G1022)))</xm:f>
            <xm:f>#REF!</xm:f>
            <x14:dxf>
              <font>
                <color rgb="FF9C0006"/>
              </font>
              <fill>
                <patternFill>
                  <bgColor rgb="FFFFC7CE"/>
                </patternFill>
              </fill>
            </x14:dxf>
          </x14:cfRule>
          <x14:cfRule type="containsText" priority="258" operator="containsText" id="{28414BBE-1DA5-492A-B917-03973CB878D7}">
            <xm:f>NOT(ISERROR(SEARCH(#REF!,G1022)))</xm:f>
            <xm:f>#REF!</xm:f>
            <x14:dxf>
              <font>
                <color rgb="FF006100"/>
              </font>
              <fill>
                <patternFill>
                  <bgColor rgb="FFC6EFCE"/>
                </patternFill>
              </fill>
            </x14:dxf>
          </x14:cfRule>
          <xm:sqref>I1022 G1022</xm:sqref>
        </x14:conditionalFormatting>
        <x14:conditionalFormatting xmlns:xm="http://schemas.microsoft.com/office/excel/2006/main">
          <x14:cfRule type="containsText" priority="252" operator="containsText" id="{EB19DDAC-65A7-4EA6-8C87-B772F9355480}">
            <xm:f>NOT(ISERROR(SEARCH(#REF!,G1023)))</xm:f>
            <xm:f>#REF!</xm:f>
            <x14:dxf>
              <font>
                <color rgb="FF9C0006"/>
              </font>
              <fill>
                <patternFill>
                  <bgColor rgb="FFFFC7CE"/>
                </patternFill>
              </fill>
            </x14:dxf>
          </x14:cfRule>
          <x14:cfRule type="containsText" priority="253" operator="containsText" id="{434C4E93-CB88-44D0-A6AD-CE35CCFCEE9C}">
            <xm:f>NOT(ISERROR(SEARCH(#REF!,G1023)))</xm:f>
            <xm:f>#REF!</xm:f>
            <x14:dxf>
              <font>
                <color rgb="FF006100"/>
              </font>
              <fill>
                <patternFill>
                  <bgColor rgb="FFC6EFCE"/>
                </patternFill>
              </fill>
            </x14:dxf>
          </x14:cfRule>
          <xm:sqref>I1023 G1023</xm:sqref>
        </x14:conditionalFormatting>
        <x14:conditionalFormatting xmlns:xm="http://schemas.microsoft.com/office/excel/2006/main">
          <x14:cfRule type="containsText" priority="247" operator="containsText" id="{D838FA5D-1595-4E33-BB65-FED769453E22}">
            <xm:f>NOT(ISERROR(SEARCH(#REF!,G1024)))</xm:f>
            <xm:f>#REF!</xm:f>
            <x14:dxf>
              <font>
                <color rgb="FF9C0006"/>
              </font>
              <fill>
                <patternFill>
                  <bgColor rgb="FFFFC7CE"/>
                </patternFill>
              </fill>
            </x14:dxf>
          </x14:cfRule>
          <x14:cfRule type="containsText" priority="248" operator="containsText" id="{9FB05FBB-BBFE-4848-9772-C86814077B60}">
            <xm:f>NOT(ISERROR(SEARCH(#REF!,G1024)))</xm:f>
            <xm:f>#REF!</xm:f>
            <x14:dxf>
              <font>
                <color rgb="FF006100"/>
              </font>
              <fill>
                <patternFill>
                  <bgColor rgb="FFC6EFCE"/>
                </patternFill>
              </fill>
            </x14:dxf>
          </x14:cfRule>
          <xm:sqref>G1024</xm:sqref>
        </x14:conditionalFormatting>
        <x14:conditionalFormatting xmlns:xm="http://schemas.microsoft.com/office/excel/2006/main">
          <x14:cfRule type="containsText" priority="242" operator="containsText" id="{58E087FD-2897-4C6A-AB77-EFBA507EFB22}">
            <xm:f>NOT(ISERROR(SEARCH(#REF!,G1038)))</xm:f>
            <xm:f>#REF!</xm:f>
            <x14:dxf>
              <font>
                <color rgb="FF9C0006"/>
              </font>
              <fill>
                <patternFill>
                  <bgColor rgb="FFFFC7CE"/>
                </patternFill>
              </fill>
            </x14:dxf>
          </x14:cfRule>
          <x14:cfRule type="containsText" priority="243" operator="containsText" id="{B1AD48A3-C56C-4D53-8533-A3D991ECCE96}">
            <xm:f>NOT(ISERROR(SEARCH(#REF!,G1038)))</xm:f>
            <xm:f>#REF!</xm:f>
            <x14:dxf>
              <font>
                <color rgb="FF006100"/>
              </font>
              <fill>
                <patternFill>
                  <bgColor rgb="FFC6EFCE"/>
                </patternFill>
              </fill>
            </x14:dxf>
          </x14:cfRule>
          <xm:sqref>I1038:I1043 G1038:G1043</xm:sqref>
        </x14:conditionalFormatting>
        <x14:conditionalFormatting xmlns:xm="http://schemas.microsoft.com/office/excel/2006/main">
          <x14:cfRule type="containsText" priority="237" operator="containsText" id="{BA06A427-BE9F-47B2-B7F2-C6F47D3C7AF8}">
            <xm:f>NOT(ISERROR(SEARCH(#REF!,G1330)))</xm:f>
            <xm:f>#REF!</xm:f>
            <x14:dxf>
              <font>
                <color rgb="FF9C0006"/>
              </font>
              <fill>
                <patternFill>
                  <bgColor rgb="FFFFC7CE"/>
                </patternFill>
              </fill>
            </x14:dxf>
          </x14:cfRule>
          <x14:cfRule type="containsText" priority="238" operator="containsText" id="{FFFF1FA9-3115-4875-B891-5F48EF6D203B}">
            <xm:f>NOT(ISERROR(SEARCH(#REF!,G1330)))</xm:f>
            <xm:f>#REF!</xm:f>
            <x14:dxf>
              <font>
                <color rgb="FF006100"/>
              </font>
              <fill>
                <patternFill>
                  <bgColor rgb="FFC6EFCE"/>
                </patternFill>
              </fill>
            </x14:dxf>
          </x14:cfRule>
          <xm:sqref>G1330:G1413</xm:sqref>
        </x14:conditionalFormatting>
        <x14:conditionalFormatting xmlns:xm="http://schemas.microsoft.com/office/excel/2006/main">
          <x14:cfRule type="containsText" priority="230" operator="containsText" id="{B27E9057-B22A-43B2-9836-8EEE50A195AC}">
            <xm:f>NOT(ISERROR(SEARCH(#REF!,I1332)))</xm:f>
            <xm:f>#REF!</xm:f>
            <x14:dxf>
              <font>
                <color rgb="FF9C0006"/>
              </font>
              <fill>
                <patternFill>
                  <bgColor rgb="FFFFC7CE"/>
                </patternFill>
              </fill>
            </x14:dxf>
          </x14:cfRule>
          <x14:cfRule type="containsText" priority="231" operator="containsText" id="{C8EF1C3E-61EC-4CBE-819A-8553DF3891D2}">
            <xm:f>NOT(ISERROR(SEARCH(#REF!,I1332)))</xm:f>
            <xm:f>#REF!</xm:f>
            <x14:dxf>
              <font>
                <color rgb="FF006100"/>
              </font>
              <fill>
                <patternFill>
                  <bgColor rgb="FFC6EFCE"/>
                </patternFill>
              </fill>
            </x14:dxf>
          </x14:cfRule>
          <xm:sqref>I1332:I1413</xm:sqref>
        </x14:conditionalFormatting>
        <x14:conditionalFormatting xmlns:xm="http://schemas.microsoft.com/office/excel/2006/main">
          <x14:cfRule type="containsText" priority="227" operator="containsText" id="{19658A96-FCFF-4226-9957-D50F347B8924}">
            <xm:f>NOT(ISERROR(SEARCH(#REF!,I1330)))</xm:f>
            <xm:f>#REF!</xm:f>
            <x14:dxf>
              <font>
                <color rgb="FF9C0006"/>
              </font>
              <fill>
                <patternFill>
                  <bgColor rgb="FFFFC7CE"/>
                </patternFill>
              </fill>
            </x14:dxf>
          </x14:cfRule>
          <x14:cfRule type="containsText" priority="228" operator="containsText" id="{28399CF9-7EAC-495D-AA16-7ED6D24299F0}">
            <xm:f>NOT(ISERROR(SEARCH(#REF!,I1330)))</xm:f>
            <xm:f>#REF!</xm:f>
            <x14:dxf>
              <font>
                <color rgb="FF006100"/>
              </font>
              <fill>
                <patternFill>
                  <bgColor rgb="FFC6EFCE"/>
                </patternFill>
              </fill>
            </x14:dxf>
          </x14:cfRule>
          <xm:sqref>I1330:I1331</xm:sqref>
        </x14:conditionalFormatting>
        <x14:conditionalFormatting xmlns:xm="http://schemas.microsoft.com/office/excel/2006/main">
          <x14:cfRule type="containsText" priority="222" operator="containsText" id="{C2459BB8-A31A-4FA6-B734-BE683890C3B1}">
            <xm:f>NOT(ISERROR(SEARCH(#REF!,G1414)))</xm:f>
            <xm:f>#REF!</xm:f>
            <x14:dxf>
              <font>
                <color rgb="FF9C0006"/>
              </font>
              <fill>
                <patternFill>
                  <bgColor rgb="FFFFC7CE"/>
                </patternFill>
              </fill>
            </x14:dxf>
          </x14:cfRule>
          <x14:cfRule type="containsText" priority="223" operator="containsText" id="{E4B03A08-A8B3-43B6-9F5C-001CB0507E99}">
            <xm:f>NOT(ISERROR(SEARCH(#REF!,G1414)))</xm:f>
            <xm:f>#REF!</xm:f>
            <x14:dxf>
              <font>
                <color rgb="FF006100"/>
              </font>
              <fill>
                <patternFill>
                  <bgColor rgb="FFC6EFCE"/>
                </patternFill>
              </fill>
            </x14:dxf>
          </x14:cfRule>
          <xm:sqref>G1414</xm:sqref>
        </x14:conditionalFormatting>
        <x14:conditionalFormatting xmlns:xm="http://schemas.microsoft.com/office/excel/2006/main">
          <x14:cfRule type="containsText" priority="217" operator="containsText" id="{C9B3E40C-DC7B-4111-894B-026DDC6CEFA6}">
            <xm:f>NOT(ISERROR(SEARCH(#REF!,I1414)))</xm:f>
            <xm:f>#REF!</xm:f>
            <x14:dxf>
              <font>
                <color rgb="FF9C0006"/>
              </font>
              <fill>
                <patternFill>
                  <bgColor rgb="FFFFC7CE"/>
                </patternFill>
              </fill>
            </x14:dxf>
          </x14:cfRule>
          <x14:cfRule type="containsText" priority="218" operator="containsText" id="{C7D36F2E-419E-44C9-8125-62E999867BDC}">
            <xm:f>NOT(ISERROR(SEARCH(#REF!,I1414)))</xm:f>
            <xm:f>#REF!</xm:f>
            <x14:dxf>
              <font>
                <color rgb="FF006100"/>
              </font>
              <fill>
                <patternFill>
                  <bgColor rgb="FFC6EFCE"/>
                </patternFill>
              </fill>
            </x14:dxf>
          </x14:cfRule>
          <xm:sqref>I1414</xm:sqref>
        </x14:conditionalFormatting>
        <x14:conditionalFormatting xmlns:xm="http://schemas.microsoft.com/office/excel/2006/main">
          <x14:cfRule type="containsText" priority="207" operator="containsText" id="{BFA8C000-3BF9-4C02-8890-3E9E9F78A245}">
            <xm:f>NOT(ISERROR(SEARCH(#REF!,I1415)))</xm:f>
            <xm:f>#REF!</xm:f>
            <x14:dxf>
              <font>
                <color rgb="FF9C0006"/>
              </font>
              <fill>
                <patternFill>
                  <bgColor rgb="FFFFC7CE"/>
                </patternFill>
              </fill>
            </x14:dxf>
          </x14:cfRule>
          <x14:cfRule type="containsText" priority="208" operator="containsText" id="{7C9C5436-EC32-4292-AC8C-0CD64D5B6F59}">
            <xm:f>NOT(ISERROR(SEARCH(#REF!,I1415)))</xm:f>
            <xm:f>#REF!</xm:f>
            <x14:dxf>
              <font>
                <color rgb="FF006100"/>
              </font>
              <fill>
                <patternFill>
                  <bgColor rgb="FFC6EFCE"/>
                </patternFill>
              </fill>
            </x14:dxf>
          </x14:cfRule>
          <xm:sqref>I1415</xm:sqref>
        </x14:conditionalFormatting>
        <x14:conditionalFormatting xmlns:xm="http://schemas.microsoft.com/office/excel/2006/main">
          <x14:cfRule type="containsText" priority="211" operator="containsText" id="{2D2A0D6D-FB86-4D70-BC17-5F7B09FAED5B}">
            <xm:f>NOT(ISERROR(SEARCH(#REF!,G1415)))</xm:f>
            <xm:f>#REF!</xm:f>
            <x14:dxf>
              <font>
                <color rgb="FF006100"/>
              </font>
              <fill>
                <patternFill>
                  <bgColor rgb="FFC6EFCE"/>
                </patternFill>
              </fill>
            </x14:dxf>
          </x14:cfRule>
          <x14:cfRule type="containsText" priority="241" operator="containsText" id="{75AC3591-2D4F-4FA1-832A-E818AD901EB3}">
            <xm:f>NOT(ISERROR(SEARCH(#REF!,G1415)))</xm:f>
            <xm:f>#REF!</xm:f>
            <x14:dxf>
              <font>
                <color rgb="FF9C0006"/>
              </font>
              <fill>
                <patternFill>
                  <bgColor rgb="FFFFC7CE"/>
                </patternFill>
              </fill>
            </x14:dxf>
          </x14:cfRule>
          <xm:sqref>G1415</xm:sqref>
        </x14:conditionalFormatting>
        <x14:conditionalFormatting xmlns:xm="http://schemas.microsoft.com/office/excel/2006/main">
          <x14:cfRule type="containsText" priority="202" operator="containsText" id="{2C76D4EB-22A9-4BFA-A5C9-8FFC086019E5}">
            <xm:f>NOT(ISERROR(SEARCH(#REF!,I1556)))</xm:f>
            <xm:f>#REF!</xm:f>
            <x14:dxf>
              <font>
                <color rgb="FF9C0006"/>
              </font>
              <fill>
                <patternFill>
                  <bgColor rgb="FFFFC7CE"/>
                </patternFill>
              </fill>
            </x14:dxf>
          </x14:cfRule>
          <x14:cfRule type="containsText" priority="203" operator="containsText" id="{CDAFA23D-2CD6-4F57-9CAB-FEE75983D9F2}">
            <xm:f>NOT(ISERROR(SEARCH(#REF!,I1556)))</xm:f>
            <xm:f>#REF!</xm:f>
            <x14:dxf>
              <font>
                <color rgb="FF006100"/>
              </font>
              <fill>
                <patternFill>
                  <bgColor rgb="FFC6EFCE"/>
                </patternFill>
              </fill>
            </x14:dxf>
          </x14:cfRule>
          <xm:sqref>I1556:I1558</xm:sqref>
        </x14:conditionalFormatting>
        <x14:conditionalFormatting xmlns:xm="http://schemas.microsoft.com/office/excel/2006/main">
          <x14:cfRule type="containsText" priority="199" operator="containsText" id="{04C24429-7F6B-463B-9604-168FF9FF3209}">
            <xm:f>NOT(ISERROR(SEARCH(#REF!,I1554)))</xm:f>
            <xm:f>#REF!</xm:f>
            <x14:dxf>
              <font>
                <color rgb="FF9C0006"/>
              </font>
              <fill>
                <patternFill>
                  <bgColor rgb="FFFFC7CE"/>
                </patternFill>
              </fill>
            </x14:dxf>
          </x14:cfRule>
          <x14:cfRule type="containsText" priority="200" operator="containsText" id="{171F0BDB-96BE-4AF5-9D83-A5C49808291D}">
            <xm:f>NOT(ISERROR(SEARCH(#REF!,I1554)))</xm:f>
            <xm:f>#REF!</xm:f>
            <x14:dxf>
              <font>
                <color rgb="FF006100"/>
              </font>
              <fill>
                <patternFill>
                  <bgColor rgb="FFC6EFCE"/>
                </patternFill>
              </fill>
            </x14:dxf>
          </x14:cfRule>
          <xm:sqref>I1554:I1555</xm:sqref>
        </x14:conditionalFormatting>
        <x14:conditionalFormatting xmlns:xm="http://schemas.microsoft.com/office/excel/2006/main">
          <x14:cfRule type="containsText" priority="192" operator="containsText" id="{4DAE5DDB-5322-4D4E-9BB3-71CA477510A7}">
            <xm:f>NOT(ISERROR(SEARCH(#REF!,G1554)))</xm:f>
            <xm:f>#REF!</xm:f>
            <x14:dxf>
              <font>
                <color rgb="FF9C0006"/>
              </font>
              <fill>
                <patternFill>
                  <bgColor rgb="FFFFC7CE"/>
                </patternFill>
              </fill>
            </x14:dxf>
          </x14:cfRule>
          <x14:cfRule type="containsText" priority="193" operator="containsText" id="{8A392237-5039-4035-B2B3-4CA344DC7257}">
            <xm:f>NOT(ISERROR(SEARCH(#REF!,G1554)))</xm:f>
            <xm:f>#REF!</xm:f>
            <x14:dxf>
              <font>
                <color rgb="FF006100"/>
              </font>
              <fill>
                <patternFill>
                  <bgColor rgb="FFC6EFCE"/>
                </patternFill>
              </fill>
            </x14:dxf>
          </x14:cfRule>
          <xm:sqref>G1554</xm:sqref>
        </x14:conditionalFormatting>
        <x14:conditionalFormatting xmlns:xm="http://schemas.microsoft.com/office/excel/2006/main">
          <x14:cfRule type="containsText" priority="187" operator="containsText" id="{A33BC0EF-B356-4140-8262-B3DACC9E2660}">
            <xm:f>NOT(ISERROR(SEARCH(#REF!,G1555)))</xm:f>
            <xm:f>#REF!</xm:f>
            <x14:dxf>
              <font>
                <color rgb="FF9C0006"/>
              </font>
              <fill>
                <patternFill>
                  <bgColor rgb="FFFFC7CE"/>
                </patternFill>
              </fill>
            </x14:dxf>
          </x14:cfRule>
          <x14:cfRule type="containsText" priority="188" operator="containsText" id="{4BBA7583-6730-4783-A769-D4AE23F91F80}">
            <xm:f>NOT(ISERROR(SEARCH(#REF!,G1555)))</xm:f>
            <xm:f>#REF!</xm:f>
            <x14:dxf>
              <font>
                <color rgb="FF006100"/>
              </font>
              <fill>
                <patternFill>
                  <bgColor rgb="FFC6EFCE"/>
                </patternFill>
              </fill>
            </x14:dxf>
          </x14:cfRule>
          <xm:sqref>G1555</xm:sqref>
        </x14:conditionalFormatting>
        <x14:conditionalFormatting xmlns:xm="http://schemas.microsoft.com/office/excel/2006/main">
          <x14:cfRule type="containsText" priority="182" operator="containsText" id="{82DFFA16-3E1C-44B4-B62B-81F3C5CA7F1B}">
            <xm:f>NOT(ISERROR(SEARCH(#REF!,G1556)))</xm:f>
            <xm:f>#REF!</xm:f>
            <x14:dxf>
              <font>
                <color rgb="FF9C0006"/>
              </font>
              <fill>
                <patternFill>
                  <bgColor rgb="FFFFC7CE"/>
                </patternFill>
              </fill>
            </x14:dxf>
          </x14:cfRule>
          <x14:cfRule type="containsText" priority="183" operator="containsText" id="{E9D4A41B-15EE-4342-A59C-FF774A0F3C3E}">
            <xm:f>NOT(ISERROR(SEARCH(#REF!,G1556)))</xm:f>
            <xm:f>#REF!</xm:f>
            <x14:dxf>
              <font>
                <color rgb="FF006100"/>
              </font>
              <fill>
                <patternFill>
                  <bgColor rgb="FFC6EFCE"/>
                </patternFill>
              </fill>
            </x14:dxf>
          </x14:cfRule>
          <xm:sqref>G1556</xm:sqref>
        </x14:conditionalFormatting>
        <x14:conditionalFormatting xmlns:xm="http://schemas.microsoft.com/office/excel/2006/main">
          <x14:cfRule type="containsText" priority="177" operator="containsText" id="{4DBC3EB3-19C6-4DBC-BBB3-D94DBE881823}">
            <xm:f>NOT(ISERROR(SEARCH(#REF!,G1557)))</xm:f>
            <xm:f>#REF!</xm:f>
            <x14:dxf>
              <font>
                <color rgb="FF9C0006"/>
              </font>
              <fill>
                <patternFill>
                  <bgColor rgb="FFFFC7CE"/>
                </patternFill>
              </fill>
            </x14:dxf>
          </x14:cfRule>
          <x14:cfRule type="containsText" priority="178" operator="containsText" id="{29225CD5-19E0-43D1-9088-3B74D96AC766}">
            <xm:f>NOT(ISERROR(SEARCH(#REF!,G1557)))</xm:f>
            <xm:f>#REF!</xm:f>
            <x14:dxf>
              <font>
                <color rgb="FF006100"/>
              </font>
              <fill>
                <patternFill>
                  <bgColor rgb="FFC6EFCE"/>
                </patternFill>
              </fill>
            </x14:dxf>
          </x14:cfRule>
          <xm:sqref>G1557</xm:sqref>
        </x14:conditionalFormatting>
        <x14:conditionalFormatting xmlns:xm="http://schemas.microsoft.com/office/excel/2006/main">
          <x14:cfRule type="containsText" priority="172" operator="containsText" id="{55900DE5-CE99-43F2-BAE1-9D387807BDE8}">
            <xm:f>NOT(ISERROR(SEARCH(#REF!,G1558)))</xm:f>
            <xm:f>#REF!</xm:f>
            <x14:dxf>
              <font>
                <color rgb="FF9C0006"/>
              </font>
              <fill>
                <patternFill>
                  <bgColor rgb="FFFFC7CE"/>
                </patternFill>
              </fill>
            </x14:dxf>
          </x14:cfRule>
          <x14:cfRule type="containsText" priority="173" operator="containsText" id="{9ACEC3DC-2D93-4AA3-A049-4C1012B36156}">
            <xm:f>NOT(ISERROR(SEARCH(#REF!,G1558)))</xm:f>
            <xm:f>#REF!</xm:f>
            <x14:dxf>
              <font>
                <color rgb="FF006100"/>
              </font>
              <fill>
                <patternFill>
                  <bgColor rgb="FFC6EFCE"/>
                </patternFill>
              </fill>
            </x14:dxf>
          </x14:cfRule>
          <xm:sqref>G1558</xm:sqref>
        </x14:conditionalFormatting>
        <x14:conditionalFormatting xmlns:xm="http://schemas.microsoft.com/office/excel/2006/main">
          <x14:cfRule type="containsText" priority="169" operator="containsText" id="{C9E21660-BF6F-4E19-BB8C-4DC45D6EFE6A}">
            <xm:f>NOT(ISERROR(SEARCH(#REF!,G1559)))</xm:f>
            <xm:f>#REF!</xm:f>
            <x14:dxf>
              <font>
                <color rgb="FF006100"/>
              </font>
              <fill>
                <patternFill>
                  <bgColor rgb="FFC6EFCE"/>
                </patternFill>
              </fill>
            </x14:dxf>
          </x14:cfRule>
          <xm:sqref>G1559</xm:sqref>
        </x14:conditionalFormatting>
        <x14:conditionalFormatting xmlns:xm="http://schemas.microsoft.com/office/excel/2006/main">
          <x14:cfRule type="containsText" priority="165" operator="containsText" id="{D79DFED6-2B5E-4039-A84C-1D9E3C285FC1}">
            <xm:f>NOT(ISERROR(SEARCH(#REF!,I1559)))</xm:f>
            <xm:f>#REF!</xm:f>
            <x14:dxf>
              <font>
                <color rgb="FF9C0006"/>
              </font>
              <fill>
                <patternFill>
                  <bgColor rgb="FFFFC7CE"/>
                </patternFill>
              </fill>
            </x14:dxf>
          </x14:cfRule>
          <x14:cfRule type="containsText" priority="166" operator="containsText" id="{D0628DB3-8F99-49EB-9FC2-F8348104FC42}">
            <xm:f>NOT(ISERROR(SEARCH(#REF!,I1559)))</xm:f>
            <xm:f>#REF!</xm:f>
            <x14:dxf>
              <font>
                <color rgb="FF006100"/>
              </font>
              <fill>
                <patternFill>
                  <bgColor rgb="FFC6EFCE"/>
                </patternFill>
              </fill>
            </x14:dxf>
          </x14:cfRule>
          <xm:sqref>I1559</xm:sqref>
        </x14:conditionalFormatting>
        <x14:conditionalFormatting xmlns:xm="http://schemas.microsoft.com/office/excel/2006/main">
          <x14:cfRule type="containsText" priority="160" operator="containsText" id="{DB59A7BD-F62E-406B-B670-622DE927C1D3}">
            <xm:f>NOT(ISERROR(SEARCH(#REF!,G1560)))</xm:f>
            <xm:f>#REF!</xm:f>
            <x14:dxf>
              <font>
                <color rgb="FF9C0006"/>
              </font>
              <fill>
                <patternFill>
                  <bgColor rgb="FFFFC7CE"/>
                </patternFill>
              </fill>
            </x14:dxf>
          </x14:cfRule>
          <x14:cfRule type="containsText" priority="161" operator="containsText" id="{9FA9FA2E-9923-488F-B66D-1001A73D6975}">
            <xm:f>NOT(ISERROR(SEARCH(#REF!,G1560)))</xm:f>
            <xm:f>#REF!</xm:f>
            <x14:dxf>
              <font>
                <color rgb="FF006100"/>
              </font>
              <fill>
                <patternFill>
                  <bgColor rgb="FFC6EFCE"/>
                </patternFill>
              </fill>
            </x14:dxf>
          </x14:cfRule>
          <xm:sqref>I1560 G1560</xm:sqref>
        </x14:conditionalFormatting>
        <x14:conditionalFormatting xmlns:xm="http://schemas.microsoft.com/office/excel/2006/main">
          <x14:cfRule type="containsText" priority="155" operator="containsText" id="{EF8A2899-9189-4AA3-8251-DB72D50A979E}">
            <xm:f>NOT(ISERROR(SEARCH(#REF!,G1561)))</xm:f>
            <xm:f>#REF!</xm:f>
            <x14:dxf>
              <font>
                <color rgb="FF9C0006"/>
              </font>
              <fill>
                <patternFill>
                  <bgColor rgb="FFFFC7CE"/>
                </patternFill>
              </fill>
            </x14:dxf>
          </x14:cfRule>
          <x14:cfRule type="containsText" priority="156" operator="containsText" id="{C353DACB-9480-4F39-AB88-0FD114A1FB42}">
            <xm:f>NOT(ISERROR(SEARCH(#REF!,G1561)))</xm:f>
            <xm:f>#REF!</xm:f>
            <x14:dxf>
              <font>
                <color rgb="FF006100"/>
              </font>
              <fill>
                <patternFill>
                  <bgColor rgb="FFC6EFCE"/>
                </patternFill>
              </fill>
            </x14:dxf>
          </x14:cfRule>
          <xm:sqref>I1561 G1561</xm:sqref>
        </x14:conditionalFormatting>
        <x14:conditionalFormatting xmlns:xm="http://schemas.microsoft.com/office/excel/2006/main">
          <x14:cfRule type="containsText" priority="91" operator="containsText" id="{15D3D431-24EB-478F-97F1-B20CCA552C6D}">
            <xm:f>NOT(ISERROR(SEARCH(#REF!,G1596)))</xm:f>
            <xm:f>#REF!</xm:f>
            <x14:dxf>
              <font>
                <color rgb="FF9C0006"/>
              </font>
              <fill>
                <patternFill>
                  <bgColor rgb="FFFFC7CE"/>
                </patternFill>
              </fill>
            </x14:dxf>
          </x14:cfRule>
          <x14:cfRule type="containsText" priority="92" operator="containsText" id="{1368B97F-81EC-40F6-A249-A0BAF1FF1B27}">
            <xm:f>NOT(ISERROR(SEARCH(#REF!,G1596)))</xm:f>
            <xm:f>#REF!</xm:f>
            <x14:dxf>
              <font>
                <color rgb="FF006100"/>
              </font>
              <fill>
                <patternFill>
                  <bgColor rgb="FFC6EFCE"/>
                </patternFill>
              </fill>
            </x14:dxf>
          </x14:cfRule>
          <xm:sqref>I1596 G1596 I1598 I1600 I1602 I1604 I1606 G1598 G1600 G1602 G1604 G1606</xm:sqref>
        </x14:conditionalFormatting>
        <x14:conditionalFormatting xmlns:xm="http://schemas.microsoft.com/office/excel/2006/main">
          <x14:cfRule type="containsText" priority="148" operator="containsText" id="{E7B8F90C-D059-4733-86E3-94584F1BC9A9}">
            <xm:f>NOT(ISERROR(SEARCH(#REF!,I1593)))</xm:f>
            <xm:f>#REF!</xm:f>
            <x14:dxf>
              <font>
                <color rgb="FF9C0006"/>
              </font>
              <fill>
                <patternFill>
                  <bgColor rgb="FFFFC7CE"/>
                </patternFill>
              </fill>
            </x14:dxf>
          </x14:cfRule>
          <x14:cfRule type="containsText" priority="149" operator="containsText" id="{D513174A-7685-450F-A11B-F3A522454CBA}">
            <xm:f>NOT(ISERROR(SEARCH(#REF!,I1593)))</xm:f>
            <xm:f>#REF!</xm:f>
            <x14:dxf>
              <font>
                <color rgb="FF006100"/>
              </font>
              <fill>
                <patternFill>
                  <bgColor rgb="FFC6EFCE"/>
                </patternFill>
              </fill>
            </x14:dxf>
          </x14:cfRule>
          <xm:sqref>I1593</xm:sqref>
        </x14:conditionalFormatting>
        <x14:conditionalFormatting xmlns:xm="http://schemas.microsoft.com/office/excel/2006/main">
          <x14:cfRule type="containsText" priority="145" operator="containsText" id="{08520C18-BCA3-4951-A25A-F9241A422D36}">
            <xm:f>NOT(ISERROR(SEARCH(#REF!,I1589)))</xm:f>
            <xm:f>#REF!</xm:f>
            <x14:dxf>
              <font>
                <color rgb="FF9C0006"/>
              </font>
              <fill>
                <patternFill>
                  <bgColor rgb="FFFFC7CE"/>
                </patternFill>
              </fill>
            </x14:dxf>
          </x14:cfRule>
          <x14:cfRule type="containsText" priority="146" operator="containsText" id="{A16C85FA-1072-42DF-B802-BF3405002C9A}">
            <xm:f>NOT(ISERROR(SEARCH(#REF!,I1589)))</xm:f>
            <xm:f>#REF!</xm:f>
            <x14:dxf>
              <font>
                <color rgb="FF006100"/>
              </font>
              <fill>
                <patternFill>
                  <bgColor rgb="FFC6EFCE"/>
                </patternFill>
              </fill>
            </x14:dxf>
          </x14:cfRule>
          <xm:sqref>I1589:I1590</xm:sqref>
        </x14:conditionalFormatting>
        <x14:conditionalFormatting xmlns:xm="http://schemas.microsoft.com/office/excel/2006/main">
          <x14:cfRule type="containsText" priority="123" operator="containsText" id="{083C7977-AD16-40AF-8D8A-793F8CE2FB3B}">
            <xm:f>NOT(ISERROR(SEARCH(#REF!,G1590)))</xm:f>
            <xm:f>#REF!</xm:f>
            <x14:dxf>
              <font>
                <color rgb="FF9C0006"/>
              </font>
              <fill>
                <patternFill>
                  <bgColor rgb="FFFFC7CE"/>
                </patternFill>
              </fill>
            </x14:dxf>
          </x14:cfRule>
          <x14:cfRule type="containsText" priority="124" operator="containsText" id="{4445012C-0B66-4341-9982-58C8D46F2F61}">
            <xm:f>NOT(ISERROR(SEARCH(#REF!,G1590)))</xm:f>
            <xm:f>#REF!</xm:f>
            <x14:dxf>
              <font>
                <color rgb="FF006100"/>
              </font>
              <fill>
                <patternFill>
                  <bgColor rgb="FFC6EFCE"/>
                </patternFill>
              </fill>
            </x14:dxf>
          </x14:cfRule>
          <xm:sqref>G1590</xm:sqref>
        </x14:conditionalFormatting>
        <x14:conditionalFormatting xmlns:xm="http://schemas.microsoft.com/office/excel/2006/main">
          <x14:cfRule type="containsText" priority="138" operator="containsText" id="{3BD50879-AE77-4731-BB1F-46E20732E812}">
            <xm:f>NOT(ISERROR(SEARCH(#REF!,I1591)))</xm:f>
            <xm:f>#REF!</xm:f>
            <x14:dxf>
              <font>
                <color rgb="FF9C0006"/>
              </font>
              <fill>
                <patternFill>
                  <bgColor rgb="FFFFC7CE"/>
                </patternFill>
              </fill>
            </x14:dxf>
          </x14:cfRule>
          <x14:cfRule type="containsText" priority="139" operator="containsText" id="{D22260C7-EB8B-4862-B0A5-7A5602C2D466}">
            <xm:f>NOT(ISERROR(SEARCH(#REF!,I1591)))</xm:f>
            <xm:f>#REF!</xm:f>
            <x14:dxf>
              <font>
                <color rgb="FF006100"/>
              </font>
              <fill>
                <patternFill>
                  <bgColor rgb="FFC6EFCE"/>
                </patternFill>
              </fill>
            </x14:dxf>
          </x14:cfRule>
          <xm:sqref>I1591</xm:sqref>
        </x14:conditionalFormatting>
        <x14:conditionalFormatting xmlns:xm="http://schemas.microsoft.com/office/excel/2006/main">
          <x14:cfRule type="containsText" priority="108" operator="containsText" id="{EF39FF69-79BE-4298-A968-7E37E234D43D}">
            <xm:f>NOT(ISERROR(SEARCH(#REF!,G1593)))</xm:f>
            <xm:f>#REF!</xm:f>
            <x14:dxf>
              <font>
                <color rgb="FF9C0006"/>
              </font>
              <fill>
                <patternFill>
                  <bgColor rgb="FFFFC7CE"/>
                </patternFill>
              </fill>
            </x14:dxf>
          </x14:cfRule>
          <x14:cfRule type="containsText" priority="109" operator="containsText" id="{99A368EB-BE60-42D9-909D-A4C1AC69E70F}">
            <xm:f>NOT(ISERROR(SEARCH(#REF!,G1593)))</xm:f>
            <xm:f>#REF!</xm:f>
            <x14:dxf>
              <font>
                <color rgb="FF006100"/>
              </font>
              <fill>
                <patternFill>
                  <bgColor rgb="FFC6EFCE"/>
                </patternFill>
              </fill>
            </x14:dxf>
          </x14:cfRule>
          <xm:sqref>G1593</xm:sqref>
        </x14:conditionalFormatting>
        <x14:conditionalFormatting xmlns:xm="http://schemas.microsoft.com/office/excel/2006/main">
          <x14:cfRule type="containsText" priority="133" operator="containsText" id="{A2D63A43-4AD2-48CF-90DA-C49D515EC2D1}">
            <xm:f>NOT(ISERROR(SEARCH(#REF!,I1592)))</xm:f>
            <xm:f>#REF!</xm:f>
            <x14:dxf>
              <font>
                <color rgb="FF9C0006"/>
              </font>
              <fill>
                <patternFill>
                  <bgColor rgb="FFFFC7CE"/>
                </patternFill>
              </fill>
            </x14:dxf>
          </x14:cfRule>
          <x14:cfRule type="containsText" priority="134" operator="containsText" id="{624BD625-CE51-468B-93BD-4268216A529C}">
            <xm:f>NOT(ISERROR(SEARCH(#REF!,I1592)))</xm:f>
            <xm:f>#REF!</xm:f>
            <x14:dxf>
              <font>
                <color rgb="FF006100"/>
              </font>
              <fill>
                <patternFill>
                  <bgColor rgb="FFC6EFCE"/>
                </patternFill>
              </fill>
            </x14:dxf>
          </x14:cfRule>
          <xm:sqref>I1592</xm:sqref>
        </x14:conditionalFormatting>
        <x14:conditionalFormatting xmlns:xm="http://schemas.microsoft.com/office/excel/2006/main">
          <x14:cfRule type="containsText" priority="128" operator="containsText" id="{37A1BB56-8106-450C-B79C-81D160AC5818}">
            <xm:f>NOT(ISERROR(SEARCH(#REF!,G1589)))</xm:f>
            <xm:f>#REF!</xm:f>
            <x14:dxf>
              <font>
                <color rgb="FF9C0006"/>
              </font>
              <fill>
                <patternFill>
                  <bgColor rgb="FFFFC7CE"/>
                </patternFill>
              </fill>
            </x14:dxf>
          </x14:cfRule>
          <x14:cfRule type="containsText" priority="129" operator="containsText" id="{2FA5266E-464A-4AAF-967D-1E516ABC83BD}">
            <xm:f>NOT(ISERROR(SEARCH(#REF!,G1589)))</xm:f>
            <xm:f>#REF!</xm:f>
            <x14:dxf>
              <font>
                <color rgb="FF006100"/>
              </font>
              <fill>
                <patternFill>
                  <bgColor rgb="FFC6EFCE"/>
                </patternFill>
              </fill>
            </x14:dxf>
          </x14:cfRule>
          <xm:sqref>G1589</xm:sqref>
        </x14:conditionalFormatting>
        <x14:conditionalFormatting xmlns:xm="http://schemas.microsoft.com/office/excel/2006/main">
          <x14:cfRule type="containsText" priority="118" operator="containsText" id="{E0918758-7B63-4047-A86C-0075973224B5}">
            <xm:f>NOT(ISERROR(SEARCH(#REF!,G1591)))</xm:f>
            <xm:f>#REF!</xm:f>
            <x14:dxf>
              <font>
                <color rgb="FF9C0006"/>
              </font>
              <fill>
                <patternFill>
                  <bgColor rgb="FFFFC7CE"/>
                </patternFill>
              </fill>
            </x14:dxf>
          </x14:cfRule>
          <x14:cfRule type="containsText" priority="119" operator="containsText" id="{A870515B-6395-4C03-803F-0523D3EBD2C1}">
            <xm:f>NOT(ISERROR(SEARCH(#REF!,G1591)))</xm:f>
            <xm:f>#REF!</xm:f>
            <x14:dxf>
              <font>
                <color rgb="FF006100"/>
              </font>
              <fill>
                <patternFill>
                  <bgColor rgb="FFC6EFCE"/>
                </patternFill>
              </fill>
            </x14:dxf>
          </x14:cfRule>
          <xm:sqref>G1591</xm:sqref>
        </x14:conditionalFormatting>
        <x14:conditionalFormatting xmlns:xm="http://schemas.microsoft.com/office/excel/2006/main">
          <x14:cfRule type="containsText" priority="113" operator="containsText" id="{E1D07DB1-3443-40CC-AABF-3D275C65F48F}">
            <xm:f>NOT(ISERROR(SEARCH(#REF!,G1592)))</xm:f>
            <xm:f>#REF!</xm:f>
            <x14:dxf>
              <font>
                <color rgb="FF9C0006"/>
              </font>
              <fill>
                <patternFill>
                  <bgColor rgb="FFFFC7CE"/>
                </patternFill>
              </fill>
            </x14:dxf>
          </x14:cfRule>
          <x14:cfRule type="containsText" priority="114" operator="containsText" id="{4CCF68B0-F330-4A47-9BD7-17C9EC1FA505}">
            <xm:f>NOT(ISERROR(SEARCH(#REF!,G1592)))</xm:f>
            <xm:f>#REF!</xm:f>
            <x14:dxf>
              <font>
                <color rgb="FF006100"/>
              </font>
              <fill>
                <patternFill>
                  <bgColor rgb="FFC6EFCE"/>
                </patternFill>
              </fill>
            </x14:dxf>
          </x14:cfRule>
          <xm:sqref>G1592</xm:sqref>
        </x14:conditionalFormatting>
        <x14:conditionalFormatting xmlns:xm="http://schemas.microsoft.com/office/excel/2006/main">
          <x14:cfRule type="containsText" priority="105" operator="containsText" id="{E7115650-53BA-42B7-B47F-15FC65073AC9}">
            <xm:f>NOT(ISERROR(SEARCH(#REF!,G1594)))</xm:f>
            <xm:f>#REF!</xm:f>
            <x14:dxf>
              <font>
                <color rgb="FF006100"/>
              </font>
              <fill>
                <patternFill>
                  <bgColor rgb="FFC6EFCE"/>
                </patternFill>
              </fill>
            </x14:dxf>
          </x14:cfRule>
          <x14:cfRule type="containsText" priority="154" operator="containsText" id="{1CED2EA0-0E6C-4A0D-85D7-3DC9382D0C9A}">
            <xm:f>NOT(ISERROR(SEARCH(#REF!,G1594)))</xm:f>
            <xm:f>#REF!</xm:f>
            <x14:dxf>
              <font>
                <color rgb="FF9C0006"/>
              </font>
              <fill>
                <patternFill>
                  <bgColor rgb="FFFFC7CE"/>
                </patternFill>
              </fill>
            </x14:dxf>
          </x14:cfRule>
          <xm:sqref>G1594</xm:sqref>
        </x14:conditionalFormatting>
        <x14:conditionalFormatting xmlns:xm="http://schemas.microsoft.com/office/excel/2006/main">
          <x14:cfRule type="containsText" priority="101" operator="containsText" id="{9A5F5FE4-37A9-4034-8A3F-682ECD5EA27B}">
            <xm:f>NOT(ISERROR(SEARCH(#REF!,I1594)))</xm:f>
            <xm:f>#REF!</xm:f>
            <x14:dxf>
              <font>
                <color rgb="FF9C0006"/>
              </font>
              <fill>
                <patternFill>
                  <bgColor rgb="FFFFC7CE"/>
                </patternFill>
              </fill>
            </x14:dxf>
          </x14:cfRule>
          <x14:cfRule type="containsText" priority="102" operator="containsText" id="{72425F20-5353-4A2F-BE08-79298BAA6EEB}">
            <xm:f>NOT(ISERROR(SEARCH(#REF!,I1594)))</xm:f>
            <xm:f>#REF!</xm:f>
            <x14:dxf>
              <font>
                <color rgb="FF006100"/>
              </font>
              <fill>
                <patternFill>
                  <bgColor rgb="FFC6EFCE"/>
                </patternFill>
              </fill>
            </x14:dxf>
          </x14:cfRule>
          <xm:sqref>I1594</xm:sqref>
        </x14:conditionalFormatting>
        <x14:conditionalFormatting xmlns:xm="http://schemas.microsoft.com/office/excel/2006/main">
          <x14:cfRule type="containsText" priority="96" operator="containsText" id="{80E4AE32-661F-4D38-BD96-80A0B6AC627F}">
            <xm:f>NOT(ISERROR(SEARCH(#REF!,G1595)))</xm:f>
            <xm:f>#REF!</xm:f>
            <x14:dxf>
              <font>
                <color rgb="FF9C0006"/>
              </font>
              <fill>
                <patternFill>
                  <bgColor rgb="FFFFC7CE"/>
                </patternFill>
              </fill>
            </x14:dxf>
          </x14:cfRule>
          <x14:cfRule type="containsText" priority="97" operator="containsText" id="{56D09B37-98EC-46EC-B13B-10A8F99C74B8}">
            <xm:f>NOT(ISERROR(SEARCH(#REF!,G1595)))</xm:f>
            <xm:f>#REF!</xm:f>
            <x14:dxf>
              <font>
                <color rgb="FF006100"/>
              </font>
              <fill>
                <patternFill>
                  <bgColor rgb="FFC6EFCE"/>
                </patternFill>
              </fill>
            </x14:dxf>
          </x14:cfRule>
          <xm:sqref>I1595 G1595 I1597 I1599 I1601 I1603 I1605 G1597 G1599 G1601 G1603 G1605</xm:sqref>
        </x14:conditionalFormatting>
        <x14:conditionalFormatting xmlns:xm="http://schemas.microsoft.com/office/excel/2006/main">
          <x14:cfRule type="containsText" priority="78" operator="containsText" id="{66ADA7B3-0F24-434F-BC33-B03C42C2A5A8}">
            <xm:f>NOT(ISERROR(SEARCH(#REF!,I1123)))</xm:f>
            <xm:f>#REF!</xm:f>
            <x14:dxf>
              <font>
                <color rgb="FF9C0006"/>
              </font>
              <fill>
                <patternFill>
                  <bgColor rgb="FFFFC7CE"/>
                </patternFill>
              </fill>
            </x14:dxf>
          </x14:cfRule>
          <x14:cfRule type="containsText" priority="79" operator="containsText" id="{9290C791-BD71-4580-A56B-378CC5E1BCBE}">
            <xm:f>NOT(ISERROR(SEARCH(#REF!,I1123)))</xm:f>
            <xm:f>#REF!</xm:f>
            <x14:dxf>
              <font>
                <color rgb="FF006100"/>
              </font>
              <fill>
                <patternFill>
                  <bgColor rgb="FFC6EFCE"/>
                </patternFill>
              </fill>
            </x14:dxf>
          </x14:cfRule>
          <xm:sqref>I1123:I1124</xm:sqref>
        </x14:conditionalFormatting>
        <x14:conditionalFormatting xmlns:xm="http://schemas.microsoft.com/office/excel/2006/main">
          <x14:cfRule type="containsText" priority="86" operator="containsText" id="{124E1F2D-D447-409C-9653-FC65CCD15949}">
            <xm:f>NOT(ISERROR(SEARCH(#REF!,G1064)))</xm:f>
            <xm:f>#REF!</xm:f>
            <x14:dxf>
              <font>
                <color rgb="FF9C0006"/>
              </font>
              <fill>
                <patternFill>
                  <bgColor rgb="FFFFC7CE"/>
                </patternFill>
              </fill>
            </x14:dxf>
          </x14:cfRule>
          <x14:cfRule type="containsText" priority="87" operator="containsText" id="{C10E03DC-611C-483F-B179-889844C2C6FF}">
            <xm:f>NOT(ISERROR(SEARCH(#REF!,G1064)))</xm:f>
            <xm:f>#REF!</xm:f>
            <x14:dxf>
              <font>
                <color rgb="FF006100"/>
              </font>
              <fill>
                <patternFill>
                  <bgColor rgb="FFC6EFCE"/>
                </patternFill>
              </fill>
            </x14:dxf>
          </x14:cfRule>
          <xm:sqref>I1064:I1122 G1064:G1184</xm:sqref>
        </x14:conditionalFormatting>
        <x14:conditionalFormatting xmlns:xm="http://schemas.microsoft.com/office/excel/2006/main">
          <x14:cfRule type="containsText" priority="81" operator="containsText" id="{6D7164ED-30EB-4F10-A99A-DF64A58EF0D5}">
            <xm:f>NOT(ISERROR(SEARCH(#REF!,I1125)))</xm:f>
            <xm:f>#REF!</xm:f>
            <x14:dxf>
              <font>
                <color rgb="FF9C0006"/>
              </font>
              <fill>
                <patternFill>
                  <bgColor rgb="FFFFC7CE"/>
                </patternFill>
              </fill>
            </x14:dxf>
          </x14:cfRule>
          <x14:cfRule type="containsText" priority="82" operator="containsText" id="{11C666BD-FD3E-408F-A395-CCA6CDBAF280}">
            <xm:f>NOT(ISERROR(SEARCH(#REF!,I1125)))</xm:f>
            <xm:f>#REF!</xm:f>
            <x14:dxf>
              <font>
                <color rgb="FF006100"/>
              </font>
              <fill>
                <patternFill>
                  <bgColor rgb="FFC6EFCE"/>
                </patternFill>
              </fill>
            </x14:dxf>
          </x14:cfRule>
          <xm:sqref>I1125:I1184</xm:sqref>
        </x14:conditionalFormatting>
        <x14:conditionalFormatting xmlns:xm="http://schemas.microsoft.com/office/excel/2006/main">
          <x14:cfRule type="containsText" priority="73" operator="containsText" id="{BDAA66BE-59C2-4DAB-A46A-1854DCEA4726}">
            <xm:f>NOT(ISERROR(SEARCH(#REF!,G1226)))</xm:f>
            <xm:f>#REF!</xm:f>
            <x14:dxf>
              <font>
                <color rgb="FF9C0006"/>
              </font>
              <fill>
                <patternFill>
                  <bgColor rgb="FFFFC7CE"/>
                </patternFill>
              </fill>
            </x14:dxf>
          </x14:cfRule>
          <x14:cfRule type="containsText" priority="74" operator="containsText" id="{EA02E022-7A5D-43D1-B2F9-FDEEE10C3382}">
            <xm:f>NOT(ISERROR(SEARCH(#REF!,G1226)))</xm:f>
            <xm:f>#REF!</xm:f>
            <x14:dxf>
              <font>
                <color rgb="FF006100"/>
              </font>
              <fill>
                <patternFill>
                  <bgColor rgb="FFC6EFCE"/>
                </patternFill>
              </fill>
            </x14:dxf>
          </x14:cfRule>
          <xm:sqref>G1226:G1309</xm:sqref>
        </x14:conditionalFormatting>
        <x14:conditionalFormatting xmlns:xm="http://schemas.microsoft.com/office/excel/2006/main">
          <x14:cfRule type="containsText" priority="41" operator="containsText" id="{16BA7785-03CD-48A4-9668-197D59FBF091}">
            <xm:f>NOT(ISERROR(SEARCH(#REF!,I422)))</xm:f>
            <xm:f>#REF!</xm:f>
            <x14:dxf>
              <font>
                <color rgb="FF9C0006"/>
              </font>
              <fill>
                <patternFill>
                  <bgColor rgb="FFFFC7CE"/>
                </patternFill>
              </fill>
            </x14:dxf>
          </x14:cfRule>
          <x14:cfRule type="containsText" priority="42" operator="containsText" id="{8A93E574-A4CB-42B5-B019-54A3D240FABE}">
            <xm:f>NOT(ISERROR(SEARCH(#REF!,I422)))</xm:f>
            <xm:f>#REF!</xm:f>
            <x14:dxf>
              <font>
                <color rgb="FF006100"/>
              </font>
              <fill>
                <patternFill>
                  <bgColor rgb="FFC6EFCE"/>
                </patternFill>
              </fill>
            </x14:dxf>
          </x14:cfRule>
          <xm:sqref>I422</xm:sqref>
        </x14:conditionalFormatting>
        <x14:conditionalFormatting xmlns:xm="http://schemas.microsoft.com/office/excel/2006/main">
          <x14:cfRule type="containsText" priority="66" operator="containsText" id="{09A00A4A-4923-48B7-8969-03792CD268F1}">
            <xm:f>NOT(ISERROR(SEARCH(#REF!,G361)))</xm:f>
            <xm:f>#REF!</xm:f>
            <x14:dxf>
              <font>
                <color rgb="FF9C0006"/>
              </font>
              <fill>
                <patternFill>
                  <bgColor rgb="FFFFC7CE"/>
                </patternFill>
              </fill>
            </x14:dxf>
          </x14:cfRule>
          <x14:cfRule type="containsText" priority="67" operator="containsText" id="{43BB6C77-7FF5-4C0B-B5AC-E42990EE46A7}">
            <xm:f>NOT(ISERROR(SEARCH(#REF!,G361)))</xm:f>
            <xm:f>#REF!</xm:f>
            <x14:dxf>
              <font>
                <color rgb="FF006100"/>
              </font>
              <fill>
                <patternFill>
                  <bgColor rgb="FFC6EFCE"/>
                </patternFill>
              </fill>
            </x14:dxf>
          </x14:cfRule>
          <xm:sqref>I361:I376 I378:I421 I423:I430 G426:G430</xm:sqref>
        </x14:conditionalFormatting>
        <x14:conditionalFormatting xmlns:xm="http://schemas.microsoft.com/office/excel/2006/main">
          <x14:cfRule type="containsText" priority="61" operator="containsText" id="{2E464CFB-B79F-48D8-98AB-BB791AF858A3}">
            <xm:f>NOT(ISERROR(SEARCH(#REF!,G352)))</xm:f>
            <xm:f>#REF!</xm:f>
            <x14:dxf>
              <font>
                <color rgb="FF9C0006"/>
              </font>
              <fill>
                <patternFill>
                  <bgColor rgb="FFFFC7CE"/>
                </patternFill>
              </fill>
            </x14:dxf>
          </x14:cfRule>
          <x14:cfRule type="containsText" priority="62" operator="containsText" id="{1AF23CB6-FB1B-4D67-885E-01C14D3F0215}">
            <xm:f>NOT(ISERROR(SEARCH(#REF!,G352)))</xm:f>
            <xm:f>#REF!</xm:f>
            <x14:dxf>
              <font>
                <color rgb="FF006100"/>
              </font>
              <fill>
                <patternFill>
                  <bgColor rgb="FFC6EFCE"/>
                </patternFill>
              </fill>
            </x14:dxf>
          </x14:cfRule>
          <xm:sqref>G352:G430</xm:sqref>
        </x14:conditionalFormatting>
        <x14:conditionalFormatting xmlns:xm="http://schemas.microsoft.com/office/excel/2006/main">
          <x14:cfRule type="containsText" priority="56" operator="containsText" id="{014C044B-7CCC-4898-9257-59AC11F91092}">
            <xm:f>NOT(ISERROR(SEARCH(#REF!,I352)))</xm:f>
            <xm:f>#REF!</xm:f>
            <x14:dxf>
              <font>
                <color rgb="FF9C0006"/>
              </font>
              <fill>
                <patternFill>
                  <bgColor rgb="FFFFC7CE"/>
                </patternFill>
              </fill>
            </x14:dxf>
          </x14:cfRule>
          <x14:cfRule type="containsText" priority="57" operator="containsText" id="{9AC703DA-56C9-496B-9A0B-133E572B0F70}">
            <xm:f>NOT(ISERROR(SEARCH(#REF!,I352)))</xm:f>
            <xm:f>#REF!</xm:f>
            <x14:dxf>
              <font>
                <color rgb="FF006100"/>
              </font>
              <fill>
                <patternFill>
                  <bgColor rgb="FFC6EFCE"/>
                </patternFill>
              </fill>
            </x14:dxf>
          </x14:cfRule>
          <xm:sqref>I352:I356</xm:sqref>
        </x14:conditionalFormatting>
        <x14:conditionalFormatting xmlns:xm="http://schemas.microsoft.com/office/excel/2006/main">
          <x14:cfRule type="containsText" priority="51" operator="containsText" id="{DE89F059-EE39-4129-88E2-7443224F6A25}">
            <xm:f>NOT(ISERROR(SEARCH(#REF!,I357)))</xm:f>
            <xm:f>#REF!</xm:f>
            <x14:dxf>
              <font>
                <color rgb="FF9C0006"/>
              </font>
              <fill>
                <patternFill>
                  <bgColor rgb="FFFFC7CE"/>
                </patternFill>
              </fill>
            </x14:dxf>
          </x14:cfRule>
          <x14:cfRule type="containsText" priority="52" operator="containsText" id="{1ED57380-06A4-41D4-8DDA-E669E5BF283F}">
            <xm:f>NOT(ISERROR(SEARCH(#REF!,I357)))</xm:f>
            <xm:f>#REF!</xm:f>
            <x14:dxf>
              <font>
                <color rgb="FF006100"/>
              </font>
              <fill>
                <patternFill>
                  <bgColor rgb="FFC6EFCE"/>
                </patternFill>
              </fill>
            </x14:dxf>
          </x14:cfRule>
          <xm:sqref>I357:I360</xm:sqref>
        </x14:conditionalFormatting>
        <x14:conditionalFormatting xmlns:xm="http://schemas.microsoft.com/office/excel/2006/main">
          <x14:cfRule type="containsText" priority="46" operator="containsText" id="{E6F7C5B6-F68E-479C-96B2-10AAE23B47AF}">
            <xm:f>NOT(ISERROR(SEARCH(#REF!,I377)))</xm:f>
            <xm:f>#REF!</xm:f>
            <x14:dxf>
              <font>
                <color rgb="FF9C0006"/>
              </font>
              <fill>
                <patternFill>
                  <bgColor rgb="FFFFC7CE"/>
                </patternFill>
              </fill>
            </x14:dxf>
          </x14:cfRule>
          <x14:cfRule type="containsText" priority="47" operator="containsText" id="{6D9D562D-4CDC-4EF7-B0B3-D7890DC84980}">
            <xm:f>NOT(ISERROR(SEARCH(#REF!,I377)))</xm:f>
            <xm:f>#REF!</xm:f>
            <x14:dxf>
              <font>
                <color rgb="FF006100"/>
              </font>
              <fill>
                <patternFill>
                  <bgColor rgb="FFC6EFCE"/>
                </patternFill>
              </fill>
            </x14:dxf>
          </x14:cfRule>
          <xm:sqref>I377</xm:sqref>
        </x14:conditionalFormatting>
        <x14:conditionalFormatting xmlns:xm="http://schemas.microsoft.com/office/excel/2006/main">
          <x14:cfRule type="containsText" priority="1" operator="containsText" id="{6232C717-A55B-4FD9-B055-9141BA20079C}">
            <xm:f>NOT(ISERROR(SEARCH(#REF!,G492)))</xm:f>
            <xm:f>#REF!</xm:f>
            <x14:dxf>
              <font>
                <color rgb="FF9C0006"/>
              </font>
              <fill>
                <patternFill>
                  <bgColor rgb="FFFFC7CE"/>
                </patternFill>
              </fill>
            </x14:dxf>
          </x14:cfRule>
          <x14:cfRule type="containsText" priority="2" operator="containsText" id="{0BF3D196-60BA-4892-BB57-C8AF28CEE495}">
            <xm:f>NOT(ISERROR(SEARCH(#REF!,G492)))</xm:f>
            <xm:f>#REF!</xm:f>
            <x14:dxf>
              <font>
                <color rgb="FF006100"/>
              </font>
              <fill>
                <patternFill>
                  <bgColor rgb="FFC6EFCE"/>
                </patternFill>
              </fill>
            </x14:dxf>
          </x14:cfRule>
          <xm:sqref>G492 G494 G496 G498 G500 G502</xm:sqref>
        </x14:conditionalFormatting>
        <x14:conditionalFormatting xmlns:xm="http://schemas.microsoft.com/office/excel/2006/main">
          <x14:cfRule type="containsText" priority="29" operator="containsText" id="{E2766148-5464-4239-97E7-C2D50120BC03}">
            <xm:f>NOT(ISERROR(SEARCH(#REF!,G486)))</xm:f>
            <xm:f>#REF!</xm:f>
            <x14:dxf>
              <font>
                <color rgb="FF9C0006"/>
              </font>
              <fill>
                <patternFill>
                  <bgColor rgb="FFFFC7CE"/>
                </patternFill>
              </fill>
            </x14:dxf>
          </x14:cfRule>
          <x14:cfRule type="containsText" priority="30" operator="containsText" id="{E838E741-298D-44D5-B757-329422382074}">
            <xm:f>NOT(ISERROR(SEARCH(#REF!,G486)))</xm:f>
            <xm:f>#REF!</xm:f>
            <x14:dxf>
              <font>
                <color rgb="FF006100"/>
              </font>
              <fill>
                <patternFill>
                  <bgColor rgb="FFC6EFCE"/>
                </patternFill>
              </fill>
            </x14:dxf>
          </x14:cfRule>
          <xm:sqref>G486</xm:sqref>
        </x14:conditionalFormatting>
        <x14:conditionalFormatting xmlns:xm="http://schemas.microsoft.com/office/excel/2006/main">
          <x14:cfRule type="containsText" priority="14" operator="containsText" id="{7016A494-0D71-4211-B2A3-134FE47FB5A9}">
            <xm:f>NOT(ISERROR(SEARCH(#REF!,G489)))</xm:f>
            <xm:f>#REF!</xm:f>
            <x14:dxf>
              <font>
                <color rgb="FF9C0006"/>
              </font>
              <fill>
                <patternFill>
                  <bgColor rgb="FFFFC7CE"/>
                </patternFill>
              </fill>
            </x14:dxf>
          </x14:cfRule>
          <x14:cfRule type="containsText" priority="15" operator="containsText" id="{60ADB0F9-D08D-4165-8853-3C9B9DC57502}">
            <xm:f>NOT(ISERROR(SEARCH(#REF!,G489)))</xm:f>
            <xm:f>#REF!</xm:f>
            <x14:dxf>
              <font>
                <color rgb="FF006100"/>
              </font>
              <fill>
                <patternFill>
                  <bgColor rgb="FFC6EFCE"/>
                </patternFill>
              </fill>
            </x14:dxf>
          </x14:cfRule>
          <xm:sqref>G489</xm:sqref>
        </x14:conditionalFormatting>
        <x14:conditionalFormatting xmlns:xm="http://schemas.microsoft.com/office/excel/2006/main">
          <x14:cfRule type="containsText" priority="34" operator="containsText" id="{191AEEC2-6B0B-4483-A7ED-B0D6FC41C8BE}">
            <xm:f>NOT(ISERROR(SEARCH(#REF!,G485)))</xm:f>
            <xm:f>#REF!</xm:f>
            <x14:dxf>
              <font>
                <color rgb="FF9C0006"/>
              </font>
              <fill>
                <patternFill>
                  <bgColor rgb="FFFFC7CE"/>
                </patternFill>
              </fill>
            </x14:dxf>
          </x14:cfRule>
          <x14:cfRule type="containsText" priority="35" operator="containsText" id="{D4C81F29-1330-4CD4-BE3A-8959CBA10C80}">
            <xm:f>NOT(ISERROR(SEARCH(#REF!,G485)))</xm:f>
            <xm:f>#REF!</xm:f>
            <x14:dxf>
              <font>
                <color rgb="FF006100"/>
              </font>
              <fill>
                <patternFill>
                  <bgColor rgb="FFC6EFCE"/>
                </patternFill>
              </fill>
            </x14:dxf>
          </x14:cfRule>
          <xm:sqref>G485</xm:sqref>
        </x14:conditionalFormatting>
        <x14:conditionalFormatting xmlns:xm="http://schemas.microsoft.com/office/excel/2006/main">
          <x14:cfRule type="containsText" priority="24" operator="containsText" id="{73B6BB1D-26E0-4993-A045-49A2FC28BF1D}">
            <xm:f>NOT(ISERROR(SEARCH(#REF!,G487)))</xm:f>
            <xm:f>#REF!</xm:f>
            <x14:dxf>
              <font>
                <color rgb="FF9C0006"/>
              </font>
              <fill>
                <patternFill>
                  <bgColor rgb="FFFFC7CE"/>
                </patternFill>
              </fill>
            </x14:dxf>
          </x14:cfRule>
          <x14:cfRule type="containsText" priority="25" operator="containsText" id="{F0B10B8A-BE07-4F41-817D-77718BCCD65C}">
            <xm:f>NOT(ISERROR(SEARCH(#REF!,G487)))</xm:f>
            <xm:f>#REF!</xm:f>
            <x14:dxf>
              <font>
                <color rgb="FF006100"/>
              </font>
              <fill>
                <patternFill>
                  <bgColor rgb="FFC6EFCE"/>
                </patternFill>
              </fill>
            </x14:dxf>
          </x14:cfRule>
          <xm:sqref>G487</xm:sqref>
        </x14:conditionalFormatting>
        <x14:conditionalFormatting xmlns:xm="http://schemas.microsoft.com/office/excel/2006/main">
          <x14:cfRule type="containsText" priority="19" operator="containsText" id="{9C1E3675-B92D-48B3-B246-AB134DAE4B23}">
            <xm:f>NOT(ISERROR(SEARCH(#REF!,G488)))</xm:f>
            <xm:f>#REF!</xm:f>
            <x14:dxf>
              <font>
                <color rgb="FF9C0006"/>
              </font>
              <fill>
                <patternFill>
                  <bgColor rgb="FFFFC7CE"/>
                </patternFill>
              </fill>
            </x14:dxf>
          </x14:cfRule>
          <x14:cfRule type="containsText" priority="20" operator="containsText" id="{AA2AFF37-DBF0-4BF0-876D-1C3AD167C8AE}">
            <xm:f>NOT(ISERROR(SEARCH(#REF!,G488)))</xm:f>
            <xm:f>#REF!</xm:f>
            <x14:dxf>
              <font>
                <color rgb="FF006100"/>
              </font>
              <fill>
                <patternFill>
                  <bgColor rgb="FFC6EFCE"/>
                </patternFill>
              </fill>
            </x14:dxf>
          </x14:cfRule>
          <xm:sqref>G488</xm:sqref>
        </x14:conditionalFormatting>
        <x14:conditionalFormatting xmlns:xm="http://schemas.microsoft.com/office/excel/2006/main">
          <x14:cfRule type="containsText" priority="11" operator="containsText" id="{6E14AFF9-3A5E-407F-AA47-97A456D0EEA9}">
            <xm:f>NOT(ISERROR(SEARCH(#REF!,G490)))</xm:f>
            <xm:f>#REF!</xm:f>
            <x14:dxf>
              <font>
                <color rgb="FF006100"/>
              </font>
              <fill>
                <patternFill>
                  <bgColor rgb="FFC6EFCE"/>
                </patternFill>
              </fill>
            </x14:dxf>
          </x14:cfRule>
          <x14:cfRule type="containsText" priority="40" operator="containsText" id="{E79BAB10-59D1-4F80-8F66-E7353117600A}">
            <xm:f>NOT(ISERROR(SEARCH(#REF!,G490)))</xm:f>
            <xm:f>#REF!</xm:f>
            <x14:dxf>
              <font>
                <color rgb="FF9C0006"/>
              </font>
              <fill>
                <patternFill>
                  <bgColor rgb="FFFFC7CE"/>
                </patternFill>
              </fill>
            </x14:dxf>
          </x14:cfRule>
          <xm:sqref>G490</xm:sqref>
        </x14:conditionalFormatting>
        <x14:conditionalFormatting xmlns:xm="http://schemas.microsoft.com/office/excel/2006/main">
          <x14:cfRule type="containsText" priority="6" operator="containsText" id="{DE913876-FCA6-47CA-ADC4-52F866B72CFC}">
            <xm:f>NOT(ISERROR(SEARCH(#REF!,G491)))</xm:f>
            <xm:f>#REF!</xm:f>
            <x14:dxf>
              <font>
                <color rgb="FF9C0006"/>
              </font>
              <fill>
                <patternFill>
                  <bgColor rgb="FFFFC7CE"/>
                </patternFill>
              </fill>
            </x14:dxf>
          </x14:cfRule>
          <x14:cfRule type="containsText" priority="7" operator="containsText" id="{CF74150A-C7C8-48EA-8430-4A6094673901}">
            <xm:f>NOT(ISERROR(SEARCH(#REF!,G491)))</xm:f>
            <xm:f>#REF!</xm:f>
            <x14:dxf>
              <font>
                <color rgb="FF006100"/>
              </font>
              <fill>
                <patternFill>
                  <bgColor rgb="FFC6EFCE"/>
                </patternFill>
              </fill>
            </x14:dxf>
          </x14:cfRule>
          <xm:sqref>G491 G493 G495 G497 G499 G501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A5BD-A0F0-48D5-8DD3-68CCA1FC2A7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Variable Meta-analysis</vt:lpstr>
      <vt:lpstr>Sheet1</vt:lpstr>
      <vt:lpstr>COMMONCONVERSIONS</vt:lpstr>
      <vt:lpstr>EstimateLearningRate</vt:lpstr>
      <vt:lpstr>Variable19</vt:lpstr>
      <vt:lpstr>Variable20</vt:lpstr>
      <vt:lpstr>Variable21</vt:lpstr>
      <vt:lpstr>Variable22</vt:lpstr>
      <vt:lpstr>Variable23</vt:lpstr>
      <vt:lpstr>Variable24</vt:lpstr>
      <vt:lpstr>Variable25</vt:lpstr>
      <vt:lpstr>Variable26</vt:lpstr>
      <vt:lpstr>Variable27</vt:lpstr>
      <vt:lpstr>Variable28</vt:lpstr>
      <vt:lpstr>Variable29</vt:lpstr>
      <vt:lpstr>Variable30</vt:lpstr>
      <vt:lpstr>VariableAnnualEnergyConv</vt:lpstr>
      <vt:lpstr>VariableAnnualEnergyReduced</vt:lpstr>
      <vt:lpstr>VariableCH4Reduced</vt:lpstr>
      <vt:lpstr>VariableCO2PerFuel</vt:lpstr>
      <vt:lpstr>VariableConventionalAnnualCapacity</vt:lpstr>
      <vt:lpstr>VariableConventionalDirectEmissions</vt:lpstr>
      <vt:lpstr>VariableConventionalDisposal</vt:lpstr>
      <vt:lpstr>VariableConventionalFirstCost</vt:lpstr>
      <vt:lpstr>VariableConventionalIndirectCO2</vt:lpstr>
      <vt:lpstr>VariableConventionalLifetime</vt:lpstr>
      <vt:lpstr>VariableConventionalOperatingCost</vt:lpstr>
      <vt:lpstr>VariableFuelConsumed</vt:lpstr>
      <vt:lpstr>VariableFuelEfficiencyFactorSolution</vt:lpstr>
      <vt:lpstr>VariableSolutionAnnualCapacity</vt:lpstr>
      <vt:lpstr>VariableSolutionDirectEmissions</vt:lpstr>
      <vt:lpstr>VariableSolutionDisposal</vt:lpstr>
      <vt:lpstr>VariableSolutionFirstCost</vt:lpstr>
      <vt:lpstr>VariableSolutionFuelEfficiencyFactor</vt:lpstr>
      <vt:lpstr>VariableSolutionIndirectCO2</vt:lpstr>
      <vt:lpstr>VariableSolutionLifetime</vt:lpstr>
      <vt:lpstr>VariableSolutionOperatingCost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Draper</dc:creator>
  <cp:lastModifiedBy>Denise Draper</cp:lastModifiedBy>
  <dcterms:created xsi:type="dcterms:W3CDTF">2021-07-29T21:12:44Z</dcterms:created>
  <dcterms:modified xsi:type="dcterms:W3CDTF">2021-07-29T21:14:47Z</dcterms:modified>
</cp:coreProperties>
</file>