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11CE5E79-8B9B-47E1-8D4A-B19045EC5BBB}" xr6:coauthVersionLast="47" xr6:coauthVersionMax="47" xr10:uidLastSave="{00000000-0000-0000-0000-000000000000}"/>
  <bookViews>
    <workbookView xWindow="-1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<sst xmlns="http://schemas.openxmlformats.org/spreadsheetml/2006/main" count="55865" uniqueCount="16762">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</sst>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216.24156424429304</c:v>
                </c:pt>
                <c:pt idx="1">
                  <c:v>2224.2388708504404</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10" zoomScale="80" zoomScaleNormal="80" workbookViewId="0">
      <selection activeCell="H65" sqref="H65"/>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1438</v>
      </c>
      <c r="G33" s="41" t="s">
        <v>16311</v>
      </c>
      <c r="H33" s="311" t="s">
        <v>16758</v>
      </c>
    </row>
    <row r="34" spans="1:69">
      <c r="A34" s="41"/>
      <c r="D34" s="146" t="s">
        <v>16312</v>
      </c>
      <c r="F34" s="383">
        <f>ROUND(F33*1.25,0)</f>
        <v>1798</v>
      </c>
      <c r="G34" s="41" t="s">
        <v>16311</v>
      </c>
      <c r="H34" s="311" t="s">
        <v>16759</v>
      </c>
    </row>
    <row r="35" spans="1:69" ht="30.75" thickBot="1">
      <c r="A35" s="41"/>
      <c r="D35" s="146" t="s">
        <v>16313</v>
      </c>
      <c r="F35" s="384">
        <f>1.08/5.14</f>
        <v>0.21011673151750976</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994</v>
      </c>
      <c r="G46" s="41" t="s">
        <v>16311</v>
      </c>
      <c r="H46" s="311"/>
    </row>
    <row r="47" spans="1:69">
      <c r="A47" s="41"/>
      <c r="D47" s="146" t="s">
        <v>16312</v>
      </c>
      <c r="F47" s="536">
        <f>ROUND(F46*1.1,0)</f>
        <v>1093</v>
      </c>
      <c r="G47" s="41" t="s">
        <v>16311</v>
      </c>
      <c r="H47" s="311"/>
    </row>
    <row r="48" spans="1:69" ht="15.75" thickBot="1">
      <c r="A48" s="41"/>
      <c r="D48" s="146" t="s">
        <v>16320</v>
      </c>
      <c r="F48" s="537">
        <f>1.08/1.1</f>
        <v>0.98181818181818181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48</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48</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48</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48</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1438</v>
      </c>
      <c r="E28" s="108" t="s">
        <v>16311</v>
      </c>
    </row>
    <row r="29" spans="2:8">
      <c r="C29" s="108" t="s">
        <v>16409</v>
      </c>
      <c r="D29" s="367">
        <f>'User Interface Intervention'!F34</f>
        <v>1798</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0.21011673151750976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994</v>
      </c>
      <c r="E50" s="242" t="s">
        <v>16311</v>
      </c>
    </row>
    <row r="51" spans="2:6">
      <c r="C51" s="108" t="s">
        <v>16409</v>
      </c>
      <c r="D51" s="367">
        <f>'User Interface Intervention'!F47</f>
        <v>1093</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0.98181818181818181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1</v>
      </c>
      <c r="E62" s="120">
        <f>IF('User Interface Intervention'!F60="Yes",1,0)</f>
        <v>1</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1</v>
      </c>
      <c r="E67" s="120">
        <f>IF('User Interface Intervention'!F65="Yes",1,0)</f>
        <v>1</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1438</v>
      </c>
      <c r="E4" s="120">
        <f>useP</f>
        <v>994</v>
      </c>
      <c r="F4" s="108"/>
    </row>
    <row r="5" spans="1:6">
      <c r="C5" s="120" t="s">
        <v>16598</v>
      </c>
      <c r="D5" s="122">
        <f>use_new</f>
        <v>1798</v>
      </c>
      <c r="E5" s="122">
        <f>use_newP</f>
        <v>1093</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360</v>
      </c>
      <c r="E12" s="123">
        <f>use_newP-useP</f>
        <v>99</v>
      </c>
    </row>
    <row r="13" spans="1:6">
      <c r="C13" s="123" t="s">
        <v>16603</v>
      </c>
      <c r="D13" s="167">
        <f>D12/(1+return)</f>
        <v>189.47368421052633</v>
      </c>
      <c r="E13" s="167">
        <f>E12/(1+return)</f>
        <v>52.10526315789474</v>
      </c>
    </row>
    <row r="14" spans="1:6">
      <c r="C14" s="123" t="s">
        <v>16604</v>
      </c>
      <c r="D14" s="123">
        <f>use_new-D12</f>
        <v>1438</v>
      </c>
      <c r="E14" s="123">
        <f>use_newP-E12</f>
        <v>994</v>
      </c>
    </row>
    <row r="15" spans="1:6">
      <c r="C15" s="123" t="s">
        <v>16605</v>
      </c>
      <c r="D15" s="123">
        <f>D14/(1+return)</f>
        <v>756.84210526315792</v>
      </c>
      <c r="E15" s="123">
        <f>E14/(1+return)</f>
        <v>523.15789473684208</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440827.19999999995</v>
      </c>
      <c r="E23" s="107">
        <f>E7*E12*scheme_days</f>
        <v>27551.7</v>
      </c>
      <c r="F23" s="41" t="s">
        <v>16611</v>
      </c>
    </row>
    <row r="24" spans="2:6">
      <c r="C24" s="125" t="s">
        <v>16612</v>
      </c>
      <c r="D24" s="107">
        <f>D23*car_share</f>
        <v>105798.52799999999</v>
      </c>
      <c r="E24" s="107">
        <f>E23*car_shareP</f>
        <v>6612.4080000000004</v>
      </c>
    </row>
    <row r="25" spans="2:6">
      <c r="C25" s="125" t="s">
        <v>16613</v>
      </c>
      <c r="D25" s="107">
        <f>D24/'Input Summary'!D86</f>
        <v>66124.079999999987</v>
      </c>
      <c r="E25" s="107">
        <f>E24/'Input Summary'!D86</f>
        <v>4132.7550000000001</v>
      </c>
    </row>
    <row r="26" spans="2:6" ht="15.75">
      <c r="C26" s="123" t="s">
        <v>16614</v>
      </c>
      <c r="D26" s="167">
        <f>D23*'Input Summary'!D34</f>
        <v>26449.631999999998</v>
      </c>
      <c r="E26" s="167">
        <f>E23*'Input Summary'!D56</f>
        <v>1653.1020000000001</v>
      </c>
      <c r="F26" s="105"/>
    </row>
    <row r="27" spans="2:6">
      <c r="C27" s="123" t="s">
        <v>16615</v>
      </c>
      <c r="D27" s="167">
        <f>D26/'Input Summary'!D87</f>
        <v>11020.68</v>
      </c>
      <c r="E27" s="167">
        <f>E26/'Input Summary'!D87</f>
        <v>688.79250000000002</v>
      </c>
    </row>
    <row r="28" spans="2:6" ht="15.75">
      <c r="B28" s="105" t="s">
        <v>16616</v>
      </c>
      <c r="C28" s="125" t="s">
        <v>16617</v>
      </c>
      <c r="D28" s="126"/>
      <c r="E28" s="127">
        <f>SUM(D25:E25,D27:E27)</f>
        <v>81966.307499999981</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1</v>
      </c>
      <c r="F35" s="130">
        <f>'Input Summary'!$E$62</f>
        <v>1</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1</v>
      </c>
      <c r="F40" s="130">
        <f>'Input Summary'!$E$67</f>
        <v>1</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189.47368421052633</v>
      </c>
      <c r="E4" s="124">
        <f>'General Calculations'!E13</f>
        <v>52.10526315789474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136.687833389589</v>
      </c>
      <c r="E19" s="446">
        <f>E18*E4</f>
        <v>25.628968760547945</v>
      </c>
      <c r="G19" s="301"/>
      <c r="H19" s="42"/>
    </row>
    <row r="20" spans="2:8">
      <c r="C20" s="134" t="s">
        <v>16638</v>
      </c>
      <c r="D20" s="140">
        <f>'TAG VoT'!F21*D10</f>
        <v>144.50209275358495</v>
      </c>
      <c r="E20" s="140">
        <f>'TAG VoT'!$F$21*E10</f>
        <v>144.50209275358495</v>
      </c>
    </row>
    <row r="21" spans="2:8">
      <c r="C21" s="134" t="s">
        <v>16639</v>
      </c>
      <c r="D21" s="141">
        <f>D19*D20</f>
        <v>19751.677978748954</v>
      </c>
      <c r="E21" s="142">
        <f>E19*E20</f>
        <v>3703.43962101543</v>
      </c>
    </row>
    <row r="22" spans="2:8">
      <c r="C22" s="138"/>
      <c r="D22" s="149"/>
      <c r="E22" s="143"/>
    </row>
    <row r="23" spans="2:8" ht="15.75">
      <c r="C23" s="144" t="s">
        <v>16523</v>
      </c>
      <c r="D23" s="145">
        <f>D21+E21</f>
        <v>23455.117599764384</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189.47368421052633</v>
      </c>
      <c r="E7" s="500">
        <f>'General Calculations'!E13</f>
        <v>52.10526315789474</v>
      </c>
      <c r="F7" s="492"/>
    </row>
    <row r="8" spans="1:6">
      <c r="A8" s="492"/>
      <c r="B8" s="492"/>
      <c r="C8" s="109" t="s">
        <v>16644</v>
      </c>
      <c r="D8" s="499">
        <f>'General Calculations'!D15</f>
        <v>756.84210526315792</v>
      </c>
      <c r="E8" s="500">
        <f>'General Calculations'!E15</f>
        <v>523.15789473684208</v>
      </c>
      <c r="F8" s="492"/>
    </row>
    <row r="9" spans="1:6">
      <c r="A9" s="492"/>
      <c r="B9" s="492"/>
      <c r="C9" s="109" t="s">
        <v>16645</v>
      </c>
      <c r="D9" s="499">
        <f>'General Calculations'!D12</f>
        <v>360</v>
      </c>
      <c r="E9" s="500">
        <f>'General Calculations'!E12</f>
        <v>99</v>
      </c>
      <c r="F9" s="492"/>
    </row>
    <row r="10" spans="1:6">
      <c r="A10" s="492"/>
      <c r="B10" s="492"/>
      <c r="C10" s="151" t="s">
        <v>16646</v>
      </c>
      <c r="D10" s="502">
        <f>'General Calculations'!D14</f>
        <v>1438</v>
      </c>
      <c r="E10" s="527">
        <f>'General Calculations'!E14</f>
        <v>994</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0.21011673151750976</v>
      </c>
      <c r="E13" s="503">
        <f>'Input Summary'!D58</f>
        <v>0.98181818181818181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7.7912198173473154E-2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7.7912198173473154E-2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1.0169649805447472</v>
      </c>
      <c r="E25" s="508">
        <f>E5*E13</f>
        <v>1.08</v>
      </c>
      <c r="F25" s="131" t="s">
        <v>16641</v>
      </c>
      <c r="G25" s="131"/>
      <c r="H25" s="131"/>
    </row>
    <row r="26" spans="1:8">
      <c r="A26" s="492"/>
      <c r="B26" s="492"/>
      <c r="C26" s="109" t="s">
        <v>16657</v>
      </c>
      <c r="D26" s="499">
        <f>60*D25/speed</f>
        <v>4.0678599221789886</v>
      </c>
      <c r="E26" s="499">
        <f>60*E25/speedP</f>
        <v>12.960000000000003</v>
      </c>
      <c r="F26" s="492" t="s">
        <v>16658</v>
      </c>
      <c r="G26" s="131"/>
      <c r="H26" s="131"/>
    </row>
    <row r="27" spans="1:8">
      <c r="A27" s="492"/>
      <c r="B27" s="492"/>
      <c r="C27" s="151" t="s">
        <v>16659</v>
      </c>
      <c r="D27" s="502">
        <f>D26*scheme_days</f>
        <v>1029.1685603112842</v>
      </c>
      <c r="E27" s="502">
        <f>E26*scheme_days</f>
        <v>3278.8800000000006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189.47368421052633</v>
      </c>
      <c r="E3" s="94"/>
      <c r="F3" s="167">
        <f>'General Calculations'!E13</f>
        <v>52.10526315789474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30.315789473684212</v>
      </c>
      <c r="E9" s="299">
        <f>'General Calculations'!$D$13*'Health Assumptions'!E25</f>
        <v>7.5789473684210531</v>
      </c>
      <c r="F9" s="300">
        <f>'General Calculations'!$E$13*'Health Assumptions'!F25</f>
        <v>7.8157894736842106</v>
      </c>
      <c r="G9" s="167">
        <f>'General Calculations'!$E$13*'Health Assumptions'!G25</f>
        <v>7.8157894736842106</v>
      </c>
    </row>
    <row r="10" spans="1:7">
      <c r="B10" s="179"/>
      <c r="C10" s="125" t="s">
        <v>16583</v>
      </c>
      <c r="D10" s="167">
        <f>'General Calculations'!$D$13*'Health Assumptions'!D26</f>
        <v>73.894736842105274</v>
      </c>
      <c r="E10" s="299">
        <f>'General Calculations'!$D$13*'Health Assumptions'!E26</f>
        <v>30.315789473684212</v>
      </c>
      <c r="F10" s="300">
        <f>'General Calculations'!$E$13*'Health Assumptions'!F26</f>
        <v>8.8578947368421073</v>
      </c>
      <c r="G10" s="167">
        <f>'General Calculations'!$E$13*'Health Assumptions'!G26</f>
        <v>12.505263157894737</v>
      </c>
    </row>
    <row r="11" spans="1:7">
      <c r="C11" s="125" t="s">
        <v>16584</v>
      </c>
      <c r="D11" s="167">
        <f>'General Calculations'!$D$13*'Health Assumptions'!D27</f>
        <v>24.631578947368425</v>
      </c>
      <c r="E11" s="299">
        <f>'General Calculations'!$D$13*'Health Assumptions'!E27</f>
        <v>9.4736842105263168</v>
      </c>
      <c r="F11" s="300">
        <f>'General Calculations'!$E$13*'Health Assumptions'!F27</f>
        <v>3.647368421052632</v>
      </c>
      <c r="G11" s="167">
        <f>'General Calculations'!$E$13*'Health Assumptions'!G27</f>
        <v>4.689473684210526</v>
      </c>
    </row>
    <row r="12" spans="1:7">
      <c r="C12" s="125" t="s">
        <v>16585</v>
      </c>
      <c r="D12" s="167">
        <f>'General Calculations'!$D$13*'Health Assumptions'!D28</f>
        <v>9.4736842105263168</v>
      </c>
      <c r="E12" s="299">
        <f>'General Calculations'!$D$13*'Health Assumptions'!E28</f>
        <v>1.8947368421052633</v>
      </c>
      <c r="F12" s="300">
        <f>'General Calculations'!$E$13*'Health Assumptions'!F28</f>
        <v>2.6052631578947372</v>
      </c>
      <c r="G12" s="167">
        <f>'General Calculations'!$E$13*'Health Assumptions'!G28</f>
        <v>2.6052631578947372</v>
      </c>
    </row>
    <row r="13" spans="1:7">
      <c r="C13" s="125" t="s">
        <v>16586</v>
      </c>
      <c r="D13" s="167">
        <f>'General Calculations'!$D$13*'Health Assumptions'!D29</f>
        <v>1.8947368421052633</v>
      </c>
      <c r="E13" s="299">
        <f>'General Calculations'!$D$13*'Health Assumptions'!E29</f>
        <v>0</v>
      </c>
      <c r="F13" s="300">
        <f>'General Calculations'!$E$13*'Health Assumptions'!F29</f>
        <v>0.52105263157894743</v>
      </c>
      <c r="G13" s="167">
        <f>'General Calculations'!$E$13*'Health Assumptions'!G29</f>
        <v>0.52105263157894743</v>
      </c>
    </row>
    <row r="14" spans="1:7">
      <c r="C14" s="125" t="s">
        <v>16523</v>
      </c>
      <c r="D14" s="167">
        <f>SUM(D9:D13)</f>
        <v>140.21052631578951</v>
      </c>
      <c r="E14" s="299">
        <f>SUM(E9:E13)</f>
        <v>49.263157894736842</v>
      </c>
      <c r="F14" s="300">
        <f>SUM(F9:F13)</f>
        <v>23.447368421052634</v>
      </c>
      <c r="G14" s="167">
        <f>SUM(G9:G13)</f>
        <v>28.136842105263156</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1.8666085819288091E-2</v>
      </c>
      <c r="E72" s="124">
        <f>E64*'Health Assumptions'!E60*E10</f>
        <v>3.9543880357013677E-3</v>
      </c>
      <c r="F72" s="162">
        <f>SUM(D72:E72)</f>
        <v>2.262047385498946E-2</v>
      </c>
      <c r="G72" s="124">
        <f>F64*'Health Assumptions'!D60*F10</f>
        <v>7.7631667814591528E-4</v>
      </c>
      <c r="H72" s="124">
        <f>G64*'Health Assumptions'!E60*G10</f>
        <v>6.2998131107461577E-4</v>
      </c>
      <c r="I72" s="124">
        <f>SUM(G72:H72)</f>
        <v>1.4062979892205309E-3</v>
      </c>
    </row>
    <row r="73" spans="2:12">
      <c r="C73" s="125" t="s">
        <v>16584</v>
      </c>
      <c r="D73" s="124">
        <f>D65*'Health Assumptions'!D61*D11</f>
        <v>3.5138777171443168E-2</v>
      </c>
      <c r="E73" s="124">
        <f>E65*'Health Assumptions'!E61*E11</f>
        <v>6.9809120810742399E-3</v>
      </c>
      <c r="F73" s="162">
        <f>SUM(D73:E73)</f>
        <v>4.2119689252517412E-2</v>
      </c>
      <c r="G73" s="124">
        <f>F65*'Health Assumptions'!D61*F11</f>
        <v>1.8131846850276663E-3</v>
      </c>
      <c r="H73" s="124">
        <f>G65*'Health Assumptions'!E61*G11</f>
        <v>1.5741101786825339E-3</v>
      </c>
      <c r="I73" s="124">
        <f>SUM(G73:H73)</f>
        <v>3.3872948637102005E-3</v>
      </c>
    </row>
    <row r="74" spans="2:12">
      <c r="C74" s="125" t="s">
        <v>16585</v>
      </c>
      <c r="D74" s="124">
        <f>D66*'Health Assumptions'!D62*D12</f>
        <v>4.5817801645426807E-2</v>
      </c>
      <c r="E74" s="124">
        <f>E66*'Health Assumptions'!E62*E12</f>
        <v>4.8787040590972022E-3</v>
      </c>
      <c r="F74" s="162">
        <f>SUM(D74:E74)</f>
        <v>5.0696505704524011E-2</v>
      </c>
      <c r="G74" s="124">
        <f>F66*'Health Assumptions'!D62*F12</f>
        <v>5.1341150298685493E-3</v>
      </c>
      <c r="H74" s="124">
        <f>G66*'Health Assumptions'!E62*G12</f>
        <v>3.4402567555354988E-3</v>
      </c>
      <c r="I74" s="124">
        <f>SUM(G74:H74)</f>
        <v>8.5743717854040481E-3</v>
      </c>
    </row>
    <row r="75" spans="2:12">
      <c r="C75" s="125" t="s">
        <v>16586</v>
      </c>
      <c r="D75" s="124">
        <f>D67*'Health Assumptions'!D63*D13</f>
        <v>3.0254568506825431E-2</v>
      </c>
      <c r="E75" s="124">
        <f>E67*'Health Assumptions'!E63*E13</f>
        <v>0</v>
      </c>
      <c r="F75" s="162">
        <f>SUM(D75:E75)</f>
        <v>3.0254568506825431E-2</v>
      </c>
      <c r="G75" s="124">
        <f>F67*'Health Assumptions'!D63*F13</f>
        <v>4.651395738627607E-3</v>
      </c>
      <c r="H75" s="124">
        <f>G67*'Health Assumptions'!E63*G13</f>
        <v>3.6985004107445291E-3</v>
      </c>
      <c r="I75" s="124">
        <f>SUM(G75:H75)</f>
        <v>8.3498961493721352E-3</v>
      </c>
    </row>
    <row r="76" spans="2:12">
      <c r="C76" s="125" t="s">
        <v>16683</v>
      </c>
      <c r="D76" s="124">
        <f t="shared" ref="D76:I76" si="2">SUM(D71:D75)</f>
        <v>0.12987723314298349</v>
      </c>
      <c r="E76" s="124">
        <f t="shared" si="2"/>
        <v>1.5814004175872809E-2</v>
      </c>
      <c r="F76" s="162">
        <f t="shared" si="2"/>
        <v>0.1456912373188563</v>
      </c>
      <c r="G76" s="124">
        <f t="shared" si="2"/>
        <v>1.2375012131669739E-2</v>
      </c>
      <c r="H76" s="124">
        <f t="shared" si="2"/>
        <v>9.3428486560371768E-3</v>
      </c>
      <c r="I76" s="124">
        <f t="shared" si="2"/>
        <v>2.1717860787706916E-2</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0.65036262805360989</v>
      </c>
      <c r="E82" s="124">
        <f>E72*'Health Assumptions'!E93</f>
        <v>0.13558565686092716</v>
      </c>
      <c r="F82" s="162">
        <f>SUM(D82:E82)</f>
        <v>0.78594828491453705</v>
      </c>
      <c r="G82" s="124">
        <f>G72*'Health Assumptions'!D68</f>
        <v>2.7048378534674594E-2</v>
      </c>
      <c r="H82" s="124">
        <f>H72*'Health Assumptions'!E68</f>
        <v>2.1600416828342451E-2</v>
      </c>
      <c r="I82" s="124">
        <f>SUM(G82:H82)</f>
        <v>4.8648795363017042E-2</v>
      </c>
    </row>
    <row r="83" spans="3:11">
      <c r="C83" s="125" t="s">
        <v>16584</v>
      </c>
      <c r="D83" s="124">
        <f>D73*'Health Assumptions'!D94</f>
        <v>0.83372781148168273</v>
      </c>
      <c r="E83" s="124">
        <f>E73*'Health Assumptions'!E94</f>
        <v>0.16563412332487343</v>
      </c>
      <c r="F83" s="162">
        <f>SUM(D83:E83)</f>
        <v>0.99936193480655611</v>
      </c>
      <c r="G83" s="124">
        <f>G73*'Health Assumptions'!D69</f>
        <v>4.3020919364512251E-2</v>
      </c>
      <c r="H83" s="124">
        <f>H73*'Health Assumptions'!E69</f>
        <v>3.7348466279884758E-2</v>
      </c>
      <c r="I83" s="124">
        <f>SUM(G83:H83)</f>
        <v>8.0369385644397009E-2</v>
      </c>
    </row>
    <row r="84" spans="3:11">
      <c r="C84" s="125" t="s">
        <v>16585</v>
      </c>
      <c r="D84" s="124">
        <f>D74*'Health Assumptions'!D95</f>
        <v>0.69328125467363011</v>
      </c>
      <c r="E84" s="124">
        <f>E74*'Health Assumptions'!E95</f>
        <v>6.9976389087010857E-2</v>
      </c>
      <c r="F84" s="162">
        <f>SUM(D84:E84)</f>
        <v>0.76325764376064098</v>
      </c>
      <c r="G84" s="124">
        <f>G74*'Health Assumptions'!D70</f>
        <v>7.7685650156051986E-2</v>
      </c>
      <c r="H84" s="124">
        <f>H74*'Health Assumptions'!E70</f>
        <v>4.9344404245154745E-2</v>
      </c>
      <c r="I84" s="124">
        <f>SUM(G84:H84)</f>
        <v>0.12703005440120674</v>
      </c>
    </row>
    <row r="85" spans="3:11">
      <c r="C85" s="125" t="s">
        <v>16586</v>
      </c>
      <c r="D85" s="124">
        <f>D75*'Health Assumptions'!D96</f>
        <v>0.17495142848498865</v>
      </c>
      <c r="E85" s="124">
        <f>E75*'Health Assumptions'!E96</f>
        <v>0</v>
      </c>
      <c r="F85" s="162">
        <f>SUM(D85:E85)</f>
        <v>0.17495142848498865</v>
      </c>
      <c r="G85" s="124">
        <f>G75*'Health Assumptions'!D71</f>
        <v>2.6897370185210299E-2</v>
      </c>
      <c r="H85" s="124">
        <f>H75*'Health Assumptions'!E71</f>
        <v>2.1387114807672646E-2</v>
      </c>
      <c r="I85" s="124">
        <f>SUM(G85:H85)</f>
        <v>4.8284484992882945E-2</v>
      </c>
    </row>
    <row r="86" spans="3:11">
      <c r="C86" s="125" t="s">
        <v>16683</v>
      </c>
      <c r="D86" s="124">
        <f t="shared" ref="D86:I86" si="3">SUM(D81:D85)</f>
        <v>2.3523231226939112</v>
      </c>
      <c r="E86" s="124">
        <f t="shared" si="3"/>
        <v>0.37119616927281146</v>
      </c>
      <c r="F86" s="162">
        <f t="shared" si="3"/>
        <v>2.7235192919667228</v>
      </c>
      <c r="G86" s="124">
        <f t="shared" si="3"/>
        <v>0.17465231824044911</v>
      </c>
      <c r="H86" s="124">
        <f t="shared" si="3"/>
        <v>0.12968040216105459</v>
      </c>
      <c r="I86" s="124">
        <f t="shared" si="3"/>
        <v>0.30433272040150372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81.966307499999985</v>
      </c>
      <c r="H18" s="94">
        <f>IF(H4&lt;opening,0,'General Calculations'!$E$28/1000)</f>
        <v>81.966307499999985</v>
      </c>
      <c r="I18" s="94">
        <f>IF(I4&lt;opening,0,'General Calculations'!$E$28/1000)</f>
        <v>81.966307499999985</v>
      </c>
      <c r="J18" s="94">
        <f>IF(J4&lt;opening,0,'General Calculations'!$E$28/1000)</f>
        <v>81.966307499999985</v>
      </c>
      <c r="K18" s="94">
        <f>IF(K4&lt;opening,0,'General Calculations'!$E$28/1000)</f>
        <v>81.966307499999985</v>
      </c>
      <c r="L18" s="94">
        <f>IF(L4&lt;opening,0,'General Calculations'!$E$28/1000)</f>
        <v>81.966307499999985</v>
      </c>
      <c r="M18" s="94">
        <f>IF(M4&lt;opening,0,'General Calculations'!$E$28/1000)</f>
        <v>81.966307499999985</v>
      </c>
      <c r="N18" s="94">
        <f>IF(N4&lt;opening,0,'General Calculations'!$E$28/1000)</f>
        <v>81.966307499999985</v>
      </c>
      <c r="O18" s="94">
        <f>IF(O4&lt;opening,0,'General Calculations'!$E$28/1000)</f>
        <v>81.966307499999985</v>
      </c>
      <c r="P18" s="94">
        <f>IF(P4&lt;opening,0,'General Calculations'!$E$28/1000)</f>
        <v>81.966307499999985</v>
      </c>
      <c r="Q18" s="94">
        <f>IF(Q4&lt;opening,0,'General Calculations'!$E$28/1000)</f>
        <v>81.966307499999985</v>
      </c>
      <c r="R18" s="94">
        <f>IF(R4&lt;opening,0,'General Calculations'!$E$28/1000)</f>
        <v>81.966307499999985</v>
      </c>
      <c r="S18" s="94">
        <f>IF(S4&lt;opening,0,'General Calculations'!$E$28/1000)</f>
        <v>81.966307499999985</v>
      </c>
      <c r="T18" s="94">
        <f>IF(T4&lt;opening,0,'General Calculations'!$E$28/1000)</f>
        <v>81.966307499999985</v>
      </c>
      <c r="U18" s="94">
        <f>IF(U4&lt;opening,0,'General Calculations'!$E$28/1000)</f>
        <v>81.966307499999985</v>
      </c>
      <c r="V18" s="94">
        <f>IF(V4&lt;opening,0,'General Calculations'!$E$28/1000)</f>
        <v>81.966307499999985</v>
      </c>
      <c r="W18" s="94">
        <f>IF(W4&lt;opening,0,'General Calculations'!$E$28/1000)</f>
        <v>81.966307499999985</v>
      </c>
      <c r="X18" s="94">
        <f>IF(X4&lt;opening,0,'General Calculations'!$E$28/1000)</f>
        <v>81.966307499999985</v>
      </c>
      <c r="Y18" s="94">
        <f>IF(Y4&lt;opening,0,'General Calculations'!$E$28/1000)</f>
        <v>81.966307499999985</v>
      </c>
      <c r="Z18" s="94">
        <f>IF(Z4&lt;opening,0,'General Calculations'!$E$28/1000)</f>
        <v>81.966307499999985</v>
      </c>
      <c r="AA18" s="94">
        <f>IF(AA4&lt;opening,0,'General Calculations'!$E$28/1000)</f>
        <v>81.966307499999985</v>
      </c>
      <c r="AB18" s="94">
        <f>IF(AB4&lt;opening,0,'General Calculations'!$E$28/1000)</f>
        <v>81.966307499999985</v>
      </c>
      <c r="AC18" s="94">
        <f>IF(AC4&lt;opening,0,'General Calculations'!$E$28/1000)</f>
        <v>81.966307499999985</v>
      </c>
      <c r="AD18" s="94">
        <f>IF(AD4&lt;opening,0,'General Calculations'!$E$28/1000)</f>
        <v>81.966307499999985</v>
      </c>
      <c r="AE18" s="94">
        <f>IF(AE4&lt;opening,0,'General Calculations'!$E$28/1000)</f>
        <v>81.966307499999985</v>
      </c>
      <c r="AF18" s="94">
        <f>IF(AF4&lt;opening,0,'General Calculations'!$E$28/1000)</f>
        <v>81.966307499999985</v>
      </c>
      <c r="AG18" s="94">
        <f>IF(AG4&lt;opening,0,'General Calculations'!$E$28/1000)</f>
        <v>81.966307499999985</v>
      </c>
      <c r="AH18" s="94">
        <f>IF(AH4&lt;opening,0,'General Calculations'!$E$28/1000)</f>
        <v>81.966307499999985</v>
      </c>
      <c r="AI18" s="94">
        <f>IF(AI4&lt;opening,0,'General Calculations'!$E$28/1000)</f>
        <v>81.966307499999985</v>
      </c>
      <c r="AJ18" s="94">
        <f>IF(AJ4&lt;opening,0,'General Calculations'!$E$28/1000)</f>
        <v>81.966307499999985</v>
      </c>
      <c r="AK18" s="94">
        <f>IF(AK4&lt;opening,0,'General Calculations'!$E$28/1000)</f>
        <v>81.966307499999985</v>
      </c>
      <c r="AL18" s="94">
        <f>IF(AL4&lt;opening,0,'General Calculations'!$E$28/1000)</f>
        <v>81.966307499999985</v>
      </c>
      <c r="AM18" s="94">
        <f>IF(AM4&lt;opening,0,'General Calculations'!$E$28/1000)</f>
        <v>81.966307499999985</v>
      </c>
      <c r="AN18" s="94">
        <f>IF(AN4&lt;opening,0,'General Calculations'!$E$28/1000)</f>
        <v>81.966307499999985</v>
      </c>
      <c r="AO18" s="94">
        <f>IF(AO4&lt;opening,0,'General Calculations'!$E$28/1000)</f>
        <v>81.966307499999985</v>
      </c>
      <c r="AP18" s="94">
        <f>IF(AP4&lt;opening,0,'General Calculations'!$E$28/1000)</f>
        <v>81.966307499999985</v>
      </c>
      <c r="AQ18" s="94">
        <f>IF(AQ4&lt;opening,0,'General Calculations'!$E$28/1000)</f>
        <v>81.966307499999985</v>
      </c>
      <c r="AR18" s="94">
        <f>IF(AR4&lt;opening,0,'General Calculations'!$E$28/1000)</f>
        <v>81.966307499999985</v>
      </c>
      <c r="AS18" s="94">
        <f>IF(AS4&lt;opening,0,'General Calculations'!$E$28/1000)</f>
        <v>81.966307499999985</v>
      </c>
      <c r="AT18" s="94">
        <f>IF(AT4&lt;opening,0,'General Calculations'!$E$28/1000)</f>
        <v>81.966307499999985</v>
      </c>
      <c r="AU18" s="94">
        <f>IF(AU4&lt;opening,0,'General Calculations'!$E$28/1000)</f>
        <v>81.966307499999985</v>
      </c>
      <c r="AV18" s="94">
        <f>IF(AV4&lt;opening,0,'General Calculations'!$E$28/1000)</f>
        <v>81.966307499999985</v>
      </c>
      <c r="AW18" s="94">
        <f>IF(AW4&lt;opening,0,'General Calculations'!$E$28/1000)</f>
        <v>81.966307499999985</v>
      </c>
      <c r="AX18" s="94">
        <f>IF(AX4&lt;opening,0,'General Calculations'!$E$28/1000)</f>
        <v>81.966307499999985</v>
      </c>
      <c r="AY18" s="94">
        <f>IF(AY4&lt;opening,0,'General Calculations'!$E$28/1000)</f>
        <v>81.966307499999985</v>
      </c>
      <c r="AZ18" s="94">
        <f>IF(AZ4&lt;opening,0,'General Calculations'!$E$28/1000)</f>
        <v>81.966307499999985</v>
      </c>
      <c r="BA18" s="94">
        <f>IF(BA4&lt;opening,0,'General Calculations'!$E$28/1000)</f>
        <v>81.966307499999985</v>
      </c>
      <c r="BB18" s="94">
        <f>IF(BB4&lt;opening,0,'General Calculations'!$E$28/1000)</f>
        <v>81.966307499999985</v>
      </c>
      <c r="BC18" s="94">
        <f>IF(BC4&lt;opening,0,'General Calculations'!$E$28/1000)</f>
        <v>81.966307499999985</v>
      </c>
      <c r="BD18" s="94">
        <f>IF(BD4&lt;opening,0,'General Calculations'!$E$28/1000)</f>
        <v>81.966307499999985</v>
      </c>
      <c r="BE18" s="94">
        <f>IF(BE4&lt;opening,0,'General Calculations'!$E$28/1000)</f>
        <v>81.966307499999985</v>
      </c>
      <c r="BF18" s="94">
        <f>IF(BF4&lt;opening,0,'General Calculations'!$E$28/1000)</f>
        <v>81.966307499999985</v>
      </c>
      <c r="BG18" s="94">
        <f>IF(BG4&lt;opening,0,'General Calculations'!$E$28/1000)</f>
        <v>81.966307499999985</v>
      </c>
      <c r="BH18" s="94">
        <f>IF(BH4&lt;opening,0,'General Calculations'!$E$28/1000)</f>
        <v>81.966307499999985</v>
      </c>
      <c r="BI18" s="94">
        <f>IF(BI4&lt;opening,0,'General Calculations'!$E$28/1000)</f>
        <v>81.966307499999985</v>
      </c>
      <c r="BJ18" s="94">
        <f>IF(BJ4&lt;opening,0,'General Calculations'!$E$28/1000)</f>
        <v>81.966307499999985</v>
      </c>
      <c r="BK18" s="94">
        <f>IF(BK4&lt;opening,0,'General Calculations'!$E$28/1000)</f>
        <v>81.966307499999985</v>
      </c>
      <c r="BL18" s="94">
        <f>IF(BL4&lt;opening,0,'General Calculations'!$E$28/1000)</f>
        <v>81.966307499999985</v>
      </c>
      <c r="BM18" s="94">
        <f>IF(BM4&lt;opening,0,'General Calculations'!$E$28/1000)</f>
        <v>81.966307499999985</v>
      </c>
      <c r="BN18" s="376">
        <f>IF(BN4&lt;opening,0,'General Calculations'!$E$28/1000)</f>
        <v>81.966307499999985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180.68272559812075</v>
      </c>
      <c r="C19" s="42">
        <f>IFERROR(C$18*HLOOKUP(C$4,mecc2,2)/100*C$7*C$9*C$11*C$12,0)</f>
        <v>0</v>
      </c>
      <c r="D19" s="42">
        <f t="shared" ref="D19:AH19" si="19">IFERROR(D$18*HLOOKUP(D$4,mecc2,2)/100*D$7*D$9*D$11*D$12,0)</f>
        <v>0</v>
      </c>
      <c r="E19" s="42">
        <f t="shared" si="19"/>
        <v>0</v>
      </c>
      <c r="F19" s="42">
        <f t="shared" si="19"/>
        <v>0</v>
      </c>
      <c r="G19" s="42">
        <f t="shared" si="19"/>
        <v>9.1580454442568815</v>
      </c>
      <c r="H19" s="42">
        <f t="shared" si="19"/>
        <v>9.1297902270734586</v>
      </c>
      <c r="I19" s="42">
        <f t="shared" si="19"/>
        <v>9.1016221854017676</v>
      </c>
      <c r="J19" s="42">
        <f t="shared" si="19"/>
        <v>9.0735410502801628</v>
      </c>
      <c r="K19" s="42">
        <f t="shared" si="19"/>
        <v>9.0455465535768091</v>
      </c>
      <c r="L19" s="42">
        <f t="shared" si="19"/>
        <v>9.1595635854354978</v>
      </c>
      <c r="M19" s="42">
        <f t="shared" si="19"/>
        <v>9.2750177757319783</v>
      </c>
      <c r="N19" s="42">
        <f t="shared" si="19"/>
        <v>9.3919272395174929</v>
      </c>
      <c r="O19" s="42">
        <f t="shared" si="19"/>
        <v>9.5103103201793342</v>
      </c>
      <c r="P19" s="42">
        <f t="shared" si="19"/>
        <v>9.6301855923189894</v>
      </c>
      <c r="Q19" s="42">
        <f t="shared" si="19"/>
        <v>9.4425843679150212</v>
      </c>
      <c r="R19" s="42">
        <f t="shared" si="19"/>
        <v>9.2586377168378569</v>
      </c>
      <c r="S19" s="42">
        <f t="shared" si="19"/>
        <v>9.0782744460222951</v>
      </c>
      <c r="T19" s="42">
        <f t="shared" si="19"/>
        <v>8.9014247492825493</v>
      </c>
      <c r="U19" s="42">
        <f t="shared" si="19"/>
        <v>8.7280201802951023</v>
      </c>
      <c r="V19" s="42">
        <f t="shared" si="19"/>
        <v>8.6714085140244528</v>
      </c>
      <c r="W19" s="42">
        <f t="shared" si="19"/>
        <v>8.6151640422253681</v>
      </c>
      <c r="X19" s="42">
        <f t="shared" si="19"/>
        <v>8.5592843832018417</v>
      </c>
      <c r="Y19" s="42">
        <f t="shared" si="19"/>
        <v>8.5037671707060021</v>
      </c>
      <c r="Z19" s="42">
        <f t="shared" si="19"/>
        <v>8.4486100538379407</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0.99139835295515899</v>
      </c>
      <c r="C20" s="42">
        <f t="shared" ref="C20:AH20" si="22">IFERROR(C$18*HLOOKUP(C$4,mecc2,3)/100*C$7*C$9*C$11*C$12,0)</f>
        <v>0</v>
      </c>
      <c r="D20" s="42">
        <f t="shared" si="22"/>
        <v>0</v>
      </c>
      <c r="E20" s="42">
        <f t="shared" si="22"/>
        <v>0</v>
      </c>
      <c r="F20" s="42">
        <f t="shared" si="22"/>
        <v>0</v>
      </c>
      <c r="G20" s="42">
        <f t="shared" si="22"/>
        <v>5.4790988794414582E-2</v>
      </c>
      <c r="H20" s="42">
        <f t="shared" si="22"/>
        <v>5.4099170553137607E-2</v>
      </c>
      <c r="I20" s="42">
        <f t="shared" si="22"/>
        <v>5.3416087552627313E-2</v>
      </c>
      <c r="J20" s="42">
        <f t="shared" si="22"/>
        <v>5.2741629497394645E-2</v>
      </c>
      <c r="K20" s="42">
        <f t="shared" si="22"/>
        <v>5.2075687484596164E-2</v>
      </c>
      <c r="L20" s="42">
        <f t="shared" si="22"/>
        <v>5.2159222900764503E-2</v>
      </c>
      <c r="M20" s="42">
        <f t="shared" si="22"/>
        <v>5.2242892317386651E-2</v>
      </c>
      <c r="N20" s="42">
        <f t="shared" si="22"/>
        <v>5.2326695949414789E-2</v>
      </c>
      <c r="O20" s="42">
        <f t="shared" si="22"/>
        <v>5.2410634012145893E-2</v>
      </c>
      <c r="P20" s="42">
        <f t="shared" si="22"/>
        <v>5.2494706721222403E-2</v>
      </c>
      <c r="Q20" s="42">
        <f t="shared" si="22"/>
        <v>5.1099919827663362E-2</v>
      </c>
      <c r="R20" s="42">
        <f t="shared" si="22"/>
        <v>4.9742192489247196E-2</v>
      </c>
      <c r="S20" s="42">
        <f t="shared" si="22"/>
        <v>4.842054003180344E-2</v>
      </c>
      <c r="T20" s="42">
        <f t="shared" si="22"/>
        <v>4.7134003944001891E-2</v>
      </c>
      <c r="U20" s="42">
        <f t="shared" si="22"/>
        <v>4.5881651182204782E-2</v>
      </c>
      <c r="V20" s="42">
        <f t="shared" si="22"/>
        <v>4.5267746550694855E-2</v>
      </c>
      <c r="W20" s="42">
        <f t="shared" si="22"/>
        <v>4.4662056072051655E-2</v>
      </c>
      <c r="X20" s="42">
        <f t="shared" si="22"/>
        <v>4.4064469839452815E-2</v>
      </c>
      <c r="Y20" s="42">
        <f t="shared" si="22"/>
        <v>4.347487941664864E-2</v>
      </c>
      <c r="Z20" s="42">
        <f t="shared" si="22"/>
        <v>4.2893177818285784E-2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30.461578415310424</v>
      </c>
      <c r="C21" s="42">
        <f t="shared" ref="C21:AH21" si="24">IFERROR(C$18*HLOOKUP(C$4,mecc2,4)/100*C$7*C$9*C$11*C$12,0)</f>
        <v>0</v>
      </c>
      <c r="D21" s="42">
        <f t="shared" si="24"/>
        <v>0</v>
      </c>
      <c r="E21" s="42">
        <f t="shared" si="24"/>
        <v>0</v>
      </c>
      <c r="F21" s="42">
        <f t="shared" si="24"/>
        <v>0</v>
      </c>
      <c r="G21" s="42">
        <f t="shared" si="24"/>
        <v>1.6603792739614571</v>
      </c>
      <c r="H21" s="42">
        <f t="shared" si="24"/>
        <v>1.6435453401444882</v>
      </c>
      <c r="I21" s="42">
        <f t="shared" si="24"/>
        <v>1.6268820789757494</v>
      </c>
      <c r="J21" s="42">
        <f t="shared" si="24"/>
        <v>1.6103877600722443</v>
      </c>
      <c r="K21" s="42">
        <f t="shared" si="24"/>
        <v>1.5940606705946487</v>
      </c>
      <c r="L21" s="42">
        <f t="shared" si="24"/>
        <v>1.599011342566617</v>
      </c>
      <c r="M21" s="42">
        <f t="shared" si="24"/>
        <v>1.6039773898335332</v>
      </c>
      <c r="N21" s="42">
        <f t="shared" si="24"/>
        <v>1.608958860146428</v>
      </c>
      <c r="O21" s="42">
        <f t="shared" si="24"/>
        <v>1.6139558014046331</v>
      </c>
      <c r="P21" s="42">
        <f t="shared" si="24"/>
        <v>1.6189682616562435</v>
      </c>
      <c r="Q21" s="42">
        <f t="shared" si="24"/>
        <v>1.5759521967330103</v>
      </c>
      <c r="R21" s="42">
        <f t="shared" si="24"/>
        <v>1.5340790707328582</v>
      </c>
      <c r="S21" s="42">
        <f t="shared" si="24"/>
        <v>1.4933185157133866</v>
      </c>
      <c r="T21" s="42">
        <f t="shared" si="24"/>
        <v>1.4536409706098903</v>
      </c>
      <c r="U21" s="42">
        <f t="shared" si="24"/>
        <v>1.4150176597965849</v>
      </c>
      <c r="V21" s="42">
        <f t="shared" si="24"/>
        <v>1.3970051716340059</v>
      </c>
      <c r="W21" s="42">
        <f t="shared" si="24"/>
        <v>1.3792219737050579</v>
      </c>
      <c r="X21" s="42">
        <f t="shared" si="24"/>
        <v>1.3616651472563319</v>
      </c>
      <c r="Y21" s="42">
        <f t="shared" si="24"/>
        <v>1.344331810688733</v>
      </c>
      <c r="Z21" s="42">
        <f t="shared" si="24"/>
        <v>1.3272191190845242</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4.0303723741334778</v>
      </c>
      <c r="C22" s="42">
        <f t="shared" ref="C22:AH22" si="26">IFERROR(C$18*HLOOKUP(C$4,mecc2,5)/100*C$7*C$9*C$11*C$12,0)</f>
        <v>0</v>
      </c>
      <c r="D22" s="42">
        <f t="shared" si="26"/>
        <v>0</v>
      </c>
      <c r="E22" s="42">
        <f t="shared" si="26"/>
        <v>0</v>
      </c>
      <c r="F22" s="42">
        <f t="shared" si="26"/>
        <v>0</v>
      </c>
      <c r="G22" s="42">
        <f t="shared" si="26"/>
        <v>0.2708214563421934</v>
      </c>
      <c r="H22" s="42">
        <f t="shared" si="26"/>
        <v>0.25165046975738437</v>
      </c>
      <c r="I22" s="42">
        <f t="shared" si="26"/>
        <v>0.23383656444522949</v>
      </c>
      <c r="J22" s="42">
        <f t="shared" si="26"/>
        <v>0.21728367494908471</v>
      </c>
      <c r="K22" s="42">
        <f t="shared" si="26"/>
        <v>0.2019025361212822</v>
      </c>
      <c r="L22" s="42">
        <f t="shared" si="26"/>
        <v>0.20317546355580507</v>
      </c>
      <c r="M22" s="42">
        <f t="shared" si="26"/>
        <v>0.20445641636873427</v>
      </c>
      <c r="N22" s="42">
        <f t="shared" si="26"/>
        <v>0.20574544515737547</v>
      </c>
      <c r="O22" s="42">
        <f t="shared" si="26"/>
        <v>0.20704260083803327</v>
      </c>
      <c r="P22" s="42">
        <f t="shared" si="26"/>
        <v>0.20834793464802254</v>
      </c>
      <c r="Q22" s="42">
        <f t="shared" si="26"/>
        <v>0.20281380361579637</v>
      </c>
      <c r="R22" s="42">
        <f t="shared" si="26"/>
        <v>0.19742666999121711</v>
      </c>
      <c r="S22" s="42">
        <f t="shared" si="26"/>
        <v>0.19218262923394611</v>
      </c>
      <c r="T22" s="42">
        <f t="shared" si="26"/>
        <v>0.18707788051591745</v>
      </c>
      <c r="U22" s="42">
        <f t="shared" si="26"/>
        <v>0.18210872396653655</v>
      </c>
      <c r="V22" s="42">
        <f t="shared" si="26"/>
        <v>0.17896785586331443</v>
      </c>
      <c r="W22" s="42">
        <f t="shared" si="26"/>
        <v>0.17588115898389184</v>
      </c>
      <c r="X22" s="42">
        <f t="shared" si="26"/>
        <v>0.17284769902558828</v>
      </c>
      <c r="Y22" s="42">
        <f t="shared" si="26"/>
        <v>0.16986655779984139</v>
      </c>
      <c r="Z22" s="42">
        <f t="shared" si="26"/>
        <v>0.16693683295428313</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2.0307718943540292</v>
      </c>
      <c r="C23" s="42">
        <f t="shared" ref="C23:AH23" si="28">IFERROR(C$18*HLOOKUP(C$4,mecc2,6)/100*C$7*C$9*C$11*C$12,0)</f>
        <v>0</v>
      </c>
      <c r="D23" s="42">
        <f t="shared" si="28"/>
        <v>0</v>
      </c>
      <c r="E23" s="42">
        <f t="shared" si="28"/>
        <v>0</v>
      </c>
      <c r="F23" s="42">
        <f t="shared" si="28"/>
        <v>0</v>
      </c>
      <c r="G23" s="42">
        <f t="shared" si="28"/>
        <v>0.11069195159743045</v>
      </c>
      <c r="H23" s="42">
        <f t="shared" si="28"/>
        <v>0.10956968934296588</v>
      </c>
      <c r="I23" s="42">
        <f t="shared" si="28"/>
        <v>0.10845880526504995</v>
      </c>
      <c r="J23" s="42">
        <f t="shared" si="28"/>
        <v>0.10735918400481627</v>
      </c>
      <c r="K23" s="42">
        <f t="shared" si="28"/>
        <v>0.10627071137297658</v>
      </c>
      <c r="L23" s="42">
        <f t="shared" si="28"/>
        <v>0.10660075617110781</v>
      </c>
      <c r="M23" s="42">
        <f t="shared" si="28"/>
        <v>0.10693182598890222</v>
      </c>
      <c r="N23" s="42">
        <f t="shared" si="28"/>
        <v>0.10726392400976188</v>
      </c>
      <c r="O23" s="42">
        <f t="shared" si="28"/>
        <v>0.10759705342697555</v>
      </c>
      <c r="P23" s="42">
        <f t="shared" si="28"/>
        <v>0.10793121744374955</v>
      </c>
      <c r="Q23" s="42">
        <f t="shared" si="28"/>
        <v>0.10506347978220067</v>
      </c>
      <c r="R23" s="42">
        <f t="shared" si="28"/>
        <v>0.1022719380488572</v>
      </c>
      <c r="S23" s="42">
        <f t="shared" si="28"/>
        <v>9.9554567714225758E-2</v>
      </c>
      <c r="T23" s="42">
        <f t="shared" si="28"/>
        <v>9.6909398040659345E-2</v>
      </c>
      <c r="U23" s="42">
        <f t="shared" si="28"/>
        <v>9.4334510653105649E-2</v>
      </c>
      <c r="V23" s="42">
        <f t="shared" si="28"/>
        <v>9.3133678108933748E-2</v>
      </c>
      <c r="W23" s="42">
        <f t="shared" si="28"/>
        <v>9.1948131580337239E-2</v>
      </c>
      <c r="X23" s="42">
        <f t="shared" si="28"/>
        <v>9.0777676483755537E-2</v>
      </c>
      <c r="Y23" s="42">
        <f t="shared" si="28"/>
        <v>8.9622120712582257E-2</v>
      </c>
      <c r="Z23" s="42">
        <f t="shared" si="28"/>
        <v>8.8481274605634971E-2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12.740164338624822</v>
      </c>
      <c r="C24" s="42">
        <f t="shared" ref="C24:AH24" si="30">IFERROR(C$18*HLOOKUP(C$4,mecc2,7)/100*C$7*C$9*C$11*C$12,0)</f>
        <v>0</v>
      </c>
      <c r="D24" s="42">
        <f t="shared" si="30"/>
        <v>0</v>
      </c>
      <c r="E24" s="42">
        <f t="shared" si="30"/>
        <v>0</v>
      </c>
      <c r="F24" s="42">
        <f t="shared" si="30"/>
        <v>0</v>
      </c>
      <c r="G24" s="42">
        <f t="shared" si="30"/>
        <v>0.97285472815381813</v>
      </c>
      <c r="H24" s="42">
        <f t="shared" si="30"/>
        <v>0.73878309969075295</v>
      </c>
      <c r="I24" s="42">
        <f t="shared" si="30"/>
        <v>0.56102977412099342</v>
      </c>
      <c r="J24" s="42">
        <f t="shared" si="30"/>
        <v>0.42604440678462441</v>
      </c>
      <c r="K24" s="42">
        <f t="shared" si="30"/>
        <v>0.32353690468006524</v>
      </c>
      <c r="L24" s="42">
        <f t="shared" si="30"/>
        <v>0.38766445310056502</v>
      </c>
      <c r="M24" s="42">
        <f t="shared" si="30"/>
        <v>0.46450258385939236</v>
      </c>
      <c r="N24" s="42">
        <f t="shared" si="30"/>
        <v>0.55657063392417938</v>
      </c>
      <c r="O24" s="42">
        <f t="shared" si="30"/>
        <v>0.66688729258077106</v>
      </c>
      <c r="P24" s="42">
        <f t="shared" si="30"/>
        <v>0.79906957697357994</v>
      </c>
      <c r="Q24" s="42">
        <f t="shared" si="30"/>
        <v>0.77785425772761196</v>
      </c>
      <c r="R24" s="42">
        <f t="shared" si="30"/>
        <v>0.75720220579112274</v>
      </c>
      <c r="S24" s="42">
        <f t="shared" si="30"/>
        <v>0.73709846640155419</v>
      </c>
      <c r="T24" s="42">
        <f t="shared" si="30"/>
        <v>0.71752848184570428</v>
      </c>
      <c r="U24" s="42">
        <f t="shared" si="30"/>
        <v>0.69847808091805808</v>
      </c>
      <c r="V24" s="42">
        <f t="shared" si="30"/>
        <v>0.67495981668614047</v>
      </c>
      <c r="W24" s="42">
        <f t="shared" si="30"/>
        <v>0.65223342949029972</v>
      </c>
      <c r="X24" s="42">
        <f t="shared" si="30"/>
        <v>0.63027225625565608</v>
      </c>
      <c r="Y24" s="42">
        <f t="shared" si="30"/>
        <v>0.60905053167242407</v>
      </c>
      <c r="Z24" s="42">
        <f t="shared" si="30"/>
        <v>0.58854335796750934</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-14.695446729205628</v>
      </c>
      <c r="C25" s="532">
        <f t="shared" ref="C25:AH25" si="32">IFERROR(C$18*HLOOKUP(C$4,mecc2,8)/100*C$7*C$9*C$11*C$12,0)</f>
        <v>0</v>
      </c>
      <c r="D25" s="532">
        <f t="shared" si="32"/>
        <v>0</v>
      </c>
      <c r="E25" s="532">
        <f t="shared" si="32"/>
        <v>0</v>
      </c>
      <c r="F25" s="532">
        <f t="shared" si="32"/>
        <v>0</v>
      </c>
      <c r="G25" s="532">
        <f t="shared" si="32"/>
        <v>-1.5115705379942732</v>
      </c>
      <c r="H25" s="532">
        <f t="shared" si="32"/>
        <v>-1.3844245855811763</v>
      </c>
      <c r="I25" s="532">
        <f t="shared" si="32"/>
        <v>-1.2679735314931582</v>
      </c>
      <c r="J25" s="532">
        <f t="shared" si="32"/>
        <v>-1.1613177729665218</v>
      </c>
      <c r="K25" s="532">
        <f t="shared" si="32"/>
        <v>-1.063633377441048</v>
      </c>
      <c r="L25" s="532">
        <f t="shared" si="32"/>
        <v>-0.93475445229986287</v>
      </c>
      <c r="M25" s="532">
        <f t="shared" si="32"/>
        <v>-0.82149160098433027</v>
      </c>
      <c r="N25" s="532">
        <f t="shared" si="32"/>
        <v>-0.72195264630984723</v>
      </c>
      <c r="O25" s="532">
        <f t="shared" si="32"/>
        <v>-0.63447468347729741</v>
      </c>
      <c r="P25" s="532">
        <f t="shared" si="32"/>
        <v>-0.55759629946816092</v>
      </c>
      <c r="Q25" s="532">
        <f t="shared" si="32"/>
        <v>-0.54279568972780667</v>
      </c>
      <c r="R25" s="532">
        <f t="shared" si="32"/>
        <v>-0.52838794136206191</v>
      </c>
      <c r="S25" s="532">
        <f t="shared" si="32"/>
        <v>-0.51436262641813524</v>
      </c>
      <c r="T25" s="532">
        <f t="shared" si="32"/>
        <v>-0.50070959373857871</v>
      </c>
      <c r="U25" s="532">
        <f t="shared" si="32"/>
        <v>-0.48741896161414644</v>
      </c>
      <c r="V25" s="532">
        <f t="shared" si="32"/>
        <v>-0.46055750253505839</v>
      </c>
      <c r="W25" s="532">
        <f t="shared" si="32"/>
        <v>-0.43517636744966154</v>
      </c>
      <c r="X25" s="532">
        <f t="shared" si="32"/>
        <v>-0.41119397630975968</v>
      </c>
      <c r="Y25" s="532">
        <f t="shared" si="32"/>
        <v>-0.38853324491015545</v>
      </c>
      <c r="Z25" s="532">
        <f t="shared" si="32"/>
        <v>-0.36712133712458739</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289.51796195015504</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16.191129336759495</v>
      </c>
      <c r="H29" s="42">
        <f>IF(H4&lt;opening,0,1)*Absenteeism!$D$23*H7*H9*H11*H12*H10/1000</f>
        <v>15.997344201823157</v>
      </c>
      <c r="I29" s="42">
        <f>IF(I4&lt;opening,0,1)*Absenteeism!$D$23*I7*I9*I11*I12*I10/1000</f>
        <v>15.805878403465588</v>
      </c>
      <c r="J29" s="42">
        <f>IF(J4&lt;opening,0,1)*Absenteeism!$D$23*J7*J9*J11*J12*J10/1000</f>
        <v>15.616704182477253</v>
      </c>
      <c r="K29" s="42">
        <f>IF(K4&lt;opening,0,1)*Absenteeism!$D$23*K7*K9*K11*K12*K10/1000</f>
        <v>15.429794111887457</v>
      </c>
      <c r="L29" s="42">
        <f>IF(L4&lt;opening,0,1)*Absenteeism!$D$23*L7*L9*L11*L12*L10/1000</f>
        <v>15.24512109298793</v>
      </c>
      <c r="M29" s="42">
        <f>IF(M4&lt;opening,0,1)*Absenteeism!$D$23*M7*M9*M11*M12*M10/1000</f>
        <v>15.062658351403984</v>
      </c>
      <c r="N29" s="42">
        <f>IF(N4&lt;opening,0,1)*Absenteeism!$D$23*N7*N9*N11*N12*N10/1000</f>
        <v>14.882379433212664</v>
      </c>
      <c r="O29" s="42">
        <f>IF(O4&lt;opening,0,1)*Absenteeism!$D$23*O7*O9*O11*O12*O10/1000</f>
        <v>14.704258201107423</v>
      </c>
      <c r="P29" s="42">
        <f>IF(P4&lt;opening,0,1)*Absenteeism!$D$23*P7*P9*P11*P12*P10/1000</f>
        <v>14.528268830608662</v>
      </c>
      <c r="Q29" s="42">
        <f>IF(Q4&lt;opening,0,1)*Absenteeism!$D$23*Q7*Q9*Q11*Q12*Q10/1000</f>
        <v>14.354385806319614</v>
      </c>
      <c r="R29" s="42">
        <f>IF(R4&lt;opening,0,1)*Absenteeism!$D$23*R7*R9*R11*R12*R10/1000</f>
        <v>14.182583918227072</v>
      </c>
      <c r="S29" s="42">
        <f>IF(S4&lt;opening,0,1)*Absenteeism!$D$23*S7*S9*S11*S12*S10/1000</f>
        <v>14.01283825804636</v>
      </c>
      <c r="T29" s="42">
        <f>IF(T4&lt;opening,0,1)*Absenteeism!$D$23*T7*T9*T11*T12*T10/1000</f>
        <v>13.845124215610079</v>
      </c>
      <c r="U29" s="42">
        <f>IF(U4&lt;opening,0,1)*Absenteeism!$D$23*U7*U9*U11*U12*U10/1000</f>
        <v>13.679417475300063</v>
      </c>
      <c r="V29" s="42">
        <f>IF(V4&lt;opening,0,1)*Absenteeism!$D$23*V7*V9*V11*V12*V10/1000</f>
        <v>13.515694012522021</v>
      </c>
      <c r="W29" s="42">
        <f>IF(W4&lt;opening,0,1)*Absenteeism!$D$23*W7*W9*W11*W12*W10/1000</f>
        <v>13.353930090222388</v>
      </c>
      <c r="X29" s="42">
        <f>IF(X4&lt;opening,0,1)*Absenteeism!$D$23*X7*X9*X11*X12*X10/1000</f>
        <v>13.194102255446904</v>
      </c>
      <c r="Y29" s="42">
        <f>IF(Y4&lt;opening,0,1)*Absenteeism!$D$23*Y7*Y9*Y11*Y12*Y10/1000</f>
        <v>13.036187335940285</v>
      </c>
      <c r="Z29" s="42">
        <f>IF(Z4&lt;opening,0,1)*Absenteeism!$D$23*Z7*Z9*Z11*Z12*Z10/1000</f>
        <v>12.880162436786703</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1934.7209089002854</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23.210452854608555</v>
      </c>
      <c r="H30" s="532">
        <f t="shared" si="34"/>
        <v>46.077894090676097</v>
      </c>
      <c r="I30" s="532">
        <f t="shared" si="34"/>
        <v>68.606125561117494</v>
      </c>
      <c r="J30" s="532">
        <f t="shared" si="34"/>
        <v>90.798911662168678</v>
      </c>
      <c r="K30" s="532">
        <f t="shared" si="34"/>
        <v>112.65997967935338</v>
      </c>
      <c r="L30" s="532">
        <f t="shared" si="34"/>
        <v>111.82751677531876</v>
      </c>
      <c r="M30" s="532">
        <f t="shared" si="34"/>
        <v>111.00120507500857</v>
      </c>
      <c r="N30" s="532">
        <f t="shared" si="34"/>
        <v>110.18099912617851</v>
      </c>
      <c r="O30" s="532">
        <f t="shared" si="34"/>
        <v>109.36685381243828</v>
      </c>
      <c r="P30" s="532">
        <f t="shared" si="34"/>
        <v>108.55872435077001</v>
      </c>
      <c r="Q30" s="532">
        <f t="shared" si="34"/>
        <v>107.75656628906484</v>
      </c>
      <c r="R30" s="532">
        <f t="shared" si="34"/>
        <v>106.96033550367768</v>
      </c>
      <c r="S30" s="532">
        <f t="shared" si="34"/>
        <v>106.16998819700031</v>
      </c>
      <c r="T30" s="532">
        <f>IF(T4&lt;opening,0,1)*T8*T9*T11*T12*T13*(VoL*YLLsC + VoL*YLLsP)/1000</f>
        <v>105.38548089505201</v>
      </c>
      <c r="U30" s="532">
        <f t="shared" si="34"/>
        <v>104.60677044508861</v>
      </c>
      <c r="V30" s="532">
        <f t="shared" si="34"/>
        <v>103.83381401322841</v>
      </c>
      <c r="W30" s="532">
        <f t="shared" si="34"/>
        <v>103.06656908209615</v>
      </c>
      <c r="X30" s="532">
        <f t="shared" si="34"/>
        <v>102.30499344848462</v>
      </c>
      <c r="Y30" s="532">
        <f t="shared" si="34"/>
        <v>101.54904522103281</v>
      </c>
      <c r="Z30" s="532">
        <f t="shared" si="34"/>
        <v>100.79868281792174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19" sqref="E19"/>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180.68272559812075</v>
      </c>
      <c r="F4" s="41"/>
      <c r="G4" s="104"/>
      <c r="H4" s="435" t="s">
        <v>16711</v>
      </c>
      <c r="I4" s="192">
        <f>SUM(E4:E9,E14)</f>
        <v>216.24156424429304</v>
      </c>
      <c r="J4" s="436">
        <f>IFERROR(I4/SUM($I$4:$I$6),0)</f>
        <v>8.8606145386246088E-2</v>
      </c>
      <c r="K4" s="41"/>
      <c r="L4" s="41"/>
      <c r="M4" s="41"/>
      <c r="N4" s="41"/>
      <c r="O4" s="41"/>
    </row>
    <row r="5" spans="1:15">
      <c r="A5" s="41"/>
      <c r="B5" s="674" t="s">
        <v>16712</v>
      </c>
      <c r="C5" s="675"/>
      <c r="D5" s="675"/>
      <c r="E5" s="124">
        <f>Discounting!B20</f>
        <v>0.99139835295515899</v>
      </c>
      <c r="F5" s="41"/>
      <c r="G5" s="104"/>
      <c r="H5" s="107" t="s">
        <v>16713</v>
      </c>
      <c r="I5" s="124">
        <f>E10+E11</f>
        <v>2224.2388708504404</v>
      </c>
      <c r="J5" s="430">
        <f>IFERROR(I5/SUM($I$4:$I$6),0)</f>
        <v>0.911393854613754</v>
      </c>
      <c r="K5" s="41"/>
      <c r="L5" s="41"/>
      <c r="M5" s="41"/>
      <c r="N5" s="41"/>
      <c r="O5" s="41"/>
    </row>
    <row r="6" spans="1:15">
      <c r="A6" s="41"/>
      <c r="B6" s="674" t="s">
        <v>16441</v>
      </c>
      <c r="C6" s="675"/>
      <c r="D6" s="675"/>
      <c r="E6" s="124">
        <f>Discounting!B21</f>
        <v>30.461578415310424</v>
      </c>
      <c r="F6" s="41"/>
      <c r="G6" s="104"/>
      <c r="H6" s="107" t="s">
        <v>16714</v>
      </c>
      <c r="I6" s="124">
        <f>E12</f>
        <v>0</v>
      </c>
      <c r="J6" s="430">
        <f>IFERROR(I6/SUM($I$4:$I$6),0)</f>
        <v>0</v>
      </c>
      <c r="K6" s="41"/>
      <c r="L6" s="41"/>
      <c r="M6" s="41"/>
      <c r="N6" s="41"/>
      <c r="O6" s="41"/>
    </row>
    <row r="7" spans="1:15">
      <c r="A7" s="41"/>
      <c r="B7" s="674" t="s">
        <v>16715</v>
      </c>
      <c r="C7" s="675"/>
      <c r="D7" s="675"/>
      <c r="E7" s="124">
        <f>Discounting!B22</f>
        <v>4.0303723741334778</v>
      </c>
      <c r="F7" s="41"/>
      <c r="G7" s="104"/>
      <c r="H7" s="41"/>
      <c r="I7" s="41"/>
      <c r="J7" s="413"/>
      <c r="K7" s="41"/>
      <c r="L7" s="41"/>
      <c r="M7" s="41"/>
      <c r="N7" s="41"/>
      <c r="O7" s="41"/>
    </row>
    <row r="8" spans="1:15">
      <c r="A8" s="41"/>
      <c r="B8" s="674" t="s">
        <v>16443</v>
      </c>
      <c r="C8" s="675"/>
      <c r="D8" s="675"/>
      <c r="E8" s="124">
        <f>Discounting!B23</f>
        <v>2.0307718943540292</v>
      </c>
      <c r="F8" s="41"/>
      <c r="G8" s="104"/>
      <c r="H8" s="41"/>
      <c r="I8" s="41"/>
      <c r="J8" s="413"/>
      <c r="K8" s="41"/>
      <c r="L8" s="41"/>
      <c r="M8" s="41"/>
      <c r="N8" s="41"/>
      <c r="O8" s="41"/>
    </row>
    <row r="9" spans="1:15">
      <c r="A9" s="41"/>
      <c r="B9" s="674" t="s">
        <v>16716</v>
      </c>
      <c r="C9" s="675"/>
      <c r="D9" s="675"/>
      <c r="E9" s="124">
        <f>Discounting!B24</f>
        <v>12.740164338624822</v>
      </c>
      <c r="F9" s="41"/>
      <c r="G9" s="104"/>
      <c r="H9" s="41"/>
      <c r="I9" s="41"/>
      <c r="J9" s="413"/>
      <c r="K9" s="41"/>
      <c r="L9" s="41"/>
      <c r="M9" s="41"/>
      <c r="N9" s="41"/>
      <c r="O9" s="41"/>
    </row>
    <row r="10" spans="1:15">
      <c r="A10" s="41"/>
      <c r="B10" s="680" t="s">
        <v>16704</v>
      </c>
      <c r="C10" s="681"/>
      <c r="D10" s="681"/>
      <c r="E10" s="124">
        <f>Discounting!B30</f>
        <v>1934.7209089002854</v>
      </c>
      <c r="F10" s="41"/>
      <c r="G10" s="104"/>
      <c r="H10" s="41"/>
      <c r="I10" s="41"/>
      <c r="J10" s="413"/>
      <c r="K10" s="41"/>
      <c r="L10" s="41"/>
      <c r="M10" s="41"/>
      <c r="N10" s="41"/>
      <c r="O10" s="41"/>
    </row>
    <row r="11" spans="1:15">
      <c r="A11" s="41"/>
      <c r="B11" s="680" t="s">
        <v>75</v>
      </c>
      <c r="C11" s="681"/>
      <c r="D11" s="681"/>
      <c r="E11" s="124">
        <f>_xlfn.IFNA(Discounting!B29, 0)</f>
        <v>289.51796195015504</v>
      </c>
      <c r="F11" s="41"/>
      <c r="G11" s="104"/>
      <c r="H11" s="41"/>
      <c r="I11" s="41"/>
      <c r="J11" s="413"/>
      <c r="K11" s="41"/>
      <c r="L11" s="41"/>
      <c r="M11" s="41"/>
      <c r="N11" s="41"/>
      <c r="O11" s="41"/>
    </row>
    <row r="12" spans="1:15">
      <c r="A12" s="41"/>
      <c r="B12" s="680" t="s">
        <v>16423</v>
      </c>
      <c r="C12" s="681"/>
      <c r="D12" s="681"/>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-14.695446729205628</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2439.4890367417784</v>
      </c>
      <c r="F19" s="41"/>
      <c r="G19" s="104"/>
      <c r="H19" s="41"/>
      <c r="I19" s="41"/>
      <c r="J19" s="413"/>
      <c r="K19" s="41"/>
      <c r="L19" s="41"/>
      <c r="M19" s="41"/>
      <c r="N19" s="41"/>
      <c r="O19" s="41"/>
    </row>
    <row r="20" spans="1:15">
      <c r="A20" s="41"/>
      <c r="B20" s="674" t="s">
        <v>16719</v>
      </c>
      <c r="C20" s="675"/>
      <c r="D20" s="675"/>
      <c r="E20" s="124">
        <f>IFERROR((E15+E16)-E5,0)</f>
        <v>-0.99139835295515899</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-2460.6547201436765</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2023-01-12T09:44:15Z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