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
    </mc:Choice>
  </mc:AlternateContent>
  <xr:revisionPtr revIDLastSave="0" documentId="13_ncr:1_{0D8366C2-6D18-4AC4-B4A2-0D4C17E384F5}" xr6:coauthVersionLast="47" xr6:coauthVersionMax="47" xr10:uidLastSave="{00000000-0000-0000-0000-000000000000}"/>
  <bookViews>
    <workbookView xWindow="-28920" yWindow="-120" windowWidth="29040" windowHeight="17640" tabRatio="850"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<sst xmlns="http://schemas.openxmlformats.org/spreadsheetml/2006/main" count="55867" uniqueCount="16764">
  <si>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</si>
  <si>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</si>
  <si>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</si>
  <si>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</si>
  <si>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</si>
  <si>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</si>
  <si>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</si>
  <si>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</si>
  <si>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</si>
  <si>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</si>
  <si>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</si>
  <si>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</si>
  <si>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</si>
  <si>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</si>
  <si>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</si>
  <si>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</si>
  <si>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</si>
  <si>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</si>
  <si>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</si>
  <si>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</si>
  <si>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</si>
  <si>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</si>
  <si>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</si>
  <si>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</si>
  <si>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</si>
  <si>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</si>
  <si>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</si>
  <si>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</si>
  <si>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</si>
  <si>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</si>
  <si>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</si>
  <si>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</si>
  <si>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</si>
  <si>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</si>
  <si>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</si>
  <si>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</si>
  <si>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</si>
  <si>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</si>
  <si>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</si>
  <si>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</si>
  <si>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</si>
  <si>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</si>
  <si>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</si>
  <si>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</si>
  <si>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</si>
  <si>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</si>
  <si>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</si>
  <si>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</si>
  <si>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</si>
  <si>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</si>
  <si>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</si>
  <si>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</si>
  <si>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</si>
  <si>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</si>
  <si>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</si>
  <si>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</si>
  <si>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</si>
  <si>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</si>
  <si>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</si>
  <si>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</si>
  <si>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</si>
  <si>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</si>
  <si>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</si>
  <si>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</si>
  <si>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</si>
  <si>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</si>
  <si>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</si>
  <si>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</si>
  <si>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</si>
  <si>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</si>
  <si>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</si>
  <si>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</si>
  <si>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</si>
  <si>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</si>
  <si>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</si>
  <si>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</si>
  <si>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</si>
  <si>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</si>
  <si>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</si>
  <si>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</si>
  <si>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</si>
  <si>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</si>
  <si>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</si>
  <si>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</si>
  <si>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</si>
  <si>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</si>
  <si>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</si>
  <si>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</si>
  <si>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</si>
  <si>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</si>
  <si>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</si>
  <si>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</si>
  <si>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</si>
  <si>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</si>
  <si>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</si>
  <si>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</si>
  <si>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</si>
  <si>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</si>
  <si>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</si>
  <si>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</si>
  <si>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</si>
  <si>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</si>
  <si>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</si>
  <si>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</si>
  <si>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</si>
  <si>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</si>
  <si>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</si>
  <si>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</si>
  <si>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</si>
  <si>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</si>
  <si>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</si>
  <si>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</si>
  <si>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</si>
  <si>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</si>
  <si>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</si>
  <si>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</si>
  <si>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</si>
  <si>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</si>
  <si>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</si>
  <si>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</si>
  <si>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</si>
  <si>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</si>
  <si>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</si>
  <si>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</si>
  <si>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</si>
  <si>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</si>
  <si>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</si>
  <si>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</si>
  <si>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</si>
  <si>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</si>
  <si>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</si>
  <si>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</si>
  <si>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</si>
  <si>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</si>
  <si>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</si>
  <si>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</si>
  <si>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</si>
  <si>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</si>
  <si>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</si>
  <si>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</si>
  <si>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</si>
  <si>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</si>
  <si>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</si>
  <si>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</si>
  <si>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</si>
  <si>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</si>
  <si>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</si>
  <si>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</si>
  <si>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</si>
  <si>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</si>
  <si>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</si>
  <si>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</si>
  <si>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</si>
  <si>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</si>
  <si>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</si>
  <si>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</si>
  <si>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</si>
  <si>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</si>
  <si>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</si>
  <si>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</si>
  <si>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</si>
  <si>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</si>
  <si>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</si>
  <si>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</si>
  <si>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</si>
  <si>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</si>
  <si>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</si>
  <si>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</si>
  <si>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</si>
  <si>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</si>
  <si>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</si>
  <si>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</si>
  <si>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</si>
  <si>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</si>
  <si>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</si>
  <si>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</si>
  <si>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</si>
  <si>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</si>
  <si>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</si>
  <si>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</si>
  <si>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</si>
  <si>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</si>
  <si>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</si>
  <si>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</si>
  <si>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</si>
  <si>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</si>
  <si>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</si>
  <si>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</si>
  <si>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</si>
  <si>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</si>
  <si>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</si>
  <si>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</si>
  <si>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</si>
  <si>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</si>
  <si>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</si>
  <si>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</si>
  <si>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</si>
  <si>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</si>
  <si>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</si>
  <si>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</si>
  <si>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</si>
  <si>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</si>
  <si>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</si>
  <si>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</si>
  <si>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</si>
  <si>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</si>
  <si>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</si>
  <si>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</si>
  <si>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</si>
  <si>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</si>
  <si>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</si>
  <si>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</si>
  <si>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</si>
  <si>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</si>
  <si>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</si>
  <si>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</si>
  <si>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</si>
  <si>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</si>
  <si>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</si>
  <si>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</si>
  <si>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</si>
  <si>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</si>
  <si>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</si>
  <si>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</si>
  <si>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</si>
  <si>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</si>
  <si>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</si>
  <si>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</si>
  <si>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</si>
  <si>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</si>
  <si>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</si>
  <si>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</si>
  <si>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</si>
  <si>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</si>
  <si>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</si>
  <si>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</si>
  <si>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</si>
  <si>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</si>
  <si>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</si>
  <si>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</si>
  <si>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</si>
  <si>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</si>
  <si>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</si>
  <si>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</si>
  <si>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</si>
  <si>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</si>
  <si>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</si>
  <si>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</si>
  <si>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</si>
  <si>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</si>
  <si>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</si>
  <si>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</si>
  <si>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</si>
  <si>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</si>
  <si>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</si>
  <si>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</si>
  <si>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</si>
  <si>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</si>
  <si>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</si>
  <si>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</si>
  <si>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</si>
  <si>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</si>
  <si>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</si>
  <si>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</si>
  <si>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</si>
  <si>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</si>
  <si>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</si>
  <si>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</si>
  <si>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</si>
  <si>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</si>
  <si>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</si>
  <si>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</si>
  <si>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</si>
  <si>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</si>
  <si>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</si>
  <si>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</si>
  <si>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</si>
  <si>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</si>
  <si>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</si>
  <si>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</si>
  <si>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</si>
  <si>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</si>
  <si>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</si>
  <si>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</si>
  <si>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</si>
  <si>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</si>
  <si>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</si>
  <si>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</si>
  <si>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</si>
  <si>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</si>
  <si>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</si>
  <si>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</si>
  <si>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</si>
  <si>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</si>
  <si>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</si>
  <si>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</si>
  <si>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</si>
  <si>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</si>
  <si>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</si>
  <si>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</si>
  <si>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</si>
  <si>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</si>
  <si>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</si>
  <si>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</si>
  <si>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</si>
  <si>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</si>
  <si>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</si>
  <si>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</si>
  <si>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</si>
  <si>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</si>
  <si>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</si>
  <si>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</si>
  <si>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</si>
  <si>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</si>
  <si>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</si>
  <si>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</si>
  <si>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</si>
  <si>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</si>
  <si>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</si>
  <si>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</si>
  <si>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</si>
  <si>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</si>
  <si>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</si>
  <si>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</si>
  <si>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</si>
  <si>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</si>
  <si>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</si>
  <si>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</si>
  <si>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</si>
  <si>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</si>
  <si>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</si>
  <si>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</si>
  <si>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</si>
  <si>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</si>
  <si>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</si>
  <si>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</si>
  <si>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</si>
  <si>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</si>
  <si>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</si>
  <si>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</si>
  <si>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</si>
  <si>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</si>
  <si>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</si>
  <si>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</si>
  <si>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</si>
  <si>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</si>
  <si>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</si>
  <si>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</si>
  <si>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</si>
  <si>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</si>
  <si>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</si>
  <si>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</si>
  <si>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</si>
  <si>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</si>
  <si>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</si>
  <si>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</si>
  <si>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</si>
  <si>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</si>
  <si>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</si>
  <si>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</si>
  <si>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</si>
  <si>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</si>
  <si>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</si>
  <si>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</si>
  <si>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</si>
  <si>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</si>
  <si>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</si>
  <si>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</si>
  <si>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</si>
  <si>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</si>
  <si>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</si>
  <si>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</si>
  <si>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</si>
  <si>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</si>
  <si>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</si>
  <si>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</si>
  <si>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</si>
  <si>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</si>
  <si>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</si>
  <si>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</si>
  <si>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</si>
  <si>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</si>
  <si>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</si>
  <si>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</si>
  <si>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</si>
  <si>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</si>
  <si>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</si>
  <si>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</si>
  <si>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</si>
  <si>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</si>
  <si>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</si>
  <si>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</si>
  <si>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</si>
  <si>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</si>
  <si>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</si>
  <si>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</si>
  <si>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</si>
  <si>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</si>
  <si>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</si>
  <si>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</si>
  <si>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</si>
  <si>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</si>
  <si>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</si>
  <si>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</si>
  <si>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</si>
  <si>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</si>
  <si>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</si>
  <si>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</si>
  <si>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</si>
  <si>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</si>
  <si>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</si>
  <si>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</si>
  <si>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</si>
  <si>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</si>
  <si>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</si>
  <si>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</si>
  <si>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</si>
  <si>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</si>
  <si>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</si>
  <si>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</si>
  <si>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</si>
  <si>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</si>
  <si>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</si>
  <si>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</si>
  <si>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</si>
  <si>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</si>
  <si>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</si>
  <si>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</si>
  <si>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</si>
  <si>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</si>
  <si>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</si>
  <si>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</si>
  <si>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</si>
  <si>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</si>
  <si>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</si>
  <si>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</si>
  <si>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</si>
  <si>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</si>
  <si>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</si>
  <si>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</si>
  <si>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</si>
  <si>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</si>
  <si>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</si>
  <si>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</si>
  <si>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</si>
  <si>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</si>
  <si>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</si>
  <si>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</si>
  <si>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</si>
  <si>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</si>
  <si>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</si>
  <si>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</si>
  <si>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</si>
  <si>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</si>
  <si>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</si>
  <si>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</si>
  <si>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</si>
  <si>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</si>
  <si>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</si>
  <si>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</si>
  <si>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</si>
  <si>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</si>
  <si>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</si>
  <si>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</si>
  <si>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</si>
  <si>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</si>
  <si>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</si>
  <si>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</si>
  <si>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</si>
  <si>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</si>
  <si>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</si>
  <si>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</si>
  <si>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</si>
  <si>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</si>
  <si>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</si>
  <si>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</si>
  <si>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</si>
  <si>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</si>
  <si>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</si>
  <si>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</si>
  <si>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</si>
  <si>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</si>
  <si>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</si>
  <si>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</si>
  <si>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</si>
  <si>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</si>
  <si>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</si>
  <si>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</si>
  <si>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</si>
  <si>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</si>
  <si>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</si>
  <si>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</si>
  <si>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</si>
  <si>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</si>
  <si>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</si>
  <si>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</si>
  <si>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</si>
  <si>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</si>
  <si>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</si>
  <si>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</si>
  <si>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</si>
  <si>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</si>
  <si>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</si>
  <si>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</si>
  <si>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</si>
  <si>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</si>
  <si>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</si>
  <si>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</si>
  <si>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</si>
  <si>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</si>
  <si>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</si>
  <si>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</si>
  <si>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</si>
  <si>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</si>
  <si>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</si>
  <si>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</si>
  <si>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</si>
  <si>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</si>
  <si>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</si>
  <si>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</si>
  <si>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</si>
  <si>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</si>
  <si>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</si>
  <si>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</si>
  <si>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</si>
  <si>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</si>
  <si>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</si>
  <si>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</si>
  <si>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</si>
  <si>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</si>
  <si>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</si>
  <si>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</si>
  <si>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</si>
  <si>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</si>
  <si>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</si>
  <si>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</si>
  <si>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</si>
  <si>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</si>
  <si>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</si>
  <si>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</si>
  <si>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</si>
  <si>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</si>
  <si>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</si>
  <si>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</si>
  <si>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</si>
  <si>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</si>
  <si>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</si>
  <si>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</si>
  <si>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</si>
  <si>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</si>
  <si>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</si>
  <si>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</si>
  <si>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</si>
  <si>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</si>
  <si>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</si>
  <si>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</si>
  <si>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</si>
  <si>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</si>
  <si>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</si>
  <si>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</si>
  <si>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</si>
  <si>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</si>
  <si>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</si>
  <si>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</si>
  <si>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</si>
  <si>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</si>
  <si>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</si>
  <si>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</si>
  <si>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</si>
  <si>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</si>
  <si>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</si>
  <si>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</si>
  <si>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</si>
  <si>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</si>
  <si>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</si>
  <si>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</si>
  <si>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</si>
  <si>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</si>
  <si>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</si>
  <si>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</si>
  <si>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</si>
  <si>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</si>
  <si>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</si>
  <si>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</si>
  <si>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</si>
  <si>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</si>
  <si>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</si>
  <si>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</si>
  <si>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</si>
  <si>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</si>
  <si>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</si>
  <si>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</si>
  <si>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</si>
  <si>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</si>
  <si>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</si>
  <si>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</si>
  <si>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</si>
  <si>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</si>
  <si>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</si>
  <si>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</si>
  <si>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</si>
  <si>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</si>
  <si>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</si>
  <si>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</si>
  <si>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</si>
  <si>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</si>
  <si>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</si>
  <si>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</si>
  <si>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</si>
  <si>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</si>
  <si>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</si>
  <si>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</si>
  <si>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</si>
  <si>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</si>
  <si>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</si>
  <si>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</si>
  <si>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</si>
  <si>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</si>
  <si>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</si>
  <si>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</si>
  <si>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</si>
  <si>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</si>
  <si>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</si>
  <si>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</si>
  <si>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</si>
  <si>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</si>
  <si>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</si>
  <si>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</si>
  <si>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</si>
  <si>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</si>
  <si>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</si>
  <si>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</si>
  <si>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</si>
  <si>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</si>
  <si>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</si>
  <si>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</si>
  <si>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</si>
  <si>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</si>
  <si>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</si>
  <si>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</si>
  <si>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</si>
  <si>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</si>
  <si>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</si>
  <si>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</si>
  <si>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</si>
  <si>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</si>
  <si>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</si>
  <si>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</si>
  <si>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</si>
  <si>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</si>
  <si>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</si>
  <si>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</si>
  <si>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</si>
  <si>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</si>
  <si>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</si>
  <si>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</si>
  <si>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</si>
  <si>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</si>
  <si>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</si>
  <si>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</si>
  <si>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</si>
  <si>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</si>
  <si>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</si>
  <si>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</si>
  <si>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</si>
  <si>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</si>
  <si>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</si>
  <si>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</si>
  <si>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</si>
  <si>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</si>
  <si>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</si>
  <si>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</si>
  <si>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</si>
  <si>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</si>
  <si>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</si>
  <si>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</si>
  <si>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</si>
  <si>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</si>
  <si>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</si>
  <si>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</si>
  <si>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</si>
  <si>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</si>
  <si>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</si>
  <si>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</si>
  <si>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</si>
  <si>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</si>
  <si>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</si>
  <si>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</si>
  <si>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</si>
  <si>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</si>
  <si>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</si>
  <si>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</si>
  <si>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</si>
  <si>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</si>
  <si>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</si>
  <si>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</si>
  <si>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</si>
  <si>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</si>
  <si>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</si>
  <si>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</si>
  <si>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</si>
  <si>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</si>
  <si>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</si>
  <si>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</si>
  <si>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</si>
  <si>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</si>
  <si>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</si>
  <si>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</si>
  <si>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</si>
  <si>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</si>
  <si>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</si>
  <si>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</si>
  <si>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</si>
  <si>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</si>
  <si>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</si>
  <si>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</si>
  <si>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</si>
  <si>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</si>
  <si>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</si>
  <si>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</si>
  <si>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</si>
  <si>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</si>
  <si>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</si>
  <si>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</si>
  <si>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</si>
  <si>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</si>
  <si>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</si>
  <si>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</si>
  <si>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</si>
  <si>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</si>
  <si>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</si>
  <si>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</si>
  <si>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</si>
  <si>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</si>
  <si>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</si>
  <si>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</si>
  <si>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</si>
  <si>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</si>
  <si>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</si>
  <si>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</si>
  <si>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</si>
  <si>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</si>
  <si>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</si>
  <si>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</si>
  <si>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</si>
  <si>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</si>
  <si>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</si>
  <si>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</si>
  <si>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</si>
  <si>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</si>
  <si>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</si>
  <si>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</si>
  <si>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</si>
  <si>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</si>
  <si>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</si>
  <si>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</si>
  <si>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</si>
  <si>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</si>
  <si>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</si>
  <si>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</si>
  <si>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</si>
  <si>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</si>
  <si>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</si>
  <si>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</si>
  <si>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</si>
  <si>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</si>
  <si>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</si>
  <si>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</si>
  <si>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</si>
  <si>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</si>
  <si>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</si>
  <si>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</si>
  <si>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</si>
  <si>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</si>
  <si>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</si>
  <si>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</si>
  <si>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</si>
  <si>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</si>
  <si>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</si>
  <si>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</si>
  <si>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</si>
  <si>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</si>
  <si>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</si>
  <si>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</si>
  <si>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</si>
  <si>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</si>
  <si>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</si>
  <si>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</si>
  <si>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</si>
  <si>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</si>
  <si>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</si>
  <si>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</si>
  <si>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</si>
  <si>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</si>
  <si>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</si>
  <si>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</si>
  <si>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</si>
  <si>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</si>
  <si>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</si>
  <si>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</si>
  <si>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</si>
  <si>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</si>
  <si>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</si>
  <si>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</si>
  <si>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</si>
  <si>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</si>
  <si>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</si>
  <si>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</si>
  <si>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</si>
  <si>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</si>
  <si>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</si>
  <si>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</si>
  <si>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</si>
  <si>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</si>
  <si>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</si>
  <si>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</si>
  <si>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</si>
  <si>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</si>
  <si>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</si>
  <si>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</si>
  <si>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</si>
  <si>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</si>
  <si>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</si>
  <si>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</si>
  <si>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</si>
  <si>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</si>
  <si>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</si>
  <si>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</si>
  <si>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</si>
  <si>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</si>
  <si>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</si>
  <si>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</si>
  <si>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</si>
  <si>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</si>
  <si>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</si>
  <si>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</si>
  <si>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</si>
  <si>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</si>
  <si>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</si>
  <si>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</si>
  <si>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</si>
  <si>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</si>
  <si>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</si>
  <si>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</si>
  <si>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</si>
  <si>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</si>
  <si>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</si>
  <si>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</si>
  <si>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</si>
  <si>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</si>
  <si>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</si>
  <si>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</si>
  <si>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</si>
  <si>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</si>
  <si>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</si>
  <si>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</si>
  <si>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</si>
  <si>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</si>
  <si>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</si>
  <si>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</si>
  <si>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</si>
  <si>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</si>
  <si>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</si>
  <si>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</si>
  <si>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</si>
  <si>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</si>
  <si>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</si>
  <si>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</si>
  <si>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</si>
  <si>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</si>
  <si>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</si>
  <si>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</si>
  <si>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</si>
  <si>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</si>
  <si>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</si>
  <si>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</si>
  <si>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</si>
  <si>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</si>
  <si>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</si>
  <si>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</si>
  <si>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</si>
  <si>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</si>
  <si>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</si>
  <si>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</si>
  <si>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</si>
  <si>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</si>
  <si>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</si>
  <si>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</si>
  <si>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</si>
  <si>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</si>
  <si>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</si>
  <si>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</si>
  <si>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</si>
  <si>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</si>
  <si>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</si>
  <si>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</si>
  <si>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</si>
  <si>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</si>
  <si>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</si>
  <si>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</si>
  <si>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</si>
  <si>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</si>
  <si>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</si>
  <si>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</si>
  <si>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</si>
  <si>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</si>
  <si>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</si>
  <si>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</si>
  <si>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</si>
  <si>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</si>
  <si>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</si>
  <si>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</si>
  <si>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</si>
  <si>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</si>
  <si>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</si>
  <si>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</si>
  <si>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</si>
  <si>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</si>
  <si>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</si>
  <si>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</si>
  <si>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</si>
  <si>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</si>
  <si>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</si>
  <si>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</si>
  <si>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</si>
  <si>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</si>
  <si>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</si>
  <si>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</si>
  <si>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</si>
  <si>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</si>
  <si>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</si>
  <si>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</si>
  <si>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</si>
  <si>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</si>
  <si>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</si>
  <si>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</si>
  <si>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</si>
  <si>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</si>
  <si>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</si>
  <si>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</si>
  <si>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</si>
  <si>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</si>
  <si>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</si>
  <si>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</si>
  <si>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</si>
  <si>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</si>
  <si>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</si>
  <si>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</si>
  <si>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</si>
  <si>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</si>
  <si>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</si>
  <si>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</si>
  <si>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</si>
  <si>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</si>
  <si>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</si>
  <si>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</si>
  <si>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</si>
  <si>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</si>
  <si>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</si>
  <si>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</si>
  <si>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</si>
  <si>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</si>
  <si>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</si>
  <si>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</si>
  <si>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</si>
  <si>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</si>
  <si>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</si>
  <si>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</si>
  <si>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</si>
  <si>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</si>
  <si>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</si>
  <si>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</si>
  <si>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</si>
  <si>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</si>
  <si>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</si>
  <si>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</si>
  <si>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</si>
  <si>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</si>
  <si>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</si>
  <si>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</si>
  <si>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</si>
  <si>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</si>
  <si>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</si>
  <si>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</si>
  <si>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</si>
  <si>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</si>
  <si>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</si>
  <si>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</si>
  <si>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</si>
  <si>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</si>
  <si>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</si>
  <si>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</si>
  <si>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</si>
  <si>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</si>
  <si>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</si>
  <si>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</si>
  <si>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</si>
  <si>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</si>
  <si>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</si>
  <si>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</si>
  <si>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</si>
  <si>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</si>
  <si>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</si>
  <si>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</si>
  <si>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</si>
  <si>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</si>
  <si>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</si>
  <si>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</si>
  <si>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</si>
  <si>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</si>
  <si>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</si>
  <si>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</si>
  <si>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</si>
  <si>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</si>
  <si>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</si>
  <si>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</si>
  <si>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</si>
  <si>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</si>
  <si>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</si>
  <si>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</si>
  <si>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</si>
  <si>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</si>
  <si>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</si>
  <si>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</si>
  <si>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</si>
  <si>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</si>
  <si>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</si>
  <si>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</si>
  <si>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</si>
  <si>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</si>
  <si>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</si>
  <si>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</si>
  <si>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</si>
  <si>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</si>
  <si>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</si>
  <si>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</si>
  <si>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</si>
  <si>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</si>
  <si>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</si>
  <si>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</si>
  <si>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</si>
  <si>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</si>
  <si>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</si>
  <si>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</si>
  <si>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</si>
  <si>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</si>
  <si>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</si>
  <si>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</si>
  <si>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</si>
  <si>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</si>
  <si>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</si>
  <si>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</si>
  <si>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</si>
  <si>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</si>
  <si>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</si>
  <si>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</si>
  <si>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</si>
  <si>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</si>
  <si>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</si>
  <si>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</si>
  <si>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</si>
  <si>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</si>
  <si>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</si>
  <si>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</si>
  <si>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</si>
  <si>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</si>
  <si>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</si>
  <si>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</si>
  <si>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</si>
  <si>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</si>
  <si>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</si>
  <si>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</si>
  <si>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</si>
  <si>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</si>
  <si>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</si>
  <si>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</si>
  <si>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</si>
  <si>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</si>
  <si>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</si>
  <si>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</si>
  <si>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</si>
  <si>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</si>
  <si>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</si>
  <si>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</si>
  <si>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</si>
  <si>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</si>
  <si>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</si>
  <si>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</si>
  <si>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</si>
  <si>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</si>
  <si>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</si>
  <si>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</si>
  <si>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</si>
  <si>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</si>
  <si>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</si>
  <si>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</si>
  <si>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</si>
  <si>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</si>
  <si>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</si>
  <si>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</si>
  <si>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</si>
  <si>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</si>
  <si>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</si>
  <si>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</si>
  <si>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</si>
  <si>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</si>
  <si>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</si>
  <si>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</si>
  <si>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</si>
  <si>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</si>
  <si>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</si>
  <si>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</si>
  <si>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</si>
  <si>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</si>
  <si>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</si>
  <si>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</si>
  <si>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</si>
  <si>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</si>
  <si>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</si>
  <si>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</si>
  <si>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</si>
  <si>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</si>
  <si>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</si>
  <si>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</si>
  <si>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</si>
  <si>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</si>
  <si>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</si>
  <si>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</si>
  <si>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</si>
  <si>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</si>
  <si>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</si>
  <si>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</si>
  <si>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</si>
  <si>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</si>
  <si>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</si>
  <si>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</si>
  <si>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</si>
  <si>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</si>
  <si>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</si>
  <si>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</si>
  <si>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</si>
  <si>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</si>
  <si>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</si>
  <si>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</si>
  <si>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</si>
  <si>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</si>
  <si>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</si>
  <si>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</si>
  <si>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</si>
  <si>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</si>
  <si>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</si>
  <si>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</si>
  <si>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</si>
  <si>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</si>
  <si>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</si>
  <si>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</si>
  <si>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</si>
  <si>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</si>
  <si>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</si>
  <si>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</si>
  <si>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</si>
  <si>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</si>
  <si>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</si>
  <si>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</si>
  <si>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</si>
  <si>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</si>
  <si>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</si>
  <si>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</si>
  <si>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</si>
  <si>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</si>
  <si>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</si>
  <si>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</si>
  <si>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</si>
  <si>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</si>
  <si>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</si>
  <si>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</si>
  <si>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</si>
  <si>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</si>
  <si>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</si>
  <si>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</si>
  <si>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</si>
  <si>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</si>
  <si>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</si>
  <si>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</si>
  <si>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</si>
  <si>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</si>
  <si>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</si>
  <si>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</si>
  <si>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</si>
  <si>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</si>
  <si>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</si>
  <si>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</si>
  <si>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</si>
  <si>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</si>
  <si>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</si>
  <si>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</si>
  <si>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</si>
  <si>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</si>
  <si>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</si>
  <si>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</si>
  <si>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</si>
  <si>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</si>
  <si>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</si>
  <si>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</si>
  <si>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</si>
  <si>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</si>
  <si>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</si>
  <si>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</si>
  <si>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</si>
  <si>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</si>
  <si>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</si>
  <si>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</si>
  <si>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</si>
  <si>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</si>
  <si>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</si>
  <si>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</si>
  <si>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</si>
  <si>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</si>
  <si>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</si>
  <si>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</si>
  <si>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</si>
  <si>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</si>
  <si>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</si>
  <si>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</si>
  <si>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</si>
  <si>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</si>
  <si>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</si>
  <si>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</si>
  <si>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</si>
  <si>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</si>
  <si>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</si>
  <si>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</si>
  <si>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</si>
  <si>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</si>
  <si>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</si>
  <si>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</si>
  <si>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</si>
  <si>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</si>
  <si>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</si>
  <si>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</si>
  <si>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</si>
  <si>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</si>
  <si>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</si>
  <si>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</si>
  <si>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</si>
  <si>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</si>
  <si>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</si>
  <si>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</si>
  <si>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</si>
  <si>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</si>
  <si>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</si>
  <si>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</si>
  <si>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</si>
  <si>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</si>
  <si>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</si>
  <si>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</si>
  <si>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</si>
  <si>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</si>
  <si>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</si>
  <si>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</si>
  <si>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</si>
  <si>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</si>
  <si>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</si>
  <si>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</si>
  <si>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</si>
  <si>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</si>
  <si>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</si>
  <si>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</si>
  <si>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</si>
  <si>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</si>
  <si>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</si>
  <si>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</si>
  <si>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</si>
  <si>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</si>
  <si>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</si>
  <si>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</si>
  <si>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</si>
  <si>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</si>
  <si>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</si>
  <si>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</si>
  <si>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</si>
  <si>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</si>
  <si>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</si>
  <si>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</si>
  <si>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</si>
  <si>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</si>
  <si>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</si>
  <si>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</si>
  <si>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</si>
  <si>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</si>
  <si>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</si>
  <si>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</si>
  <si>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</si>
  <si>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</si>
  <si>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</si>
  <si>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</si>
  <si>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</si>
  <si>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</si>
  <si>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</si>
  <si>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</si>
  <si>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</si>
  <si>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</si>
  <si>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</si>
  <si>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</si>
  <si>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</si>
  <si>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</si>
  <si>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</si>
  <si>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</si>
  <si>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</si>
  <si>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</si>
  <si>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</si>
  <si>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</si>
  <si>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</si>
  <si>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</si>
  <si>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</si>
  <si>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</si>
  <si>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</si>
  <si>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</si>
  <si>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</si>
  <si>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</si>
  <si>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</si>
  <si>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</si>
  <si>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</si>
  <si>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</si>
  <si>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</si>
  <si>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</si>
  <si>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</si>
  <si>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</si>
  <si>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</si>
  <si>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</si>
  <si>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</si>
  <si>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</si>
  <si>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</si>
  <si>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</si>
  <si>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</si>
  <si>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</si>
  <si>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</si>
  <si>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</si>
  <si>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</si>
  <si>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</si>
  <si>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</si>
  <si>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</si>
  <si>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</si>
  <si>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</si>
  <si>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</si>
  <si>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</si>
  <si>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</si>
  <si>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</si>
  <si>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</si>
  <si>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</si>
  <si>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</si>
  <si>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</si>
  <si>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</si>
  <si>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</si>
  <si>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</si>
  <si>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</si>
  <si>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</si>
  <si>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</si>
  <si>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</si>
  <si>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</si>
  <si>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</si>
  <si>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</si>
  <si>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</si>
  <si>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</si>
  <si>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</si>
  <si>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</si>
  <si>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</si>
  <si>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</si>
  <si>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</si>
  <si>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</si>
  <si>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</si>
  <si>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</si>
  <si>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</si>
  <si>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</si>
  <si>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</si>
  <si>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</si>
  <si>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</si>
  <si>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</si>
  <si>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</si>
  <si>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</si>
  <si>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</si>
  <si>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</si>
  <si>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</si>
  <si>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</si>
  <si>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</si>
  <si>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</si>
  <si>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</si>
  <si>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</si>
  <si>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</si>
  <si>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</si>
  <si>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</si>
  <si>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</si>
  <si>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</si>
  <si>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</si>
  <si>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</si>
  <si>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</si>
  <si>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</si>
  <si>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</si>
  <si>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</si>
  <si>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</si>
  <si>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</si>
  <si>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</si>
  <si>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</si>
  <si>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</si>
  <si>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</si>
  <si>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</si>
  <si>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</si>
  <si>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</si>
  <si>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</si>
  <si>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</si>
  <si>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</si>
  <si>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</si>
  <si>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</si>
  <si>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</si>
  <si>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</si>
  <si>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</si>
  <si>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</si>
  <si>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</si>
  <si>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</si>
  <si>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</si>
  <si>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</si>
  <si>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</si>
  <si>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</si>
  <si>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</si>
  <si>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</si>
  <si>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</si>
  <si>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</si>
  <si>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</si>
  <si>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</si>
  <si>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</si>
  <si>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</si>
  <si>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</si>
  <si>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</si>
  <si>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</si>
  <si>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</si>
  <si>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</si>
  <si>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</si>
  <si>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</si>
  <si>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</si>
  <si>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</si>
  <si>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</si>
  <si>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</si>
  <si>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</si>
  <si>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</si>
  <si>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</si>
  <si>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</si>
  <si>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</si>
  <si>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</si>
  <si>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</si>
  <si>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</si>
  <si>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</si>
  <si>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</si>
  <si>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</si>
  <si>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</si>
  <si>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</si>
  <si>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</si>
  <si>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</si>
  <si>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</si>
  <si>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</si>
  <si>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</si>
  <si>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</si>
  <si>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</si>
  <si>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</si>
  <si>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</si>
  <si>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</si>
  <si>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</si>
  <si>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</si>
  <si>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</si>
  <si>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</si>
  <si>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</si>
  <si>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</si>
  <si>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</si>
  <si>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</si>
  <si>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</si>
  <si>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</si>
  <si>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</si>
  <si>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</si>
  <si>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</si>
  <si>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</si>
  <si>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</si>
  <si>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</si>
  <si>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</si>
  <si>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</si>
  <si>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</si>
  <si>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</si>
  <si>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</si>
  <si>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</si>
  <si>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</si>
  <si>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</si>
  <si>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</si>
  <si>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</si>
  <si>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</si>
  <si>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</si>
  <si>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</si>
  <si>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</si>
  <si>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</si>
  <si>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</si>
  <si>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</si>
  <si>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</si>
  <si>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</si>
  <si>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</si>
  <si>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</si>
  <si>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</si>
  <si>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</si>
  <si>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</si>
  <si>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</si>
  <si>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</si>
  <si>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</si>
  <si>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</si>
  <si>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</si>
  <si>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</si>
  <si>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</si>
  <si>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</si>
  <si>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</si>
  <si>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</si>
  <si>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</si>
  <si>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</si>
  <si>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</si>
  <si>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</si>
  <si>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</si>
  <si>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</si>
  <si>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</si>
  <si>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</si>
  <si>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</si>
  <si>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</si>
  <si>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</si>
  <si>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</si>
  <si>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</si>
  <si>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</si>
  <si>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</si>
  <si>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</si>
  <si>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</si>
  <si>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</si>
  <si>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</si>
  <si>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</si>
  <si>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</si>
  <si>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</si>
  <si>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</si>
  <si>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</si>
  <si>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</si>
  <si>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</si>
  <si>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</si>
  <si>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</si>
  <si>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</si>
  <si>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</si>
  <si>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</si>
  <si>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</si>
  <si>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</si>
  <si>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</si>
  <si>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</si>
  <si>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</si>
  <si>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</si>
  <si>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</si>
  <si>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</si>
  <si>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</si>
  <si>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</si>
  <si>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</si>
  <si>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</si>
  <si>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</si>
  <si>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</si>
  <si>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</si>
  <si>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</si>
  <si>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</si>
  <si>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</si>
  <si>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</si>
  <si>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</si>
  <si>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</si>
  <si>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</si>
  <si>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</si>
  <si>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</si>
  <si>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</si>
  <si>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</si>
  <si>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</si>
  <si>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</si>
  <si>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</si>
  <si>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</si>
  <si>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</si>
  <si>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</si>
  <si>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</si>
  <si>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</si>
  <si>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</si>
  <si>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</si>
  <si>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</si>
  <si>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</si>
  <si>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</si>
  <si>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</si>
  <si>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</si>
  <si>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</si>
  <si>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</si>
  <si>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</si>
  <si>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</si>
  <si>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</si>
  <si>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</si>
  <si>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</si>
  <si>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</si>
  <si>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</si>
  <si>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</si>
  <si>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</si>
  <si>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</si>
  <si>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</si>
  <si>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</si>
  <si>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</si>
  <si>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</si>
  <si>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</si>
  <si>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</si>
  <si>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</si>
  <si>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</si>
  <si>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</si>
  <si>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</si>
  <si>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</si>
  <si>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</si>
  <si>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</si>
  <si>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</si>
  <si>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</si>
  <si>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</si>
  <si>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</si>
  <si>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</si>
  <si>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</si>
  <si>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</si>
  <si>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</si>
  <si>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</si>
  <si>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</si>
  <si>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</si>
  <si>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</si>
  <si>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</si>
  <si>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</si>
  <si>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</si>
  <si>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</si>
  <si>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</si>
  <si>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</si>
  <si>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</si>
  <si>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</si>
  <si>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</si>
  <si>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</si>
  <si>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</si>
  <si>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</si>
  <si>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</si>
  <si>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</si>
  <si>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</si>
  <si>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</si>
  <si>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</si>
  <si>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</si>
  <si>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</si>
  <si>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</si>
  <si>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</si>
  <si>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</si>
  <si>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</si>
  <si>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</si>
  <si>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</si>
  <si>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</si>
  <si>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</si>
  <si>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</si>
  <si>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</si>
  <si>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</si>
  <si>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</si>
  <si>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</si>
  <si>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</si>
  <si>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</si>
  <si>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</si>
  <si>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</si>
  <si>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</si>
  <si>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</si>
  <si>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</si>
  <si>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</si>
  <si>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</si>
  <si>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</si>
  <si>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</si>
  <si>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</si>
  <si>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</si>
  <si>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</si>
  <si>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</si>
  <si>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</si>
  <si>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</si>
  <si>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</si>
  <si>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</si>
  <si>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</si>
  <si>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</si>
  <si>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</si>
  <si>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</si>
  <si>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</si>
  <si>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</si>
  <si>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</si>
  <si>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</si>
  <si>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</si>
  <si>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</si>
  <si>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</si>
  <si>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</si>
  <si>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</si>
  <si>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</si>
  <si>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</si>
  <si>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</si>
  <si>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</si>
  <si>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</si>
  <si>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</si>
  <si>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</si>
  <si>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</si>
  <si>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</si>
  <si>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</si>
  <si>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</si>
  <si>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</si>
  <si>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</si>
  <si>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</si>
  <si>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</si>
  <si>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</si>
  <si>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</si>
  <si>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</si>
  <si>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</si>
  <si>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</si>
  <si>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</si>
  <si>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</si>
  <si>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</si>
  <si>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</si>
  <si>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</si>
  <si>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</si>
  <si>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</si>
  <si>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</si>
  <si>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</si>
  <si>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</si>
  <si>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</si>
  <si>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</si>
  <si>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</si>
  <si>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</si>
  <si>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</si>
  <si>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</si>
  <si>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</si>
  <si>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</si>
  <si>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</si>
  <si>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</si>
  <si>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</si>
  <si>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</si>
  <si>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</si>
  <si>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</si>
  <si>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</si>
  <si>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</si>
  <si>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</si>
  <si>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</si>
  <si>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</si>
  <si>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</si>
  <si>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</si>
  <si>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</si>
  <si>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</si>
  <si>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</si>
  <si>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</si>
  <si>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</si>
  <si>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</si>
  <si>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</si>
  <si>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</si>
  <si>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</si>
  <si>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</si>
  <si>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</si>
  <si>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</si>
  <si>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</si>
  <si>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</si>
  <si>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</si>
  <si>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</si>
  <si>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</si>
  <si>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</si>
  <si>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</si>
  <si>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</si>
  <si>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</si>
  <si>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</si>
  <si>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</si>
  <si>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</si>
  <si>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</si>
  <si>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</si>
  <si>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</si>
  <si>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</si>
  <si>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</si>
  <si>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</si>
  <si>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</si>
  <si>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</si>
  <si>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</si>
  <si>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</si>
  <si>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</si>
  <si>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</si>
  <si>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</si>
  <si>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</si>
  <si>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</si>
  <si>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</si>
  <si>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</si>
  <si>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</si>
  <si>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</si>
  <si>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</si>
  <si>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</si>
  <si>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</si>
  <si>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</si>
  <si>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</si>
  <si>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</si>
  <si>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</si>
  <si>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</si>
  <si>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</si>
  <si>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</si>
  <si>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</si>
  <si>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</si>
  <si>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</si>
  <si>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</si>
  <si>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</si>
  <si>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</si>
  <si>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</si>
  <si>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</si>
  <si>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</si>
  <si>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</si>
  <si>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</si>
  <si>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</si>
  <si>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</si>
  <si>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</si>
  <si>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</si>
  <si>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</si>
  <si>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</si>
  <si>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</si>
  <si>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</si>
  <si>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</si>
  <si>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</si>
  <si>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</si>
  <si>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</si>
  <si>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</si>
  <si>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</si>
  <si>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</si>
  <si>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</si>
  <si>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</si>
  <si>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</si>
  <si>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</si>
  <si>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</si>
  <si>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</si>
  <si>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</si>
  <si>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</si>
  <si>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</si>
  <si>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</si>
  <si>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</si>
  <si>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</si>
  <si>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</si>
  <si>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</si>
  <si>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</si>
  <si>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</si>
  <si>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</si>
  <si>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</si>
  <si>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</si>
  <si>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</si>
  <si>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</si>
  <si>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</si>
  <si>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</si>
  <si>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</si>
  <si>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</si>
  <si>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</si>
  <si>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</si>
  <si>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</si>
  <si>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</si>
  <si>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</si>
  <si>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</si>
  <si>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</si>
  <si>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</si>
  <si>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</si>
  <si>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</si>
  <si>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</si>
  <si>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</si>
  <si>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</si>
  <si>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</si>
  <si>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</si>
  <si>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</si>
  <si>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</si>
  <si>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</si>
  <si>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</si>
  <si>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</si>
  <si>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</si>
  <si>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</si>
  <si>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</si>
  <si>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</si>
  <si>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</si>
  <si>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</si>
  <si>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</si>
  <si>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</si>
  <si>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</si>
  <si>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</si>
  <si>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</si>
  <si>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</si>
  <si>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</si>
  <si>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</si>
  <si>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</si>
  <si>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</si>
  <si>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</si>
  <si>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</si>
  <si>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</si>
  <si>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</si>
  <si>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</si>
  <si>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</si>
  <si>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</si>
  <si>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</si>
  <si>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</si>
  <si>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</si>
  <si>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</si>
  <si>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</si>
  <si>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</si>
  <si>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</si>
  <si>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</si>
  <si>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</si>
  <si>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</si>
  <si>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</si>
  <si>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</si>
  <si>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</si>
  <si>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</si>
  <si>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</si>
  <si>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</si>
  <si>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</si>
  <si>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</si>
  <si>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</si>
  <si>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</si>
  <si>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</si>
  <si>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</si>
  <si>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</si>
  <si>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</si>
  <si>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</si>
  <si>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</si>
  <si>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</si>
  <si>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</si>
  <si>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</si>
  <si>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</si>
  <si>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</si>
  <si>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</si>
  <si>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</si>
  <si>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</si>
  <si>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</si>
  <si>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</si>
  <si>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</si>
  <si>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</si>
  <si>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</si>
  <si>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</si>
  <si>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</si>
  <si>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</si>
  <si>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</si>
  <si>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</si>
  <si>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</si>
  <si>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</si>
  <si>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</si>
  <si>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</si>
  <si>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</si>
  <si>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</si>
  <si>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</si>
  <si>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</si>
  <si>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</si>
  <si>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</si>
  <si>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</si>
  <si>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</si>
  <si>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</si>
  <si>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</si>
  <si>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</si>
  <si>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</si>
  <si>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</si>
  <si>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</si>
  <si>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</si>
  <si>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</si>
  <si>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</si>
  <si>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</si>
  <si>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</si>
  <si>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</si>
  <si>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</si>
  <si>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</si>
  <si>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</si>
  <si>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</si>
  <si>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</si>
  <si>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</si>
  <si>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</si>
  <si>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</si>
  <si>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</si>
  <si>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</si>
  <si>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</si>
  <si>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</si>
  <si>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</si>
  <si>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</si>
  <si>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</si>
  <si>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</si>
  <si>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</si>
  <si>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</si>
  <si>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</si>
  <si>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</si>
  <si>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</si>
  <si>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</si>
  <si>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</si>
  <si>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</si>
  <si>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</si>
  <si>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</si>
  <si>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</si>
  <si>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</si>
  <si>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</si>
  <si>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</si>
  <si>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</si>
  <si>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</si>
  <si>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</si>
  <si>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</si>
  <si>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</si>
  <si>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</si>
  <si>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</si>
  <si>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</si>
  <si>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</si>
  <si>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</si>
  <si>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</si>
  <si>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</si>
  <si>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</si>
  <si>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</si>
  <si>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</si>
  <si>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</si>
  <si>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</si>
  <si>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</si>
  <si>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</si>
  <si>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</si>
  <si>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</si>
  <si>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</si>
  <si>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</si>
  <si>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</si>
  <si>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</si>
  <si>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</si>
  <si>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</si>
  <si>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</si>
  <si>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</si>
  <si>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</si>
  <si>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</si>
  <si>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</si>
  <si>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</si>
  <si>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</si>
  <si>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</si>
  <si>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</si>
  <si>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</si>
  <si>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</si>
  <si>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</si>
  <si>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</si>
  <si>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</si>
  <si>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</si>
  <si>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</si>
  <si>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</si>
  <si>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</si>
  <si>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</si>
  <si>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</si>
  <si>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</si>
  <si>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</si>
  <si>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</si>
  <si>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</si>
  <si>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</si>
  <si>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</si>
  <si>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</si>
  <si>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</si>
  <si>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</si>
  <si>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</si>
  <si>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</si>
  <si>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</si>
  <si>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</si>
  <si>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</si>
  <si>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</si>
  <si>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</si>
  <si>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</si>
  <si>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</si>
  <si>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</si>
  <si>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</si>
  <si>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</si>
  <si>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</si>
  <si>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</si>
  <si>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</si>
  <si>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</si>
  <si>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</si>
  <si>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</si>
  <si>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</si>
  <si>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</si>
  <si>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</si>
  <si>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</si>
  <si>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</si>
  <si>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</si>
  <si>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</si>
  <si>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</si>
  <si>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</si>
  <si>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</si>
  <si>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</si>
  <si>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</si>
  <si>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</si>
  <si>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</si>
  <si>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</si>
  <si>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</si>
  <si>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</si>
  <si>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</si>
  <si>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</si>
  <si>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</si>
  <si>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</si>
  <si>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</si>
  <si>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</si>
  <si>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</si>
  <si>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</si>
  <si>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</si>
  <si>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</si>
  <si>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</si>
  <si>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</si>
  <si>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</si>
  <si>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</si>
  <si>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</si>
  <si>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</si>
  <si>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</si>
  <si>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</si>
  <si>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</si>
  <si>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</si>
  <si>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</si>
  <si>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</si>
  <si>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</si>
  <si>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</si>
  <si>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</si>
  <si>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</si>
  <si>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</si>
  <si>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</si>
  <si>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</si>
  <si>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</si>
  <si>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</si>
  <si>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</si>
  <si>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</si>
  <si>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</si>
  <si>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</si>
  <si>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</si>
  <si>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</si>
  <si>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</si>
  <si>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</si>
  <si>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</si>
  <si>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</si>
  <si>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</si>
  <si>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</si>
  <si>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</si>
  <si>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</si>
  <si>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</si>
  <si>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</si>
  <si>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</si>
  <si>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</si>
  <si>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</si>
  <si>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</si>
  <si>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</si>
  <si>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</si>
  <si>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</si>
  <si>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</si>
  <si>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</si>
  <si>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</si>
  <si>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</si>
  <si>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</si>
  <si>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</si>
  <si>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</si>
  <si>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</si>
  <si>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</si>
  <si>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</si>
  <si>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</si>
  <si>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</si>
  <si>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</si>
  <si>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</si>
  <si>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</si>
  <si>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</si>
  <si>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</si>
  <si>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</si>
  <si>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</si>
  <si>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</si>
  <si>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</si>
  <si>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</si>
  <si>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</si>
  <si>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</si>
  <si>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</si>
  <si>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</si>
  <si>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</si>
  <si>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</si>
  <si>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</si>
  <si>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</si>
  <si>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</si>
  <si>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</si>
  <si>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</si>
  <si>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</si>
  <si>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</si>
  <si>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</si>
  <si>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</si>
  <si>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</si>
  <si>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</si>
  <si>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</si>
  <si>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</si>
  <si>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</si>
  <si>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</si>
  <si>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</si>
  <si>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</si>
  <si>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</si>
  <si>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</si>
  <si>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</si>
  <si>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</si>
  <si>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</si>
  <si>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</si>
  <si>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</si>
  <si>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</si>
  <si>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</si>
  <si>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</si>
  <si>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</si>
  <si>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</si>
  <si>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</si>
  <si>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</si>
  <si>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</si>
  <si>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</si>
  <si>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</si>
  <si>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</si>
  <si>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</si>
  <si>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</si>
  <si>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</si>
  <si>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</si>
  <si>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</si>
  <si>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</si>
  <si>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</si>
  <si>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</si>
  <si>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</si>
  <si>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</si>
  <si>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</si>
  <si>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</si>
  <si>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</si>
  <si>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</si>
  <si>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</si>
  <si>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</si>
  <si>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</si>
  <si>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</si>
  <si>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</si>
  <si>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</si>
  <si>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</si>
  <si>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</si>
  <si>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</si>
  <si>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</si>
  <si>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</si>
  <si>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</si>
  <si>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</si>
  <si>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</si>
  <si>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</si>
  <si>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</si>
  <si>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</si>
  <si>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</si>
  <si>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</si>
  <si>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</si>
  <si>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</si>
  <si>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</si>
  <si>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</si>
  <si>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</si>
  <si>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</si>
  <si>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</si>
  <si>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</si>
  <si>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</si>
  <si>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</si>
  <si>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</si>
  <si>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</si>
  <si>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</si>
  <si>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</si>
  <si>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</si>
  <si>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</si>
  <si>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</si>
  <si>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</si>
  <si>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</si>
  <si>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</si>
  <si>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</si>
  <si>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</si>
  <si>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</si>
  <si>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</si>
  <si>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</si>
  <si>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</si>
  <si>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</si>
  <si>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</si>
  <si>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</si>
  <si>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</si>
  <si>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</si>
  <si>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</si>
  <si>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</si>
  <si>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</si>
  <si>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</si>
  <si>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</si>
  <si>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</si>
  <si>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</si>
  <si>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</si>
  <si>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</si>
  <si>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</si>
  <si>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</si>
  <si>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</si>
  <si>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</si>
  <si>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</si>
  <si>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</si>
  <si>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</si>
  <si>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</si>
  <si>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</si>
  <si>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</si>
  <si>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</si>
  <si>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</si>
  <si>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</si>
  <si>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</si>
  <si>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</si>
  <si>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</si>
  <si>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</si>
  <si>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</si>
  <si>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</si>
  <si>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</si>
  <si>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</si>
  <si>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</si>
  <si>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</si>
  <si>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</si>
  <si>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</si>
  <si>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</si>
  <si>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</si>
  <si>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</si>
  <si>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</si>
  <si>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</si>
  <si>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</si>
  <si>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</si>
  <si>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</si>
  <si>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</si>
  <si>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</si>
  <si>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</si>
  <si>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</si>
  <si>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</si>
  <si>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</si>
  <si>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</si>
  <si>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</si>
  <si>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</si>
  <si>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</si>
  <si>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</si>
  <si>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</si>
  <si>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</si>
  <si>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</si>
  <si>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</si>
  <si>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</si>
  <si>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</si>
  <si>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</si>
  <si>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</si>
  <si>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</si>
  <si>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</si>
  <si>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</si>
  <si>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</si>
  <si>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</si>
  <si>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</si>
  <si>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</si>
  <si>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</si>
  <si>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</si>
  <si>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</si>
  <si>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</si>
  <si>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</si>
  <si>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</si>
  <si>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</si>
  <si>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</si>
  <si>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</si>
  <si>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</si>
  <si>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</si>
  <si>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</si>
  <si>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</si>
  <si>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</si>
  <si>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</si>
  <si>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</si>
  <si>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</si>
  <si>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</si>
  <si>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</si>
  <si>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</si>
  <si>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</si>
  <si>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</si>
  <si>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</si>
  <si>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</si>
  <si>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</si>
  <si>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</si>
  <si>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</si>
  <si>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</si>
  <si>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</si>
  <si>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</si>
  <si>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</si>
  <si>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</si>
  <si>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</si>
  <si>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</si>
  <si>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</si>
  <si>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</si>
  <si>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</si>
  <si>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</si>
  <si>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</si>
  <si>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</si>
  <si>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</si>
  <si>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</si>
  <si>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</si>
  <si>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</si>
  <si>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</si>
  <si>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</si>
  <si>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</si>
  <si>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</si>
  <si>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</si>
  <si>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</si>
  <si>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</si>
  <si>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</si>
  <si>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</si>
  <si>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</si>
  <si>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</si>
  <si>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</si>
  <si>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</si>
  <si>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</si>
  <si>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</si>
  <si>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</si>
  <si>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</si>
  <si>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</si>
  <si>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</si>
  <si>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</si>
  <si>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</si>
  <si>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</si>
  <si>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</si>
  <si>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</si>
  <si>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</si>
  <si>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</si>
  <si>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</si>
  <si>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</si>
  <si>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</si>
  <si>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</si>
  <si>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</si>
  <si>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</si>
  <si>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</si>
  <si>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</si>
  <si>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</si>
  <si>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</si>
  <si>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</si>
  <si>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</si>
  <si>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</si>
  <si>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</si>
  <si>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</si>
  <si>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</si>
  <si>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</si>
  <si>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</si>
  <si>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</si>
  <si>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</si>
  <si>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</si>
  <si>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</si>
  <si>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</si>
  <si>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</si>
  <si>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</si>
  <si>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</si>
  <si>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</si>
  <si>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</si>
  <si>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</si>
  <si>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</si>
  <si>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</si>
  <si>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</si>
  <si>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</si>
  <si>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</si>
  <si>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</si>
  <si>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</si>
  <si>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</si>
  <si>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</si>
  <si>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</si>
  <si>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</si>
  <si>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</si>
  <si>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</si>
  <si>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</si>
  <si>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</si>
  <si>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</si>
  <si>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</si>
  <si>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</si>
  <si>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</si>
  <si>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</si>
  <si>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</si>
  <si>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</si>
  <si>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</si>
  <si>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</si>
  <si>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</si>
  <si>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</si>
  <si>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</si>
  <si>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</si>
  <si>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</si>
  <si>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</si>
  <si>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</si>
  <si>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</si>
  <si>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</si>
  <si>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</si>
  <si>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</si>
  <si>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</si>
  <si>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</si>
  <si>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</si>
  <si>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</si>
  <si>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</si>
  <si>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</si>
  <si>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</si>
  <si>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</si>
  <si>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</si>
  <si>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</si>
  <si>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</si>
  <si>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</si>
  <si>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</si>
  <si>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</si>
  <si>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</si>
  <si>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</si>
  <si>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</si>
  <si>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</si>
  <si>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</si>
  <si>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</si>
  <si>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</si>
  <si>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</si>
  <si>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</si>
  <si>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</si>
  <si>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</si>
  <si>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</si>
  <si>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</si>
  <si>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</si>
  <si>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</si>
  <si>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</si>
  <si>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</si>
  <si>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</si>
  <si>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</si>
  <si>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</si>
  <si>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</si>
  <si>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</si>
  <si>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</si>
  <si>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</si>
  <si>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</si>
  <si>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</si>
  <si>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</si>
  <si>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</si>
  <si>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</si>
  <si>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</si>
  <si>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</si>
  <si>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</si>
  <si>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</si>
  <si>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</si>
  <si>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</si>
  <si>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</si>
  <si>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</si>
  <si>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</si>
  <si>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</si>
  <si>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</si>
  <si>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</si>
  <si>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</si>
  <si>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</si>
  <si>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</si>
  <si>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</si>
  <si>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</si>
  <si>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</si>
  <si>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</si>
  <si>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</si>
  <si>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</si>
  <si>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</si>
  <si>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</si>
  <si>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</si>
  <si>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</si>
  <si>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</si>
  <si>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</si>
  <si>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</si>
  <si>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</si>
  <si>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</si>
  <si>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</si>
  <si>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</si>
  <si>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</si>
  <si>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</si>
  <si>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</si>
  <si>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</si>
  <si>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</si>
  <si>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</si>
  <si>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</si>
  <si>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</si>
  <si>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</si>
  <si>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</si>
  <si>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</si>
  <si>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</si>
  <si>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</si>
  <si>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</si>
  <si>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</si>
  <si>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</si>
  <si>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</si>
  <si>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</si>
  <si>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</si>
  <si>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</si>
  <si>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</si>
  <si>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</si>
  <si>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</si>
  <si>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</si>
  <si>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</si>
  <si>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</si>
  <si>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</si>
  <si>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</si>
  <si>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</si>
  <si>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</si>
  <si>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</si>
  <si>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</si>
  <si>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</si>
  <si>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</si>
  <si>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</si>
  <si>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</si>
  <si>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</si>
  <si>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</si>
  <si>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</si>
  <si>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</si>
  <si>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</si>
  <si>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</si>
  <si>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</si>
  <si>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</si>
  <si>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</si>
  <si>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</si>
  <si>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</si>
  <si>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</si>
  <si>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</si>
  <si>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</si>
  <si>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</si>
  <si>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</si>
  <si>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</si>
  <si>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</si>
  <si>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</si>
  <si>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</si>
  <si>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</si>
  <si>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</si>
  <si>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</si>
  <si>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</si>
  <si>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</si>
  <si>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</si>
  <si>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</si>
  <si>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</si>
  <si>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</si>
  <si>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</si>
  <si>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</si>
  <si>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</si>
  <si>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</si>
  <si>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</si>
  <si>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</si>
  <si>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</si>
  <si>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</si>
  <si>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</si>
  <si>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</si>
  <si>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</si>
  <si>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</si>
  <si>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</si>
  <si>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</si>
  <si>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</si>
  <si>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</si>
  <si>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</si>
  <si>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</si>
  <si>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</si>
  <si>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</si>
  <si>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</si>
  <si>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</si>
  <si>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</si>
  <si>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</si>
  <si>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</si>
  <si>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</si>
  <si>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</si>
  <si>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</si>
  <si>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</si>
  <si>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</si>
  <si>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</si>
  <si>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</si>
  <si>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</si>
  <si>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</si>
  <si>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</si>
  <si>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</si>
  <si>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</si>
  <si>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</si>
  <si>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</si>
  <si>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</si>
  <si>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</si>
  <si>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</si>
  <si>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</si>
  <si>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</si>
  <si>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</si>
  <si>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</si>
  <si>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</si>
  <si>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</si>
  <si>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</si>
  <si>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</si>
  <si>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</si>
  <si>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</si>
  <si>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</si>
  <si>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</si>
  <si>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</si>
  <si>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</si>
  <si>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</si>
  <si>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</si>
  <si>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</si>
  <si>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</si>
  <si>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</si>
  <si>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</si>
  <si>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</si>
  <si>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</si>
  <si>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</si>
  <si>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</si>
  <si>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</si>
  <si>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</si>
  <si>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</si>
  <si>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</si>
  <si>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</si>
  <si>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</si>
  <si>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</si>
  <si>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</si>
  <si>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</si>
  <si>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</si>
  <si>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</si>
  <si>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</si>
  <si>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</si>
  <si>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</si>
  <si>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</si>
  <si>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</si>
  <si>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</si>
  <si>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</si>
  <si>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</si>
  <si>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</si>
  <si>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</si>
  <si>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</si>
  <si>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</si>
  <si>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</si>
  <si>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</si>
  <si>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</si>
  <si>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</si>
  <si>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</si>
  <si>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</si>
  <si>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</si>
  <si>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</si>
  <si>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</si>
  <si>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</si>
  <si>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</si>
  <si>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</si>
  <si>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</si>
  <si>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</si>
  <si>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</si>
  <si>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</si>
  <si>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</si>
  <si>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</si>
  <si>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</si>
  <si>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</si>
  <si>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</si>
  <si>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</si>
  <si>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</si>
  <si>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</si>
  <si>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</si>
  <si>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</si>
  <si>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</si>
  <si>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</si>
  <si>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</si>
  <si>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</si>
  <si>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</si>
  <si>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</si>
  <si>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</si>
  <si>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</si>
  <si>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</si>
  <si>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</si>
  <si>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</si>
  <si>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</si>
  <si>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</si>
  <si>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</si>
  <si>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</si>
  <si>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</si>
  <si>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</si>
  <si>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</si>
  <si>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</si>
  <si>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</si>
  <si>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</si>
  <si>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</si>
  <si>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</si>
  <si>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</si>
  <si>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</si>
  <si>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</si>
  <si>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</si>
  <si>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</si>
  <si>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</si>
  <si>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</si>
  <si>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</si>
  <si>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</si>
  <si>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</si>
  <si>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</si>
  <si>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</si>
  <si>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</si>
  <si>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</si>
  <si>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</si>
  <si>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</si>
  <si>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</si>
  <si>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</si>
  <si>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</si>
  <si>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</si>
  <si>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</si>
  <si>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</si>
  <si>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</si>
  <si>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</si>
  <si>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</si>
  <si>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</si>
  <si>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</si>
  <si>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</si>
  <si>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</si>
  <si>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</si>
  <si>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</si>
  <si>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</si>
  <si>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</si>
  <si>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</si>
  <si>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</si>
  <si>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</si>
  <si>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</si>
  <si>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</si>
  <si>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</si>
  <si>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</si>
  <si>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</si>
  <si>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</si>
  <si>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</si>
  <si>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</si>
  <si>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</si>
  <si>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</si>
  <si>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</si>
  <si>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</si>
  <si>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</si>
  <si>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</si>
  <si>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</si>
  <si>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</si>
  <si>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</si>
  <si>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</si>
  <si>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</si>
  <si>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</si>
  <si>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</si>
  <si>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</si>
  <si>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</si>
  <si>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</si>
  <si>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</si>
  <si>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</si>
  <si>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</si>
  <si>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</si>
  <si>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</si>
  <si>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</si>
  <si>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</si>
  <si>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</si>
  <si>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</si>
  <si>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</si>
  <si>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</si>
  <si>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</si>
  <si>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</si>
  <si>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</si>
  <si>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</si>
  <si>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</si>
  <si>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</si>
  <si>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</si>
  <si>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</si>
  <si>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</si>
  <si>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</si>
  <si>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</si>
  <si>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</si>
  <si>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</si>
  <si>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</si>
  <si>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</si>
  <si>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</si>
  <si>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</si>
  <si>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</si>
  <si>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</si>
  <si>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</si>
  <si>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</si>
  <si>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</si>
  <si>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</si>
  <si>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</si>
  <si>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</si>
  <si>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</si>
  <si>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</si>
  <si>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</si>
  <si>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</si>
  <si>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</si>
  <si>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</si>
  <si>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</si>
  <si>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</si>
  <si>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</si>
  <si>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</si>
  <si>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</si>
  <si>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</si>
  <si>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</si>
  <si>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</si>
  <si>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</si>
  <si>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</si>
  <si>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</si>
  <si>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</si>
  <si>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</si>
  <si>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</si>
  <si>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</si>
  <si>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</si>
  <si>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</si>
  <si>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</si>
  <si>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</si>
  <si>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</si>
  <si>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</si>
  <si>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</si>
  <si>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</si>
  <si>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</si>
  <si>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</si>
  <si>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</si>
  <si>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</si>
  <si>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</si>
  <si>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</si>
  <si>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</si>
  <si>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</si>
  <si>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</si>
  <si>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</si>
  <si>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</si>
  <si>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</si>
  <si>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</si>
  <si>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</si>
  <si>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</si>
  <si>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</si>
  <si>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</si>
  <si>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</si>
  <si>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</si>
  <si>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</si>
  <si>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</si>
  <si>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</si>
  <si>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</si>
  <si>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</si>
  <si>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</si>
  <si>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</si>
  <si>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</si>
  <si>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</si>
  <si>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</si>
  <si>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</si>
  <si>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</si>
  <si>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</si>
  <si>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</si>
  <si>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</si>
  <si>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</si>
  <si>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</si>
  <si>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</si>
  <si>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</si>
  <si>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</si>
  <si>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</si>
  <si>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</si>
  <si>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</si>
  <si>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</si>
  <si>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</si>
  <si>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</si>
  <si>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</si>
  <si>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</si>
  <si>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</si>
  <si>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</si>
  <si>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</si>
  <si>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</si>
  <si>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</si>
  <si>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</si>
  <si>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</si>
  <si>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</si>
  <si>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</si>
  <si>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</si>
  <si>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</si>
  <si>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</si>
  <si>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</si>
  <si>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</si>
  <si>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</si>
  <si>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</si>
  <si>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</si>
  <si>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</si>
  <si>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</si>
  <si>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</si>
  <si>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</si>
  <si>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</si>
  <si>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</si>
  <si>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</si>
  <si>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</si>
  <si>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</si>
  <si>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</si>
  <si>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</si>
  <si>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</si>
  <si>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</si>
  <si>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</si>
  <si>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</si>
  <si>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</si>
  <si>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</si>
  <si>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</si>
  <si>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</si>
  <si>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</si>
  <si>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</si>
  <si>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</si>
  <si>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</si>
  <si>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</si>
  <si>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</si>
  <si>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</si>
  <si>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</si>
  <si>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</si>
  <si>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</si>
  <si>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</si>
  <si>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</si>
  <si>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</si>
  <si>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</si>
  <si>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</si>
  <si>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</si>
  <si>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</si>
  <si>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</si>
  <si>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</si>
  <si>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</si>
  <si>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</si>
  <si>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</si>
  <si>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</si>
  <si>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</si>
  <si>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</si>
  <si>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</si>
  <si>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</si>
  <si>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</si>
  <si>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</si>
  <si>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</si>
  <si>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</si>
  <si>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</si>
  <si>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</si>
  <si>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</si>
  <si>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</si>
  <si>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</si>
  <si>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</si>
  <si>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</si>
  <si>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</si>
  <si>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</si>
  <si>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</si>
  <si>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</si>
  <si>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</si>
  <si>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</si>
  <si>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</si>
  <si>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</si>
  <si>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</si>
  <si>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</si>
  <si>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</si>
  <si>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</si>
  <si>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</si>
  <si>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</si>
  <si>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</si>
  <si>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</si>
  <si>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</si>
  <si>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</si>
  <si>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</si>
  <si>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</si>
  <si>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</si>
  <si>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</si>
  <si>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</si>
  <si>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</si>
  <si>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</si>
  <si>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</si>
  <si>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</si>
  <si>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</si>
  <si>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</si>
  <si>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</si>
  <si>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</si>
  <si>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</si>
  <si>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</si>
  <si>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</si>
  <si>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</si>
  <si>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</si>
  <si>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</si>
  <si>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</si>
  <si>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</si>
  <si>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</si>
  <si>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</si>
  <si>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</si>
  <si>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</si>
  <si>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</si>
  <si>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</si>
  <si>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</si>
  <si>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</si>
  <si>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</si>
  <si>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</si>
  <si>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</si>
  <si>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</si>
  <si>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</si>
  <si>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</si>
  <si>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</si>
  <si>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</si>
  <si>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</si>
  <si>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</si>
  <si>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</si>
  <si>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</si>
  <si>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</si>
  <si>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</si>
  <si>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</si>
  <si>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</si>
  <si>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</si>
  <si>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</si>
  <si>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</si>
  <si>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</si>
  <si>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</si>
  <si>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</si>
  <si>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</si>
  <si>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</si>
  <si>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</si>
  <si>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</si>
  <si>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</si>
  <si>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</si>
  <si>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</si>
  <si>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</si>
  <si>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</si>
  <si>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</si>
  <si>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</si>
  <si>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</si>
  <si>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</si>
  <si>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</si>
  <si>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</si>
  <si>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</si>
  <si>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</si>
  <si>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</si>
  <si>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</si>
  <si>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</si>
  <si>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</si>
  <si>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</si>
  <si>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</si>
  <si>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</si>
  <si>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</si>
  <si>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</si>
  <si>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</si>
  <si>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</si>
  <si>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</si>
  <si>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</si>
  <si>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</si>
  <si>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</si>
  <si>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</si>
  <si>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</si>
  <si>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</si>
  <si>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</si>
  <si>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</si>
  <si>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</si>
  <si>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</si>
  <si>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</si>
  <si>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</si>
  <si>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</si>
  <si>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</si>
  <si>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</si>
  <si>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</si>
  <si>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</si>
  <si>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</si>
  <si>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</si>
  <si>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</si>
  <si>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</si>
  <si>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</si>
  <si>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</si>
  <si>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</si>
  <si>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</si>
  <si>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</si>
  <si>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</si>
  <si>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</si>
  <si>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</si>
  <si>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</si>
  <si>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</si>
  <si>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</si>
  <si>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</si>
  <si>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</si>
  <si>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</si>
  <si>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</si>
  <si>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</si>
  <si>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</si>
  <si>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</si>
  <si>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</si>
  <si>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</si>
  <si>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</si>
  <si>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</si>
  <si>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</si>
  <si>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</si>
  <si>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</si>
  <si>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</si>
  <si>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</si>
  <si>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</si>
  <si>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</si>
  <si>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</si>
  <si>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</si>
  <si>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</si>
  <si>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</si>
  <si>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</si>
  <si>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</si>
  <si>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</si>
  <si>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</si>
  <si>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</si>
  <si>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</si>
  <si>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</si>
  <si>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</si>
  <si>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</si>
  <si>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</si>
  <si>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</si>
  <si>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</si>
  <si>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</si>
  <si>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</si>
  <si>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</si>
  <si>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</si>
  <si>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</si>
  <si>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</si>
  <si>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</si>
  <si>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</si>
  <si>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</si>
  <si>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</si>
  <si>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</si>
  <si>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</si>
  <si>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</si>
  <si>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</si>
  <si>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</si>
  <si>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</si>
  <si>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</si>
  <si>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</si>
  <si>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</si>
  <si>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</si>
  <si>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</si>
  <si>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</si>
  <si>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</si>
  <si>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</si>
  <si>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</si>
  <si>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</si>
  <si>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</si>
  <si>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</si>
  <si>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</si>
  <si>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</si>
  <si>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</si>
  <si>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</si>
  <si>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</si>
  <si>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</si>
  <si>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</si>
  <si>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</si>
  <si>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</si>
  <si>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</si>
  <si>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</si>
  <si>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</si>
  <si>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</si>
  <si>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</si>
  <si>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</si>
  <si>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</si>
  <si>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</si>
  <si>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</si>
  <si>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</si>
  <si>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</si>
  <si>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</si>
  <si>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</si>
  <si>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</si>
  <si>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</si>
  <si>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</si>
  <si>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</si>
  <si>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</si>
  <si>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</si>
  <si>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</si>
  <si>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</si>
  <si>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</si>
  <si>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</si>
  <si>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</si>
  <si>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</si>
  <si>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</si>
  <si>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</si>
  <si>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</si>
  <si>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</si>
  <si>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</si>
  <si>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</si>
  <si>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</si>
  <si>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</si>
  <si>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</si>
  <si>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</si>
  <si>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</si>
  <si>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</si>
  <si>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</si>
  <si>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</si>
  <si>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</si>
  <si>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</si>
  <si>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</si>
  <si>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</si>
  <si>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</si>
  <si>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</si>
  <si>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</si>
  <si>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</si>
  <si>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</si>
  <si>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</si>
  <si>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</si>
  <si>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</si>
  <si>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</si>
  <si>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</si>
  <si>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</si>
  <si>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</si>
  <si>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</si>
  <si>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</si>
  <si>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</si>
  <si>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</si>
  <si>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</si>
  <si>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</si>
  <si>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</si>
  <si>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</si>
  <si>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</si>
  <si>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</si>
  <si>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</si>
  <si>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</si>
  <si>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</si>
  <si>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</si>
  <si>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</si>
  <si>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</si>
  <si>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</si>
  <si>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</si>
  <si>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</si>
  <si>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</si>
  <si>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</si>
  <si>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</si>
  <si>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</si>
  <si>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</si>
  <si>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</si>
  <si>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</si>
  <si>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</si>
  <si>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</si>
  <si>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</si>
  <si>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</si>
  <si>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</si>
  <si>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</si>
  <si>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</si>
  <si>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</si>
  <si>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</si>
  <si>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</si>
  <si>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</si>
  <si>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</si>
  <si>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</si>
  <si>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</si>
  <si>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</si>
  <si>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</si>
  <si>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</si>
  <si>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</si>
  <si>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</si>
  <si>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</si>
  <si>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</si>
  <si>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</si>
  <si>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</si>
  <si>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</si>
  <si>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</si>
  <si>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</si>
  <si>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</si>
  <si>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</si>
  <si>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</si>
  <si>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</si>
  <si>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</si>
  <si>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</si>
  <si>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</si>
  <si>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</si>
  <si>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</si>
  <si>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</si>
  <si>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</si>
  <si>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</si>
  <si>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</si>
  <si>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</si>
  <si>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</si>
  <si>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</si>
  <si>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</si>
  <si>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</si>
  <si>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</si>
  <si>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</si>
  <si>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</si>
  <si>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</si>
  <si>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</si>
  <si>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</si>
  <si>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</si>
  <si>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</si>
  <si>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</si>
  <si>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</si>
  <si>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</si>
  <si>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</si>
  <si>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</si>
  <si>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</si>
  <si>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</si>
  <si>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</si>
  <si>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</si>
  <si>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</si>
  <si>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</si>
  <si>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</si>
  <si>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</si>
  <si>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</si>
  <si>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</si>
  <si>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</si>
  <si>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</si>
  <si>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</si>
  <si>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</si>
  <si>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</si>
  <si>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</si>
  <si>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</si>
  <si>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</si>
  <si>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</si>
  <si>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</si>
  <si>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</si>
  <si>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</si>
  <si>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</si>
  <si>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</si>
  <si>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</si>
  <si>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</si>
  <si>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</si>
  <si>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</si>
  <si>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</si>
  <si>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</si>
  <si>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</si>
  <si>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</si>
  <si>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</si>
  <si>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</si>
  <si>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</si>
  <si>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</si>
  <si>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</si>
  <si>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</si>
  <si>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</si>
  <si>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</si>
  <si>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</si>
  <si>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</si>
  <si>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</si>
  <si>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</si>
  <si>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</si>
  <si>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</si>
  <si>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</si>
  <si>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</si>
  <si>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</si>
  <si>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</si>
  <si>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</si>
  <si>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</si>
  <si>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</si>
  <si>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</si>
  <si>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</si>
  <si>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</si>
  <si>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</si>
  <si>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</si>
  <si>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</si>
  <si>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</si>
  <si>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</si>
  <si>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</si>
  <si>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</si>
  <si>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</si>
  <si>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</si>
  <si>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</si>
  <si>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</si>
  <si>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</si>
  <si>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</si>
  <si>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</si>
  <si>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</si>
  <si>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</si>
  <si>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</si>
  <si>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</si>
  <si>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</si>
  <si>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</si>
  <si>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</si>
  <si>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</si>
  <si>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</si>
  <si>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</si>
  <si>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</si>
  <si>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</si>
  <si>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</si>
  <si>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</si>
  <si>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</si>
  <si>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</si>
  <si>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</si>
  <si>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</si>
  <si>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</si>
  <si>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</si>
  <si>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</si>
  <si>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</si>
  <si>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</si>
  <si>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</si>
  <si>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</si>
  <si>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</si>
  <si>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</si>
  <si>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</si>
  <si>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</si>
  <si>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</si>
  <si>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</si>
  <si>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</si>
  <si>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</si>
  <si>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</si>
  <si>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</si>
  <si>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</si>
  <si>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</si>
  <si>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</si>
  <si>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</si>
  <si>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</si>
  <si>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</si>
  <si>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</si>
  <si>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</si>
  <si>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</si>
  <si>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</si>
  <si>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</si>
  <si>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</si>
  <si>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</si>
  <si>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</si>
  <si>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</si>
  <si>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</si>
  <si>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</si>
  <si>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</si>
  <si>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</si>
  <si>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</si>
  <si>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</si>
  <si>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</si>
  <si>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</si>
  <si>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</si>
  <si>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</si>
  <si>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</si>
  <si>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</si>
  <si>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</si>
  <si>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</si>
  <si>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</si>
  <si>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</si>
  <si>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</si>
  <si>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</si>
  <si>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</si>
  <si>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</si>
  <si>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</si>
  <si>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</si>
  <si>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</si>
  <si>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</si>
  <si>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</si>
  <si>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</si>
  <si>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</si>
  <si>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</si>
  <si>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</si>
  <si>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</si>
  <si>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</si>
  <si>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</si>
  <si>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</si>
  <si>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</si>
  <si>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</si>
  <si>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</si>
  <si>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</si>
  <si>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</si>
  <si>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</si>
  <si>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</si>
  <si>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</si>
  <si>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</si>
  <si>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</si>
  <si>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</si>
  <si>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</si>
  <si>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</si>
  <si>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</si>
  <si>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</si>
  <si>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</si>
  <si>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</si>
  <si>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</si>
  <si>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</si>
  <si>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</si>
  <si>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</si>
  <si>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</si>
  <si>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</si>
  <si>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</si>
  <si>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</si>
  <si>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</si>
  <si>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</si>
  <si>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</si>
  <si>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</si>
  <si>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</si>
  <si>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</si>
  <si>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</si>
  <si>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</si>
  <si>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</si>
  <si>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</si>
  <si>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</si>
  <si>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</si>
  <si>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</si>
  <si>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</si>
  <si>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</si>
  <si>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</si>
  <si>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</si>
  <si>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</si>
  <si>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</si>
  <si>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</si>
  <si>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</si>
  <si>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</si>
  <si>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</si>
  <si>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</si>
  <si>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</si>
  <si>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</si>
  <si>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</si>
  <si>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</si>
  <si>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</si>
  <si>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</si>
  <si>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</si>
  <si>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</si>
  <si>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</si>
  <si>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</si>
  <si>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</si>
  <si>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</si>
  <si>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</si>
  <si>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</si>
  <si>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</si>
  <si>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</si>
  <si>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</si>
  <si>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</si>
  <si>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</si>
  <si>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</si>
  <si>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</si>
  <si>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</si>
  <si>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</si>
  <si>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</si>
  <si>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</si>
  <si>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</si>
  <si>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</si>
  <si>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</si>
  <si>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</si>
  <si>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</si>
  <si>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</si>
  <si>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</si>
  <si>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</si>
  <si>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</si>
  <si>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</si>
  <si>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</si>
  <si>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</si>
  <si>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</si>
  <si>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</si>
  <si>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</si>
  <si>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</si>
  <si>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</si>
  <si>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</si>
  <si>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</si>
  <si>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</si>
  <si>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</si>
  <si>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</si>
  <si>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</si>
  <si>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</si>
  <si>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</si>
  <si>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</si>
  <si>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</si>
  <si>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</si>
  <si>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</si>
  <si>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</si>
  <si>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</si>
  <si>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</si>
  <si>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</si>
  <si>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</si>
  <si>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</si>
  <si>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</si>
  <si>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</si>
  <si>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</si>
  <si>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</si>
  <si>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</si>
  <si>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</si>
  <si>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</si>
  <si>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</si>
  <si>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</si>
  <si>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</si>
  <si>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</si>
  <si>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</si>
  <si>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</si>
  <si>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</si>
  <si>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</si>
  <si>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</si>
  <si>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</si>
  <si>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</si>
  <si>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</si>
  <si>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</si>
  <si>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</si>
  <si>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</si>
  <si>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</si>
  <si>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</si>
  <si>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</si>
  <si>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</si>
  <si>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</si>
  <si>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</si>
  <si>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</si>
  <si>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</si>
  <si>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</si>
  <si>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</si>
  <si>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</si>
  <si>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</si>
  <si>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</si>
  <si>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</si>
  <si>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</si>
  <si>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</si>
  <si>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</si>
  <si>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</si>
  <si>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</si>
  <si>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</si>
  <si>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</si>
  <si>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</si>
  <si>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</si>
  <si>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</si>
  <si>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</si>
  <si>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</si>
  <si>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</si>
  <si>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</si>
  <si>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</si>
  <si>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</si>
  <si>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</si>
  <si>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</si>
  <si>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</si>
  <si>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</si>
  <si>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</si>
  <si>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</si>
  <si>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</si>
  <si>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</si>
  <si>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</si>
  <si>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</si>
  <si>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</si>
  <si>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</si>
  <si>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</si>
  <si>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</si>
  <si>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</si>
  <si>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</si>
  <si>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</si>
  <si>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</si>
  <si>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</si>
  <si>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</si>
  <si>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</si>
  <si>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</si>
  <si>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</si>
  <si>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</si>
  <si>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</si>
  <si>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</si>
  <si>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</si>
  <si>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</si>
  <si>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</si>
  <si>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</si>
  <si>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</si>
  <si>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</si>
  <si>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</si>
  <si>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</si>
  <si>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</si>
  <si>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</si>
  <si>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</si>
  <si>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</si>
  <si>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</si>
  <si>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</si>
  <si>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</si>
  <si>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</si>
  <si>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</si>
  <si>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</si>
  <si>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</si>
  <si>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</si>
  <si>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</si>
  <si>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</si>
  <si>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</si>
  <si>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</si>
  <si>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</si>
  <si>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</si>
  <si>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</si>
  <si>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</si>
  <si>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</si>
  <si>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</si>
  <si>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</si>
  <si>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</si>
  <si>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</si>
  <si>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</si>
  <si>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</si>
  <si>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</si>
  <si>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</si>
  <si>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</si>
  <si>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</si>
  <si>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</si>
  <si>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</si>
  <si>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</si>
  <si>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</si>
  <si>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</si>
  <si>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</si>
  <si>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</si>
  <si>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</si>
  <si>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</si>
  <si>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</si>
  <si>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</si>
  <si>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</si>
  <si>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</si>
  <si>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</si>
  <si>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</si>
  <si>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</si>
  <si>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</si>
  <si>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</si>
  <si>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</si>
  <si>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</si>
  <si>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</si>
  <si>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</si>
  <si>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</si>
  <si>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</si>
  <si>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</si>
  <si>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</si>
  <si>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</si>
  <si>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</si>
  <si>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</si>
  <si>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</si>
  <si>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</si>
  <si>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</si>
  <si>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</si>
  <si>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</si>
  <si>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</si>
  <si>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</si>
  <si>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</si>
  <si>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</si>
  <si>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</si>
  <si>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</si>
  <si>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</si>
  <si>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</si>
  <si>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</si>
  <si>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</si>
  <si>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</si>
  <si>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</si>
  <si>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</si>
  <si>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</si>
  <si>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</si>
  <si>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</si>
  <si>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</si>
  <si>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</si>
  <si>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</si>
  <si>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</si>
  <si>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</si>
  <si>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</si>
  <si>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</si>
  <si>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</si>
  <si>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</si>
  <si>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</si>
  <si>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</si>
  <si>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</si>
  <si>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</si>
  <si>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</si>
  <si>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</si>
  <si>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</si>
  <si>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</si>
  <si>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</si>
  <si>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</si>
  <si>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</si>
  <si>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</si>
  <si>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</si>
  <si>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</si>
  <si>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</si>
  <si>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</si>
  <si>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</si>
  <si>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</si>
  <si>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</si>
  <si>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</si>
  <si>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</si>
  <si>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</si>
  <si>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</si>
  <si>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</si>
  <si>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</si>
  <si>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</si>
  <si>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</si>
  <si>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</si>
  <si>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</si>
  <si>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</si>
  <si>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</si>
  <si>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</si>
  <si>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</si>
  <si>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</si>
  <si>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</si>
  <si>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</si>
  <si>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</si>
  <si>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</si>
  <si>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</si>
  <si>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</si>
  <si>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</si>
  <si>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</si>
  <si>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</si>
  <si>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</si>
  <si>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</si>
  <si>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</si>
  <si>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</si>
  <si>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</si>
  <si>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</si>
  <si>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</si>
  <si>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</si>
  <si>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</si>
  <si>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</si>
  <si>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</si>
  <si>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</si>
  <si>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</si>
  <si>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</si>
  <si>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</si>
  <si>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</si>
  <si>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</si>
  <si>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</si>
  <si>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</si>
  <si>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</si>
  <si>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</si>
  <si>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</si>
  <si>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</si>
  <si>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</si>
  <si>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</si>
  <si>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</si>
  <si>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</si>
  <si>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</si>
  <si>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</si>
  <si>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</si>
  <si>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</si>
  <si>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</si>
  <si>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</si>
  <si>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</si>
  <si>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</si>
  <si>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</si>
  <si>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</si>
  <si>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</si>
  <si>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</si>
  <si>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</si>
  <si>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</si>
  <si>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</si>
  <si>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</si>
  <si>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</si>
  <si>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</si>
  <si>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</si>
  <si>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</si>
  <si>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</si>
  <si>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</si>
  <si>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</si>
  <si>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</si>
  <si>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</si>
  <si>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</si>
  <si>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</si>
  <si>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</si>
  <si>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</si>
  <si>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</si>
  <si>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</si>
  <si>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</si>
  <si>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</si>
  <si>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</si>
  <si>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</si>
  <si>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</si>
  <si>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</si>
  <si>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</si>
  <si>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</si>
  <si>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</si>
  <si>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</si>
  <si>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</si>
  <si>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</si>
  <si>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</si>
  <si>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</si>
  <si>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</si>
  <si>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</si>
  <si>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</si>
  <si>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</si>
  <si>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</si>
  <si>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</si>
  <si>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</si>
  <si>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</si>
  <si>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</si>
  <si>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</si>
  <si>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</si>
  <si>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</si>
  <si>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</si>
  <si>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</si>
  <si>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</si>
  <si>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</si>
  <si>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</si>
  <si>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</si>
  <si>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</si>
  <si>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</si>
  <si>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</si>
  <si>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</si>
  <si>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</si>
  <si>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</si>
  <si>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</si>
  <si>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</si>
  <si>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</si>
  <si>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</si>
  <si>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</si>
  <si>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</si>
  <si>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</si>
  <si>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</si>
  <si>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</si>
  <si>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</si>
  <si>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</si>
  <si>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</si>
  <si>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</si>
  <si>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</si>
  <si>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</si>
  <si>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</si>
  <si>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</si>
  <si>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</si>
  <si>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</si>
  <si>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</si>
  <si>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</si>
  <si>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</si>
  <si>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</si>
  <si>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</si>
  <si>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</si>
  <si>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</si>
  <si>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</si>
  <si>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</si>
  <si>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</si>
  <si>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</si>
  <si>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</si>
  <si>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</si>
  <si>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</si>
  <si>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</si>
  <si>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</si>
  <si>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</si>
  <si>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</si>
  <si>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</si>
  <si>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</si>
  <si>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</si>
  <si>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</si>
  <si>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</si>
  <si>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</si>
  <si>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</si>
  <si>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</si>
  <si>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</si>
  <si>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</si>
  <si>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</si>
  <si>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</si>
  <si>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</si>
  <si>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</si>
  <si>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</si>
  <si>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</si>
  <si>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</si>
  <si>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</si>
  <si>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</si>
  <si>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</si>
  <si>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</si>
  <si>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</si>
  <si>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</si>
  <si>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</si>
  <si>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</si>
  <si>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</si>
  <si>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</si>
  <si>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</si>
  <si>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</si>
  <si>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</si>
  <si>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</si>
  <si>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</si>
  <si>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</si>
  <si>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</si>
  <si>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</si>
  <si>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</si>
  <si>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</si>
  <si>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</si>
  <si>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</si>
  <si>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</si>
  <si>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</si>
  <si>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</si>
  <si>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</si>
  <si>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</si>
  <si>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</si>
  <si>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</si>
  <si>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</si>
  <si>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</si>
  <si>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</si>
  <si>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</si>
  <si>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</si>
  <si>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</si>
  <si>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</si>
  <si>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</si>
  <si>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</si>
  <si>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</si>
  <si>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</si>
  <si>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</si>
  <si>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</si>
  <si>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</si>
  <si>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</si>
  <si>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</si>
  <si>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</si>
  <si>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</si>
  <si>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</si>
  <si>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</si>
  <si>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</si>
  <si>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</si>
  <si>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</si>
  <si>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</si>
  <si>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</si>
  <si>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</si>
  <si>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</si>
  <si>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</si>
  <si>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</si>
  <si>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</si>
  <si>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</si>
  <si>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</si>
  <si>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</si>
  <si>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</si>
  <si>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</si>
  <si>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</si>
  <si>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</si>
  <si>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</si>
  <si>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</si>
  <si>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</si>
  <si>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</si>
  <si>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</si>
  <si>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</si>
  <si>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</si>
  <si>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</si>
  <si>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</si>
  <si>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</si>
  <si>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</si>
  <si>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</si>
  <si>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</si>
  <si>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</si>
  <si>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</si>
  <si>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</si>
  <si>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</si>
  <si>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</si>
  <si>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</si>
  <si>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</si>
  <si>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</si>
  <si>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</si>
  <si>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</si>
  <si>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</si>
  <si>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</si>
  <si>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</si>
  <si>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</si>
  <si>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</si>
  <si>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</si>
  <si>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</si>
  <si>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</si>
  <si>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</si>
  <si>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</si>
  <si>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</si>
  <si>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</si>
  <si>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</si>
  <si>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</si>
  <si>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</si>
  <si>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</si>
  <si>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</si>
  <si>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</si>
  <si>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</si>
  <si>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</si>
  <si>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</si>
  <si>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</si>
  <si>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</si>
  <si>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</si>
  <si>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</si>
  <si>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</si>
  <si>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</si>
  <si>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</si>
  <si>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</si>
  <si>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</si>
  <si>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</si>
  <si>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</si>
  <si>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</si>
  <si>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</si>
  <si>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</si>
  <si>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</si>
  <si>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</si>
  <si>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</si>
  <si>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</si>
  <si>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</si>
  <si>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</si>
  <si>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</si>
  <si>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</si>
  <si>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</si>
  <si>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</si>
  <si>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</si>
  <si>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</si>
  <si>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</si>
  <si>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</si>
  <si>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</si>
  <si>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</si>
  <si>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</si>
  <si>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</si>
  <si>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</si>
  <si>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</si>
  <si>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</si>
  <si>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</si>
  <si>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</si>
  <si>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</si>
  <si>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</si>
  <si>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</si>
  <si>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</si>
  <si>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</si>
  <si>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</si>
  <si>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</si>
  <si>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</si>
  <si>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</si>
  <si>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</si>
  <si>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</si>
  <si>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</si>
  <si>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</si>
  <si>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</si>
  <si>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</si>
  <si>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</si>
  <si>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</si>
  <si>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</si>
  <si>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</si>
  <si>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</si>
  <si>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</si>
  <si>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</si>
  <si>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</si>
  <si>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</si>
  <si>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</si>
  <si>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</si>
  <si>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</si>
  <si>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</si>
  <si>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</si>
  <si>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</si>
  <si>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</si>
  <si>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</si>
  <si>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</si>
  <si>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</si>
  <si>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</si>
  <si>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</si>
  <si>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</si>
  <si>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</si>
  <si>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</si>
  <si>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</si>
  <si>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</si>
  <si>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</si>
  <si>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</si>
  <si>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</si>
  <si>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</si>
  <si>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</si>
  <si>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</si>
  <si>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</si>
  <si>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</si>
  <si>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</si>
  <si>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</si>
  <si>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</si>
  <si>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</si>
  <si>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</si>
  <si>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</si>
  <si>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</si>
  <si>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</si>
  <si>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</si>
  <si>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</si>
  <si>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</si>
  <si>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</si>
  <si>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</si>
  <si>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</si>
  <si>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</si>
  <si>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</si>
  <si>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</si>
  <si>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</si>
  <si>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</si>
  <si>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</si>
  <si>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</si>
  <si>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</si>
  <si>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</si>
  <si>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</si>
  <si>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</si>
  <si>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</si>
  <si>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</si>
  <si>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</si>
  <si>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</si>
  <si>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</si>
  <si>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</si>
  <si>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</si>
  <si>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</si>
  <si>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</si>
  <si>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</si>
  <si>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</si>
  <si>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</si>
  <si>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</si>
  <si>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</si>
  <si>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</si>
  <si>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</si>
  <si>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</si>
  <si>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</si>
  <si>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</si>
  <si>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</si>
  <si>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</si>
  <si>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</si>
  <si>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</si>
  <si>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</si>
  <si>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</si>
  <si>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</si>
  <si>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</si>
  <si>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</si>
  <si>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</si>
  <si>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</si>
  <si>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</si>
  <si>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</si>
  <si>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</si>
  <si>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</si>
  <si>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</si>
  <si>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</si>
  <si>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</si>
  <si>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</si>
  <si>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</si>
  <si>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</si>
  <si>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</si>
  <si>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</si>
  <si>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</si>
  <si>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</si>
  <si>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</si>
  <si>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</si>
  <si>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</si>
  <si>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</si>
  <si>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</si>
  <si>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</si>
  <si>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</si>
  <si>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</si>
  <si>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</si>
  <si>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</si>
  <si>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</si>
  <si>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</si>
  <si>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</si>
  <si>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</si>
  <si>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</si>
  <si>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</si>
  <si>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</si>
  <si>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</si>
  <si>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</si>
  <si>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</si>
  <si>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</si>
  <si>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</si>
  <si>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</si>
  <si>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</si>
  <si>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</si>
  <si>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</si>
  <si>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</si>
  <si>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</si>
  <si>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</si>
  <si>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</si>
  <si>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</si>
  <si>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</si>
  <si>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</si>
  <si>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</si>
  <si>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</si>
  <si>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</si>
  <si>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</si>
  <si>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</si>
  <si>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</si>
  <si>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</si>
  <si>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</si>
  <si>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</si>
  <si>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</si>
  <si>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</si>
  <si>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</si>
  <si>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</si>
  <si>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</si>
  <si>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</si>
  <si>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</si>
  <si>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</si>
  <si>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</si>
  <si>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</si>
  <si>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</si>
  <si>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</si>
  <si>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</si>
  <si>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</si>
  <si>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</si>
  <si>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</si>
  <si>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</si>
  <si>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</si>
  <si>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</si>
  <si>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</si>
  <si>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</si>
  <si>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</si>
  <si>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</si>
  <si>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</si>
  <si>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</si>
  <si>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</si>
  <si>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</si>
  <si>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</si>
  <si>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</si>
  <si>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</si>
  <si>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</si>
  <si>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</si>
  <si>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</si>
  <si>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</si>
  <si>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</si>
  <si>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</si>
  <si>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</si>
  <si>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</si>
  <si>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</si>
  <si>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</si>
  <si>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</si>
  <si>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</si>
  <si>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</si>
  <si>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</si>
  <si>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</si>
  <si>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</si>
  <si>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</si>
  <si>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</si>
  <si>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</si>
  <si>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</si>
  <si>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</si>
  <si>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</si>
  <si>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</si>
  <si>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</si>
  <si>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</si>
  <si>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</si>
  <si>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</si>
  <si>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</si>
  <si>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</si>
  <si>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</si>
  <si>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</si>
  <si>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</si>
  <si>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</si>
  <si>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</si>
  <si>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</si>
  <si>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</si>
  <si>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</si>
  <si>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</si>
  <si>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</si>
  <si>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</si>
  <si>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</si>
  <si>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</si>
  <si>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</si>
  <si>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</si>
  <si>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</si>
  <si>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</si>
  <si>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</si>
  <si>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</si>
  <si>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</si>
  <si>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</si>
  <si>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</si>
  <si>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</si>
  <si>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</si>
  <si>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</si>
  <si>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</si>
  <si>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</si>
  <si>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</si>
  <si>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</si>
  <si>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</si>
  <si>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</si>
  <si>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</si>
  <si>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</si>
  <si>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</si>
  <si>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</si>
  <si>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</si>
  <si>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</si>
  <si>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</si>
  <si>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</si>
  <si>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</si>
  <si>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</si>
  <si>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</si>
  <si>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</si>
  <si>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</si>
  <si>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</si>
  <si>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</si>
  <si>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</si>
  <si>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</si>
  <si>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</si>
  <si>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</si>
  <si>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</si>
  <si>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</si>
  <si>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</si>
  <si>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</si>
  <si>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</si>
  <si>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</si>
  <si>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</si>
  <si>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</si>
  <si>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</si>
  <si>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</si>
  <si>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</si>
  <si>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</si>
  <si>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</si>
  <si>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</si>
  <si>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</si>
  <si>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</si>
  <si>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</si>
  <si>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</si>
  <si>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</si>
  <si>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</si>
  <si>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</si>
  <si>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</si>
  <si>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</si>
  <si>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</si>
  <si>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</si>
  <si>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</si>
  <si>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</si>
  <si>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</si>
  <si>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</si>
  <si>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</si>
  <si>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</si>
  <si>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</si>
  <si>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</si>
  <si>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</si>
  <si>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</si>
  <si>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</si>
  <si>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</si>
  <si>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</si>
  <si>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</si>
  <si>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</si>
  <si>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</si>
  <si>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</si>
  <si>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</si>
  <si>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</si>
  <si>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</si>
  <si>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</si>
  <si>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</si>
  <si>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</si>
  <si>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</si>
  <si>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</si>
  <si>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</si>
  <si>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</si>
  <si>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</si>
  <si>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</si>
  <si>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</si>
  <si>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</si>
  <si>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</si>
  <si>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</si>
  <si>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</si>
  <si>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</si>
  <si>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</si>
  <si>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</si>
  <si>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</si>
  <si>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</si>
  <si>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</si>
  <si>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</si>
  <si>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</si>
  <si>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</si>
  <si>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</si>
  <si>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</si>
  <si>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</si>
  <si>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</si>
  <si>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</si>
  <si>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</si>
  <si>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</si>
  <si>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</si>
  <si>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</si>
  <si>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</si>
  <si>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</si>
  <si>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</si>
  <si>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</si>
  <si>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</si>
  <si>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</si>
  <si>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</si>
  <si>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</si>
  <si>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</si>
  <si>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</si>
  <si>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</si>
  <si>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</si>
  <si>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</si>
  <si>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</si>
  <si>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</si>
  <si>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</si>
  <si>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</si>
  <si>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</si>
  <si>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</si>
  <si>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</si>
  <si>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</si>
  <si>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</si>
  <si>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</si>
  <si>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</si>
  <si>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</si>
  <si>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</si>
  <si>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</si>
  <si>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</si>
  <si>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</si>
  <si>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</si>
  <si>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</si>
  <si>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</si>
  <si>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</si>
  <si>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</si>
  <si>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</si>
  <si>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</si>
  <si>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</si>
  <si>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</si>
  <si>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</si>
  <si>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</si>
  <si>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</si>
  <si>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</si>
  <si>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</si>
  <si>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</si>
  <si>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</si>
  <si>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</si>
  <si>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</si>
  <si>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</si>
  <si>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</si>
  <si>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</si>
  <si>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</si>
  <si>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</si>
  <si>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</si>
  <si>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</si>
  <si>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</si>
  <si>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</si>
  <si>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</si>
  <si>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</si>
  <si>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</si>
  <si>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</si>
  <si>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</si>
  <si>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</si>
  <si>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</si>
  <si>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</si>
  <si>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</si>
  <si>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</si>
  <si>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</si>
  <si>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</si>
  <si>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</si>
  <si>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</si>
  <si>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</si>
  <si>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</si>
  <si>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</si>
  <si>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</si>
  <si>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</si>
  <si>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</si>
  <si>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</si>
  <si>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</si>
  <si>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</si>
  <si>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</si>
  <si>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</si>
  <si>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</si>
  <si>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</si>
  <si>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</si>
  <si>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</si>
  <si>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</si>
  <si>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</si>
  <si>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</si>
  <si>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</si>
  <si>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</si>
  <si>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</si>
  <si>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</si>
  <si>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</si>
  <si>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</si>
  <si>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</si>
  <si>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</si>
  <si>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</si>
  <si>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</si>
  <si>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</si>
  <si>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</si>
  <si>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</si>
  <si>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</si>
  <si>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</si>
  <si>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</si>
  <si>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</si>
  <si>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</si>
  <si>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</si>
  <si>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</si>
  <si>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</si>
  <si>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</si>
  <si>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</si>
  <si>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</si>
  <si>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</si>
  <si>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</si>
  <si>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</si>
  <si>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</si>
  <si>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</si>
  <si>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</si>
  <si>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</si>
  <si>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</si>
  <si>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</si>
  <si>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</si>
  <si>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</si>
  <si>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</si>
  <si>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</si>
  <si>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</si>
  <si>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</si>
  <si>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</si>
  <si>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</si>
  <si>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</si>
  <si>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</si>
  <si>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</si>
  <si>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</si>
  <si>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</si>
  <si>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</si>
  <si>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</si>
  <si>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</si>
  <si>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</si>
  <si>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</si>
  <si>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</si>
  <si>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</si>
  <si>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</si>
  <si>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</si>
  <si>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</si>
  <si>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</si>
  <si>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</si>
  <si>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</si>
  <si>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</si>
  <si>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</si>
  <si>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</si>
  <si>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</si>
  <si>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</si>
  <si>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</si>
  <si>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</si>
  <si>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</si>
  <si>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</si>
  <si>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</si>
  <si>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</si>
  <si>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</si>
  <si>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</si>
  <si>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</si>
  <si>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</si>
  <si>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</si>
  <si>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</si>
  <si>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</si>
  <si>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</si>
  <si>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</si>
  <si>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</si>
  <si>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</si>
  <si>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</si>
  <si>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</si>
  <si>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</si>
  <si>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</si>
  <si>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</si>
  <si>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</si>
  <si>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</si>
  <si>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</si>
  <si>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</si>
  <si>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</si>
  <si>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</si>
  <si>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</si>
  <si>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</si>
  <si>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</si>
  <si>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</si>
  <si>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</si>
  <si>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</si>
  <si>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</si>
  <si>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</si>
  <si>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</si>
  <si>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</si>
  <si>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</si>
  <si>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</si>
  <si>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</si>
  <si>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</si>
  <si>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</si>
  <si>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</si>
  <si>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</si>
  <si>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</si>
  <si>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</si>
  <si>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</si>
  <si>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</si>
  <si>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</si>
  <si>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</si>
  <si>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</si>
  <si>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</si>
  <si>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</si>
  <si>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</si>
  <si>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</si>
  <si>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</si>
  <si>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</si>
  <si>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</si>
  <si>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</si>
  <si>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</si>
  <si>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</si>
  <si>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</si>
  <si>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</si>
  <si>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</si>
  <si>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</si>
  <si>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</si>
  <si>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</si>
  <si>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</si>
  <si>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</si>
  <si>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</si>
  <si>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</si>
  <si>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</si>
  <si>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</si>
  <si>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</si>
  <si>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</si>
  <si>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</si>
  <si>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</si>
  <si>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</si>
  <si>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</si>
  <si>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</si>
  <si>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</si>
  <si>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</si>
  <si>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</si>
  <si>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</si>
  <si>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</si>
  <si>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</si>
  <si>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</si>
  <si>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</si>
  <si>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</si>
  <si>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</si>
  <si>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</si>
  <si>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</si>
  <si>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</si>
  <si>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</si>
  <si>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</si>
  <si>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</si>
  <si>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</si>
  <si>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</si>
  <si>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</si>
  <si>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</si>
  <si>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</si>
  <si>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</si>
  <si>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</si>
  <si>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</si>
  <si>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</si>
  <si>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</si>
  <si>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</si>
  <si>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</si>
  <si>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</si>
  <si>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</si>
  <si>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</si>
  <si>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</si>
  <si>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</si>
  <si>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</si>
  <si>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</si>
  <si>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</si>
  <si>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</si>
  <si>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</si>
  <si>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</si>
  <si>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</si>
  <si>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</si>
  <si>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</si>
  <si>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</si>
  <si>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</si>
  <si>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</si>
  <si>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</si>
  <si>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</si>
  <si>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</si>
  <si>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</si>
  <si>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</si>
  <si>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</si>
  <si>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</si>
  <si>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</si>
  <si>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</si>
  <si>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</si>
  <si>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</si>
  <si>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</si>
  <si>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</si>
  <si>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</si>
  <si>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</si>
  <si>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</si>
  <si>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</si>
  <si>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</si>
  <si>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</si>
  <si>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</si>
  <si>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</si>
  <si>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</si>
  <si>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</si>
  <si>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</si>
  <si>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</si>
  <si>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</si>
  <si>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</si>
  <si>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</si>
  <si>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</si>
  <si>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</si>
  <si>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</si>
  <si>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</si>
  <si>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</si>
  <si>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</si>
  <si>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</si>
  <si>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</si>
  <si>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</si>
  <si>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</si>
  <si>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</si>
  <si>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</si>
  <si>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</si>
  <si>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</si>
  <si>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</si>
  <si>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</si>
  <si>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</si>
  <si>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</si>
  <si>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</si>
  <si>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</si>
  <si>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</si>
  <si>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</si>
  <si>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</si>
  <si>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</si>
  <si>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</si>
  <si>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</si>
  <si>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</si>
  <si>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</si>
  <si>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</si>
  <si>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</si>
  <si>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</si>
  <si>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</si>
  <si>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</si>
  <si>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</si>
  <si>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</si>
  <si>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</si>
  <si>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</si>
  <si>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</si>
  <si>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</si>
  <si>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</si>
  <si>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</si>
  <si>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</si>
  <si>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</si>
  <si>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</si>
  <si>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</si>
  <si>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</si>
  <si>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</si>
  <si>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</si>
  <si>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</si>
  <si>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</si>
  <si>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</si>
  <si>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</si>
  <si>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</si>
  <si>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</si>
  <si>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</si>
  <si>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</si>
  <si>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</si>
  <si>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</si>
  <si>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</si>
  <si>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</si>
  <si>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</si>
  <si>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</si>
  <si>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</si>
  <si>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</si>
  <si>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</si>
  <si>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</si>
  <si>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</si>
  <si>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</si>
  <si>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</si>
  <si>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</si>
  <si>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</si>
  <si>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</si>
  <si>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</si>
  <si>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</si>
  <si>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</si>
  <si>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</si>
  <si>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</si>
  <si>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</si>
  <si>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</si>
  <si>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</si>
  <si>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</si>
  <si>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</si>
  <si>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</si>
  <si>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</si>
  <si>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</si>
  <si>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</si>
  <si>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</si>
  <si>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</si>
  <si>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</si>
  <si>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</si>
  <si>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</si>
  <si>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</si>
  <si>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</si>
  <si>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</si>
  <si>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</si>
  <si>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</si>
  <si>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</si>
  <si>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</si>
  <si>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</si>
  <si>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</si>
  <si>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</si>
  <si>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</si>
  <si>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</si>
  <si>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</si>
  <si>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</si>
  <si>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</si>
  <si>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</si>
  <si>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</si>
  <si>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</si>
  <si>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</si>
  <si>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</si>
  <si>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</si>
  <si>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</si>
  <si>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</si>
  <si>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</si>
  <si>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</si>
  <si>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</si>
  <si>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</si>
  <si>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</si>
  <si>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</si>
  <si>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</si>
  <si>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</si>
  <si>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</si>
  <si>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</si>
  <si>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</si>
  <si>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</si>
  <si>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</si>
  <si>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</si>
  <si>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</si>
  <si>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</si>
  <si>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</si>
  <si>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</si>
  <si>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</si>
  <si>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</si>
  <si>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</si>
  <si>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</si>
  <si>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</si>
  <si>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</si>
  <si>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</si>
  <si>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</si>
  <si>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</si>
  <si>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</si>
  <si>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</si>
  <si>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</si>
  <si>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</si>
  <si>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</si>
  <si>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</si>
  <si>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</si>
  <si>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</si>
  <si>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</si>
  <si>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</si>
  <si>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</si>
  <si>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</si>
  <si>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</si>
  <si>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</si>
  <si>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</si>
  <si>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</si>
  <si>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</si>
  <si>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</si>
  <si>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</si>
  <si>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</si>
  <si>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</si>
  <si>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</si>
  <si>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</si>
  <si>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</si>
  <si>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</si>
  <si>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</si>
  <si>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</si>
  <si>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</si>
  <si>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</si>
  <si>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</si>
  <si>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</si>
  <si>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</si>
  <si>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</si>
  <si>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</si>
  <si>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</si>
  <si>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</si>
  <si>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</si>
  <si>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</si>
  <si>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</si>
  <si>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</si>
  <si>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</si>
  <si>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</si>
  <si>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</si>
  <si>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</si>
  <si>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</si>
  <si>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</si>
  <si>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</si>
  <si>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</si>
  <si>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</si>
  <si>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</si>
  <si>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</si>
  <si>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</si>
  <si>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</si>
  <si>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</si>
  <si>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</si>
  <si>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</si>
  <si>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</si>
  <si>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</si>
  <si>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</si>
  <si>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</si>
  <si>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</si>
  <si>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</si>
  <si>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</si>
  <si>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</si>
  <si>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</si>
  <si>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</si>
  <si>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</si>
  <si>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</si>
  <si>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</si>
  <si>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</si>
  <si>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</si>
  <si>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</si>
  <si>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</si>
  <si>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</si>
  <si>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</si>
  <si>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</si>
  <si>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</si>
  <si>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</si>
  <si>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</si>
  <si>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</si>
  <si>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</si>
  <si>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</si>
  <si>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</si>
  <si>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</si>
  <si>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</si>
  <si>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</si>
  <si>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</si>
  <si>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</si>
  <si>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</si>
  <si>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</si>
  <si>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</si>
  <si>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</si>
  <si>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</si>
  <si>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</si>
  <si>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</si>
  <si>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</si>
  <si>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</si>
  <si>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</si>
  <si>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</si>
  <si>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</si>
  <si>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</si>
  <si>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</si>
  <si>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</si>
  <si>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</si>
  <si>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</si>
  <si>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</si>
  <si>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</si>
  <si>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</si>
  <si>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</si>
  <si>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</si>
  <si>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</si>
  <si>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</si>
  <si>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</si>
  <si>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</si>
  <si>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</si>
  <si>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</si>
  <si>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</si>
  <si>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</si>
  <si>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</si>
  <si>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</si>
  <si>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</si>
  <si>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</si>
  <si>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</si>
  <si>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</si>
  <si>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</si>
  <si>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</si>
  <si>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</si>
  <si>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</si>
  <si>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</si>
  <si>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</si>
  <si>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</si>
  <si>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</si>
  <si>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</si>
  <si>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</si>
  <si>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</si>
  <si>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</si>
  <si>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</si>
  <si>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</si>
  <si>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</si>
  <si>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</si>
  <si>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</si>
  <si>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</si>
  <si>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</si>
  <si>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</si>
  <si>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</si>
  <si>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</si>
  <si>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</si>
  <si>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</si>
  <si>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</si>
  <si>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</si>
  <si>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</si>
  <si>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</si>
  <si>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</si>
  <si>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</si>
  <si>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</si>
  <si>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</si>
  <si>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</si>
  <si>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</si>
  <si>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</si>
  <si>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</si>
  <si>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</si>
  <si>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</si>
  <si>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</si>
  <si>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</si>
  <si>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</si>
  <si>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</si>
  <si>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</si>
  <si>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</si>
  <si>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</si>
  <si>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</si>
  <si>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</si>
  <si>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</si>
  <si>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</si>
  <si>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</si>
  <si>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</si>
  <si>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</si>
  <si>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</si>
  <si>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</si>
  <si>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</si>
  <si>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</si>
  <si>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</si>
  <si>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</si>
  <si>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</si>
  <si>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</si>
  <si>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</si>
  <si>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</si>
  <si>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</si>
  <si>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</si>
  <si>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</si>
  <si>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</si>
  <si>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</si>
  <si>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</si>
  <si>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</si>
  <si>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</si>
  <si>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</si>
  <si>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</si>
  <si>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</si>
  <si>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</si>
  <si>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</si>
  <si>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</si>
  <si>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</si>
  <si>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</si>
  <si>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</si>
  <si>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</si>
  <si>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</si>
  <si>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</si>
  <si>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</si>
  <si>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</si>
  <si>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</si>
  <si>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</si>
  <si>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</si>
  <si>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</si>
  <si>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</si>
  <si>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</si>
  <si>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</si>
  <si>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</si>
  <si>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</si>
  <si>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</si>
  <si>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</si>
  <si>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</si>
  <si>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</si>
  <si>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</si>
  <si>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</si>
  <si>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</si>
  <si>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</si>
  <si>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</si>
  <si>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</si>
  <si>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</si>
  <si>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</si>
  <si>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</si>
  <si>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</si>
  <si>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</si>
  <si>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</si>
  <si>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</si>
  <si>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</si>
  <si>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</si>
  <si>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</si>
  <si>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</si>
  <si>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</si>
  <si>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</si>
  <si>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</si>
  <si>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</si>
  <si>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</si>
  <si>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</si>
  <si>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</si>
  <si>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</si>
  <si>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</si>
  <si>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</si>
  <si>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</si>
  <si>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</si>
  <si>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</si>
  <si>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</si>
  <si>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</si>
  <si>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</si>
  <si>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</si>
  <si>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</si>
  <si>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</si>
  <si>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</si>
  <si>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</si>
  <si>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</si>
  <si>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</si>
  <si>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</si>
  <si>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</si>
  <si>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</si>
  <si>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</si>
  <si>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</si>
  <si>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</si>
  <si>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</si>
  <si>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</si>
  <si>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</si>
  <si>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</si>
  <si>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</si>
  <si>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</si>
  <si>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</si>
  <si>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</si>
  <si>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</si>
  <si>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</si>
  <si>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</si>
  <si>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</si>
  <si>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</si>
  <si>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</si>
  <si>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</si>
  <si>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</si>
  <si>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</si>
  <si>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</si>
  <si>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</si>
  <si>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</si>
  <si>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</si>
  <si>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</si>
  <si>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</si>
  <si>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</si>
  <si>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</si>
  <si>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</si>
  <si>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</si>
  <si>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</si>
  <si>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</si>
  <si>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</si>
  <si>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</si>
  <si>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</si>
  <si>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</si>
  <si>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</si>
  <si>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</si>
  <si>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</si>
  <si>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</si>
  <si>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</si>
  <si>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</si>
  <si>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</si>
  <si>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</si>
  <si>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</si>
  <si>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</si>
  <si>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</si>
  <si>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</si>
  <si>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</si>
  <si>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</si>
  <si>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</si>
  <si>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</si>
  <si>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</si>
  <si>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</si>
  <si>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</si>
  <si>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</si>
  <si>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</si>
  <si>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</si>
  <si>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</si>
  <si>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</si>
  <si>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</si>
  <si>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</si>
  <si>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</si>
  <si>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</si>
  <si>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</si>
  <si>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</si>
  <si>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</si>
  <si>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</si>
  <si>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</si>
  <si>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</si>
  <si>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</si>
  <si>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</si>
  <si>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</si>
  <si>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</si>
  <si>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</si>
  <si>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</si>
  <si>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</si>
  <si>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</si>
  <si>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</si>
  <si>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</si>
  <si>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</si>
  <si>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</si>
  <si>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</si>
  <si>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</si>
  <si>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</si>
  <si>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</si>
  <si>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</si>
  <si>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</si>
  <si>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</si>
  <si>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</si>
  <si>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</si>
  <si>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</si>
  <si>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</si>
  <si>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</si>
  <si>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</si>
  <si>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</si>
  <si>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</si>
  <si>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</si>
  <si>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</si>
  <si>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</si>
  <si>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</si>
  <si>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</si>
  <si>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</si>
  <si>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</si>
  <si>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</si>
  <si>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</si>
  <si>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</si>
  <si>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</si>
  <si>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</si>
  <si>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</si>
  <si>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</si>
  <si>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</si>
  <si>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</si>
  <si>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</si>
  <si>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</si>
  <si>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</si>
  <si>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</si>
  <si>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</si>
  <si>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</si>
  <si>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</si>
  <si>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</si>
  <si>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</si>
  <si>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</si>
  <si>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</si>
  <si>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</si>
  <si>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</si>
  <si>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</si>
  <si>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</si>
  <si>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</si>
  <si>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</si>
  <si>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</si>
  <si>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</si>
  <si>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</si>
  <si>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</si>
  <si>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</si>
  <si>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</si>
  <si>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</si>
  <si>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</si>
  <si>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</si>
  <si>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</si>
  <si>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</si>
  <si>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</si>
  <si>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</si>
  <si>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</si>
  <si>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</si>
  <si>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</si>
  <si>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</si>
  <si>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</si>
  <si>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</si>
  <si>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</si>
  <si>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</si>
  <si>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</si>
  <si>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</si>
  <si>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</si>
  <si>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</si>
  <si>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</si>
  <si>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</si>
  <si>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</si>
  <si>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</si>
  <si>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</si>
  <si>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</si>
  <si>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</si>
  <si>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</si>
  <si>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</si>
  <si>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</si>
  <si>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</si>
  <si>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</si>
  <si>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</si>
  <si>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</si>
  <si>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</si>
  <si>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</si>
  <si>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</si>
  <si>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</si>
  <si>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</si>
  <si>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</si>
  <si>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</si>
  <si>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</si>
  <si>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</si>
  <si>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</si>
  <si>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</si>
  <si>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</si>
  <si>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</si>
  <si>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</si>
  <si>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</si>
  <si>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</si>
  <si>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</si>
  <si>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</si>
  <si>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</si>
  <si>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</si>
  <si>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</si>
  <si>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</si>
  <si>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</si>
  <si>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</si>
  <si>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</si>
  <si>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</si>
  <si>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</si>
  <si>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</si>
  <si>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</si>
  <si>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</si>
  <si>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</si>
  <si>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</si>
  <si>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</si>
  <si>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</si>
  <si>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</si>
  <si>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</si>
  <si>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</si>
  <si>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</si>
  <si>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</si>
  <si>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</si>
  <si>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</si>
  <si>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</si>
  <si>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</si>
  <si>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</si>
  <si>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</si>
  <si>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</si>
  <si>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</si>
  <si>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</si>
  <si>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</si>
  <si>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</si>
  <si>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</si>
  <si>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</si>
  <si>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</si>
  <si>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</si>
  <si>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</si>
  <si>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</si>
  <si>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</si>
  <si>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</si>
  <si>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</si>
  <si>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</si>
  <si>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</si>
  <si>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</si>
  <si>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</si>
  <si>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</si>
  <si>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</si>
  <si>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</si>
  <si>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</si>
  <si>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</si>
  <si>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</si>
  <si>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</si>
  <si>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</si>
  <si>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</si>
  <si>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</si>
  <si>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</si>
  <si>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</si>
  <si>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</si>
  <si>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</si>
  <si>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</si>
  <si>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</si>
  <si>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</si>
  <si>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</si>
  <si>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</si>
  <si>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</si>
  <si>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</si>
  <si>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</si>
  <si>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</si>
  <si>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</si>
  <si>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</si>
  <si>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</si>
  <si>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</si>
  <si>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</si>
  <si>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</si>
  <si>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</si>
  <si>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</si>
  <si>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</si>
  <si>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</si>
  <si>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</si>
  <si>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</si>
  <si>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</si>
  <si>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</si>
  <si>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</si>
  <si>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</si>
  <si>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</si>
  <si>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</si>
  <si>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</si>
  <si>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</si>
  <si>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</si>
  <si>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</si>
  <si>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</si>
  <si>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</si>
  <si>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</si>
  <si>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</si>
  <si>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</si>
  <si>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</si>
  <si>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</si>
  <si>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</si>
  <si>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</si>
  <si>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</si>
  <si>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</si>
  <si>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</si>
  <si>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</si>
  <si>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</si>
  <si>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</si>
  <si>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</si>
  <si>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</si>
  <si>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</si>
  <si>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</si>
  <si>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</si>
  <si>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</si>
  <si>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</si>
  <si>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</si>
  <si>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</si>
  <si>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</si>
  <si>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</si>
  <si>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</si>
  <si>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</si>
  <si>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</si>
  <si>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</si>
  <si>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</si>
  <si>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</si>
  <si>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</si>
  <si>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</si>
  <si>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</si>
  <si>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</si>
  <si>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</si>
  <si>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</si>
  <si>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</si>
  <si>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</si>
  <si>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</si>
  <si>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</si>
  <si>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</si>
  <si>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</si>
  <si>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</si>
  <si>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</si>
  <si>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</si>
  <si>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</si>
  <si>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</si>
  <si>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</si>
  <si>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</si>
  <si>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</si>
  <si>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</si>
  <si>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</si>
  <si>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</si>
  <si>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</si>
  <si>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</si>
  <si>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</si>
  <si>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</si>
  <si>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</si>
  <si>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</si>
  <si>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</si>
  <si>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</si>
  <si>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</si>
  <si>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</si>
  <si>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</si>
  <si>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</si>
  <si>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</si>
  <si>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</si>
  <si>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</si>
  <si>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</si>
  <si>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</si>
  <si>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</si>
  <si>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</si>
  <si>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</si>
  <si>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</si>
  <si>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</si>
  <si>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</si>
  <si>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</si>
  <si>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</si>
  <si>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</si>
  <si>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</si>
  <si>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</si>
  <si>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</si>
  <si>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</si>
  <si>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</si>
  <si>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</si>
  <si>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</si>
  <si>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</si>
  <si>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</si>
  <si>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</si>
  <si>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</si>
  <si>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</si>
  <si>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</si>
  <si>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</si>
  <si>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</si>
  <si>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</si>
  <si>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</si>
  <si>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</si>
  <si>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</si>
  <si>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</si>
  <si>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</si>
  <si>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</si>
  <si>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</si>
  <si>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</si>
  <si>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</si>
  <si>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</si>
  <si>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</si>
  <si>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</si>
  <si>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</si>
  <si>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</si>
  <si>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</si>
  <si>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</si>
  <si>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</si>
  <si>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</si>
  <si>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</si>
  <si>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</si>
  <si>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</si>
  <si>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</si>
  <si>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</si>
  <si>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</si>
  <si>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</si>
  <si>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</si>
  <si>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</si>
  <si>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</si>
  <si>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</si>
  <si>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</si>
  <si>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</si>
  <si>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</si>
  <si>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</si>
  <si>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</si>
  <si>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</si>
  <si>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</si>
  <si>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</si>
  <si>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</si>
  <si>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</si>
  <si>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</si>
  <si>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</si>
  <si>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</si>
  <si>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</si>
  <si>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</si>
  <si>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</si>
  <si>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</si>
  <si>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</si>
  <si>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</si>
  <si>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</si>
  <si>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</si>
  <si>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</si>
  <si>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</si>
  <si>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</si>
  <si>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</si>
  <si>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</si>
  <si>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</si>
  <si>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</si>
  <si>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</si>
  <si>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</si>
  <si>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</si>
  <si>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</si>
  <si>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</si>
  <si>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</si>
  <si>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</si>
  <si>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</si>
  <si>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</si>
  <si>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</si>
  <si>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</si>
  <si>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</si>
  <si>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</si>
  <si>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</si>
  <si>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</si>
  <si>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</si>
  <si>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</si>
  <si>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</si>
  <si>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</si>
  <si>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</si>
  <si>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</si>
  <si>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</si>
  <si>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</si>
  <si>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</si>
  <si>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</si>
  <si>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</si>
  <si>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</si>
  <si>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</si>
  <si>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</si>
  <si>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</si>
  <si>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</si>
  <si>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</si>
  <si>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</si>
  <si>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</si>
  <si>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</si>
  <si>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</si>
  <si>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</si>
  <si>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</si>
  <si>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</si>
  <si>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</si>
  <si>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</si>
  <si>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</si>
  <si>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</si>
  <si>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</si>
  <si>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</si>
  <si>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</si>
  <si>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</si>
  <si>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</si>
  <si>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</si>
  <si>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</si>
  <si>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</si>
  <si>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</si>
  <si>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</si>
  <si>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</si>
  <si>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</si>
  <si>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</si>
  <si>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</si>
  <si>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</si>
  <si>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</si>
  <si>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</si>
  <si>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</si>
  <si>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</si>
  <si>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</si>
  <si>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</si>
  <si>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</si>
  <si>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</si>
  <si>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</si>
  <si>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</si>
  <si>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</si>
  <si>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</si>
  <si>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</si>
  <si>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</si>
  <si>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</si>
  <si>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</si>
  <si>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</si>
  <si>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</si>
  <si>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</si>
  <si>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</si>
  <si>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</si>
  <si>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</si>
  <si>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</si>
  <si>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</si>
  <si>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</si>
  <si>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</si>
  <si>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</si>
  <si>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</si>
  <si>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</si>
  <si>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</si>
  <si>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</si>
  <si>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</si>
  <si>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</si>
  <si>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</si>
  <si>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</si>
  <si>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</si>
  <si>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</si>
  <si>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</si>
  <si>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</si>
  <si>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</si>
  <si>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</si>
  <si>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</si>
  <si>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</si>
  <si>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</si>
  <si>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</si>
  <si>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</si>
  <si>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</si>
  <si>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</si>
  <si>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</si>
  <si>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</si>
  <si>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</si>
  <si>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</si>
  <si>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</si>
  <si>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</si>
  <si>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</si>
  <si>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</si>
  <si>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</si>
  <si>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</si>
  <si>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</si>
  <si>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</si>
  <si>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</si>
  <si>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</si>
  <si>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</si>
  <si>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</si>
  <si>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</si>
  <si>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</si>
  <si>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</si>
  <si>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</si>
  <si>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</si>
  <si>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</si>
  <si>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</si>
  <si>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</si>
  <si>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</si>
  <si>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</si>
  <si>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</si>
  <si>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</si>
  <si>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</si>
  <si>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</si>
  <si>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</si>
  <si>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</si>
  <si>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</si>
  <si>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</si>
  <si>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</si>
  <si>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</si>
  <si>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</si>
  <si>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</si>
  <si>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</si>
  <si>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</si>
  <si>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</si>
  <si>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</si>
  <si>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</si>
  <si>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</si>
  <si>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</si>
  <si>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</si>
  <si>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</si>
  <si>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</si>
  <si>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</si>
  <si>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</si>
  <si>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</si>
  <si>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</si>
  <si>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</si>
  <si>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</si>
  <si>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</si>
  <si>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</si>
  <si>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</si>
  <si>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</si>
  <si>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</si>
  <si>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</si>
  <si>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</si>
  <si>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</si>
  <si>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</si>
  <si>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</si>
  <si>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</si>
  <si>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</si>
  <si>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</si>
  <si>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</si>
  <si>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</si>
  <si>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</si>
  <si>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</si>
  <si>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</si>
  <si>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</si>
  <si>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</si>
  <si>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</si>
  <si>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</si>
  <si>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</si>
  <si>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</si>
  <si>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</si>
  <si>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</si>
  <si>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</si>
  <si>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</si>
  <si>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</si>
  <si>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</si>
  <si>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</si>
  <si>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</si>
  <si>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</si>
  <si>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</si>
  <si>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</si>
  <si>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</si>
  <si>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</si>
  <si>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</si>
  <si>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</si>
  <si>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</si>
  <si>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</si>
  <si>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</si>
  <si>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</si>
  <si>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</si>
  <si>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</si>
  <si>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</si>
  <si>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</si>
  <si>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</si>
  <si>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</si>
  <si>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</si>
  <si>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</si>
  <si>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</si>
  <si>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</si>
  <si>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</si>
  <si>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</si>
  <si>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</si>
  <si>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</si>
  <si>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</si>
  <si>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</si>
  <si>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</si>
  <si>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</si>
  <si>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</si>
  <si>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</si>
  <si>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</si>
  <si>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</si>
  <si>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</si>
  <si>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</si>
  <si>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</si>
  <si>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</si>
  <si>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</si>
  <si>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</si>
  <si>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</si>
  <si>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</si>
  <si>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</si>
  <si>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</si>
  <si>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</si>
  <si>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</si>
  <si>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</si>
  <si>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</si>
  <si>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</si>
  <si>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</si>
  <si>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</si>
  <si>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</si>
  <si>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</si>
  <si>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</si>
  <si>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</si>
  <si>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</si>
  <si>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</si>
  <si>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</si>
  <si>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</si>
  <si>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</si>
  <si>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</si>
  <si>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</si>
  <si>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</si>
  <si>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</si>
  <si>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</si>
  <si>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</si>
  <si>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</si>
  <si>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</si>
  <si>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</si>
  <si>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</si>
  <si>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</si>
  <si>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</si>
  <si>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</si>
  <si>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</si>
  <si>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</si>
  <si>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</si>
  <si>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</si>
  <si>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</si>
  <si>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</si>
  <si>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</si>
  <si>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</si>
  <si>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</si>
  <si>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</si>
  <si>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</si>
  <si>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</si>
  <si>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</si>
  <si>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</si>
  <si>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</si>
  <si>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</si>
  <si>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</si>
  <si>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</si>
  <si>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</si>
  <si>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</si>
  <si>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</si>
  <si>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</si>
  <si>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</si>
  <si>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</si>
  <si>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</si>
  <si>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</si>
  <si>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</si>
  <si>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</si>
  <si>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</si>
  <si>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</si>
  <si>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</si>
  <si>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</si>
  <si>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</si>
  <si>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</si>
  <si>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</si>
  <si>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</si>
  <si>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</si>
  <si>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</si>
  <si>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</si>
  <si>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</si>
  <si>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</si>
  <si>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</si>
  <si>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</si>
  <si>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</si>
  <si>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</si>
  <si>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</si>
  <si>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</si>
  <si>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</si>
  <si>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</si>
  <si>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</si>
  <si>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</si>
  <si>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</si>
  <si>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</si>
  <si>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</si>
  <si>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</si>
  <si>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</si>
  <si>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</si>
  <si>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</si>
  <si>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</si>
  <si>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</si>
  <si>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</si>
  <si>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</si>
  <si>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</si>
  <si>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</si>
  <si>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</si>
  <si>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</si>
  <si>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</si>
  <si>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</si>
  <si>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</si>
  <si>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</si>
  <si>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</si>
  <si>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</si>
  <si>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</si>
  <si>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</si>
  <si>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</si>
  <si>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</si>
  <si>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</si>
  <si>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</si>
  <si>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</si>
  <si>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</si>
  <si>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</si>
  <si>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</si>
  <si>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</si>
  <si>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</si>
  <si>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</si>
  <si>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</si>
  <si>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</si>
  <si>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</si>
  <si>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</si>
  <si>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</si>
  <si>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</si>
  <si>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</si>
  <si>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</si>
  <si>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</si>
  <si>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</si>
  <si>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</si>
  <si>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</si>
  <si>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</si>
  <si>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</si>
  <si>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</si>
  <si>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</si>
  <si>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</si>
  <si>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</si>
  <si>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</si>
  <si>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</si>
  <si>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</si>
  <si>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</si>
  <si>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</si>
  <si>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</si>
  <si>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</si>
  <si>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</si>
  <si>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</si>
  <si>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</si>
  <si>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</si>
  <si>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</si>
  <si>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</si>
  <si>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</si>
  <si>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</si>
  <si>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</si>
  <si>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</si>
  <si>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</si>
  <si>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</si>
  <si>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</si>
  <si>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</si>
  <si>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</si>
  <si>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</si>
  <si>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</si>
  <si>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</si>
  <si>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</si>
  <si>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</si>
  <si>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</si>
  <si>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</si>
  <si>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</si>
  <si>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</si>
  <si>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</si>
  <si>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</si>
  <si>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</si>
  <si>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</si>
  <si>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</si>
  <si>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</si>
  <si>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</si>
  <si>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</si>
  <si>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</si>
  <si>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</si>
  <si>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</si>
  <si>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</si>
  <si>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</si>
  <si>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</si>
  <si>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</si>
  <si>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</si>
  <si>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</si>
  <si>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</si>
  <si>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</si>
  <si>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</si>
  <si>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</si>
  <si>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</si>
  <si>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</si>
  <si>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</si>
  <si>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</si>
  <si>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</si>
  <si>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</si>
  <si>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</si>
  <si>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</si>
  <si>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</si>
  <si>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</si>
  <si>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</si>
  <si>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</si>
  <si>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</si>
  <si>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</si>
  <si>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</si>
  <si>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</si>
  <si>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</si>
  <si>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</si>
  <si>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</si>
  <si>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</si>
  <si>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</si>
  <si>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</si>
  <si>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</si>
  <si>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</si>
  <si>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</si>
  <si>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</si>
  <si>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</si>
  <si>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</si>
  <si>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</si>
  <si>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</si>
  <si>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</si>
  <si>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</si>
  <si>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</si>
  <si>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</si>
  <si>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</si>
  <si>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</si>
  <si>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</si>
  <si>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</si>
  <si>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</si>
  <si>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</si>
  <si>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</si>
  <si>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</si>
  <si>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</si>
  <si>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</si>
  <si>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</si>
  <si>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</si>
  <si>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</si>
  <si>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</si>
  <si>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</si>
  <si>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</si>
  <si>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</si>
  <si>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</si>
  <si>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</si>
  <si>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</si>
  <si>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</si>
  <si>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</si>
  <si>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</si>
  <si>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</si>
  <si>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</si>
  <si>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</si>
  <si>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</si>
  <si>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</si>
  <si>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</si>
  <si>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</si>
  <si>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</si>
  <si>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</si>
  <si>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</si>
  <si>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</si>
  <si>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</si>
  <si>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</si>
  <si>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</si>
  <si>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</si>
  <si>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</si>
  <si>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</si>
  <si>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</si>
  <si>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</si>
  <si>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</si>
  <si>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</si>
  <si>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</si>
  <si>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</si>
  <si>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</si>
  <si>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</si>
  <si>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</si>
  <si>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</si>
  <si>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</si>
  <si>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</si>
  <si>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</si>
  <si>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</si>
  <si>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</si>
  <si>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</si>
  <si>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</si>
  <si>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</si>
  <si>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</si>
  <si>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</si>
  <si>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</si>
  <si>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</si>
  <si>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</si>
  <si>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</si>
  <si>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</si>
  <si>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</si>
  <si>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</si>
  <si>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</si>
  <si>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</si>
  <si>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</si>
  <si>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</si>
  <si>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</si>
  <si>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</si>
  <si>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</si>
  <si>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</si>
  <si>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</si>
  <si>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</si>
  <si>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</si>
  <si>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</si>
  <si>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</si>
  <si>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</si>
  <si>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</si>
  <si>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</si>
  <si>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</si>
  <si>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</si>
  <si>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</si>
  <si>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</si>
  <si>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</si>
  <si>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</si>
  <si>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</si>
  <si>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</si>
  <si>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</si>
  <si>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</si>
  <si>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</si>
  <si>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</si>
  <si>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</si>
  <si>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</si>
  <si>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</si>
  <si>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</si>
  <si>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</si>
  <si>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</si>
  <si>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</si>
  <si>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</si>
  <si>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</si>
  <si>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</si>
  <si>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</si>
  <si>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</si>
  <si>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</si>
  <si>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</si>
  <si>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</si>
  <si>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</si>
  <si>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</si>
  <si>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</si>
  <si>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</si>
  <si>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</si>
  <si>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</si>
  <si>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</si>
  <si>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</si>
  <si>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</si>
  <si>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</si>
  <si>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</si>
  <si>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</si>
  <si>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</si>
  <si>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</si>
  <si>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</si>
  <si>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</si>
  <si>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</si>
  <si>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</si>
  <si>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</si>
  <si>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</si>
  <si>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</si>
  <si>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</si>
  <si>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</si>
  <si>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</si>
  <si>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</si>
  <si>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</si>
  <si>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</si>
  <si>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</si>
  <si>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</si>
  <si>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</si>
  <si>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</si>
  <si>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</si>
  <si>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</si>
  <si>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</si>
  <si>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</si>
  <si>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</si>
  <si>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</si>
  <si>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</si>
  <si>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</si>
  <si>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</si>
  <si>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</si>
  <si>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</si>
  <si>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</si>
  <si>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</si>
  <si>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</si>
  <si>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</si>
  <si>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</si>
  <si>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</si>
  <si>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</si>
  <si>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</si>
  <si>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</si>
  <si>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</si>
  <si>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</si>
  <si>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</si>
  <si>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</si>
  <si>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</si>
  <si>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</si>
  <si>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</si>
  <si>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</si>
  <si>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</si>
  <si>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</si>
  <si>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</si>
  <si>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</si>
  <si>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</si>
  <si>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</si>
  <si>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</si>
  <si>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</si>
  <si>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</si>
  <si>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</si>
  <si>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</si>
  <si>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</si>
  <si>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</si>
  <si>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</si>
  <si>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</si>
  <si>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</si>
  <si>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</si>
  <si>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</si>
  <si>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</si>
  <si>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</si>
  <si>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</si>
  <si>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</si>
  <si>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</si>
  <si>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</si>
  <si>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</si>
  <si>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</si>
  <si>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</si>
  <si>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</si>
  <si>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</si>
  <si>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</si>
  <si>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</si>
  <si>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</si>
  <si>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</si>
  <si>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</si>
  <si>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</si>
  <si>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</si>
  <si>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</si>
  <si>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</si>
  <si>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</si>
  <si>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</si>
  <si>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</si>
  <si>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</si>
  <si>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</si>
  <si>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</si>
  <si>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</si>
  <si>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</si>
  <si>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</si>
  <si>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</si>
  <si>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</si>
  <si>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</si>
  <si>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</si>
  <si>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</si>
  <si>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</si>
  <si>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</si>
  <si>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</si>
  <si>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</si>
  <si>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</si>
  <si>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</si>
  <si>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</si>
  <si>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</si>
  <si>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</si>
  <si>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</si>
  <si>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</si>
  <si>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</si>
  <si>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</si>
  <si>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</si>
  <si>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</si>
  <si>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</si>
  <si>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</si>
  <si>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</si>
  <si>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</si>
  <si>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</si>
  <si>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</si>
  <si>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</si>
  <si>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</si>
  <si>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</si>
  <si>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</si>
  <si>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</si>
  <si>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</si>
  <si>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</si>
  <si>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</si>
  <si>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</si>
  <si>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</si>
  <si>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</si>
  <si>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</si>
  <si>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</si>
  <si>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</si>
  <si>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</si>
  <si>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</si>
  <si>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</si>
  <si>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</si>
  <si>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</si>
  <si>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</si>
  <si>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</si>
  <si>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</si>
  <si>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</si>
  <si>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</si>
  <si>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</si>
  <si>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</si>
  <si>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</si>
  <si>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</si>
  <si>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</si>
  <si>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</si>
  <si>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</si>
  <si>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</si>
  <si>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</si>
  <si>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</si>
  <si>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</si>
  <si>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</si>
  <si>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</si>
  <si>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</si>
  <si>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</si>
  <si>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</si>
  <si>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</si>
  <si>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</si>
  <si>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</si>
  <si>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</si>
  <si>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</si>
  <si>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</si>
  <si>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</si>
  <si>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</si>
  <si>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</si>
  <si>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</si>
  <si>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</si>
  <si>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</si>
  <si>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</si>
  <si>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</si>
  <si>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</si>
  <si>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</si>
  <si>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</si>
  <si>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</si>
  <si>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</si>
  <si>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</si>
  <si>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</si>
  <si>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</si>
  <si>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</si>
  <si>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</si>
  <si>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</si>
  <si>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</si>
  <si>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</si>
  <si>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</si>
  <si>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</si>
  <si>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</si>
  <si>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</si>
  <si>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</si>
  <si>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</si>
  <si>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</si>
  <si>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</si>
  <si>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</si>
  <si>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</si>
  <si>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</si>
  <si>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</si>
  <si>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</si>
  <si>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</si>
  <si>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</si>
  <si>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</si>
  <si>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</si>
  <si>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</si>
  <si>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</si>
  <si>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</si>
  <si>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</si>
  <si>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</si>
  <si>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</si>
  <si>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</si>
  <si>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</si>
  <si>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</si>
  <si>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</si>
  <si>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</si>
  <si>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</si>
  <si>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</si>
  <si>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</si>
  <si>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</si>
  <si>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</si>
  <si>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</si>
  <si>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</si>
  <si>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</si>
  <si>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</si>
  <si>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</si>
  <si>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</si>
  <si>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</si>
  <si>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</si>
  <si>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</si>
  <si>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</si>
  <si>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</si>
  <si>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</si>
  <si>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</si>
  <si>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</si>
  <si>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</si>
  <si>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</si>
  <si>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</si>
  <si>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</si>
  <si>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</si>
  <si>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</si>
  <si>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</si>
  <si>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</si>
  <si>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</si>
  <si>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</si>
  <si>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</si>
  <si>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</si>
  <si>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</si>
  <si>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</si>
  <si>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</si>
  <si>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</si>
  <si>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</si>
  <si>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</si>
  <si>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</si>
  <si>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</si>
  <si>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</si>
  <si>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</si>
  <si>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</si>
  <si>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</si>
  <si>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</si>
  <si>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</si>
  <si>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</si>
  <si>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</si>
  <si>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</si>
  <si>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</si>
  <si>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</si>
  <si>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</si>
  <si>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</si>
  <si>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</si>
  <si>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</si>
  <si>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</si>
  <si>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</si>
  <si>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</si>
  <si>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</si>
  <si>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</si>
  <si>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</si>
  <si>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</si>
  <si>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</si>
  <si>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</si>
  <si>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</si>
  <si>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</si>
  <si>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</si>
  <si>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</si>
  <si>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</si>
  <si>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</si>
  <si>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</si>
  <si>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</si>
  <si>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</si>
  <si>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</si>
  <si>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</si>
  <si>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</si>
  <si>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</si>
  <si>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</si>
  <si>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</si>
  <si>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</si>
  <si>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</si>
  <si>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</si>
  <si>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</si>
  <si>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</si>
  <si>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</si>
  <si>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</si>
  <si>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</si>
  <si>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</si>
  <si>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</si>
  <si>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</si>
  <si>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</si>
  <si>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</si>
  <si>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</si>
  <si>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</si>
  <si>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</si>
  <si>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</si>
  <si>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</si>
  <si>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</si>
  <si>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</si>
  <si>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</si>
  <si>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</si>
  <si>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</si>
  <si>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</si>
  <si>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</si>
  <si>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</si>
  <si>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</si>
  <si>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</si>
  <si>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</si>
  <si>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</si>
  <si>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</si>
  <si>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</si>
  <si>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</si>
  <si>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</si>
  <si>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</si>
  <si>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</si>
  <si>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</si>
  <si>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</si>
  <si>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</si>
  <si>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</si>
  <si>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</si>
  <si>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</si>
  <si>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</si>
  <si>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</si>
  <si>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</si>
  <si>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</si>
  <si>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</si>
  <si>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</si>
  <si>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</si>
  <si>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</si>
  <si>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</si>
  <si>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</si>
  <si>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</si>
  <si>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</si>
  <si>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</si>
  <si>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</si>
  <si>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</si>
  <si>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</si>
  <si>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</si>
  <si>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</si>
  <si>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</si>
  <si>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</si>
  <si>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</si>
  <si>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</si>
  <si>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</si>
  <si>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</si>
  <si>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</si>
  <si>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</si>
  <si>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</si>
  <si>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</si>
  <si>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</si>
  <si>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</si>
  <si>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</si>
  <si>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</si>
  <si>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</si>
  <si>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</si>
  <si>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</si>
  <si>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</si>
  <si>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</si>
  <si>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</si>
  <si>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</si>
  <si>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</si>
  <si>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</si>
  <si>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</si>
  <si>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</si>
  <si>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</si>
  <si>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</si>
  <si>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</si>
  <si>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</si>
  <si>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</si>
  <si>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</si>
  <si>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</si>
  <si>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</si>
  <si>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</si>
  <si>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</si>
  <si>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</si>
  <si>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</si>
  <si>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</si>
  <si>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</si>
  <si>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</si>
  <si>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</si>
  <si>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</si>
  <si>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</si>
  <si>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</si>
  <si>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</si>
  <si>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</si>
  <si>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</si>
  <si>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</si>
  <si>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</si>
  <si>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</si>
  <si>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</si>
  <si>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</si>
  <si>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</si>
  <si>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</si>
  <si>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</si>
  <si>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</si>
  <si>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</si>
  <si>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</si>
  <si>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</si>
  <si>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</si>
  <si>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</si>
  <si>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</si>
  <si>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</si>
  <si>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</si>
  <si>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</si>
  <si>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</si>
  <si>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</si>
  <si>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</si>
  <si>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</si>
  <si>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</si>
  <si>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</si>
  <si>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</si>
  <si>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</si>
  <si>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</si>
  <si>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</si>
  <si>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</si>
  <si>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</si>
  <si>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</si>
  <si>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</si>
  <si>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</si>
  <si>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</si>
  <si>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</si>
  <si>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</si>
  <si>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</si>
  <si>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</si>
  <si>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</si>
  <si>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</si>
  <si>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</si>
  <si>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</si>
  <si>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</si>
  <si>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</si>
  <si>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</si>
  <si>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</si>
  <si>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</si>
  <si>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</si>
  <si>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</si>
  <si>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</si>
  <si>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</si>
  <si>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</si>
  <si>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</si>
  <si>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</si>
  <si>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</si>
  <si>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</si>
  <si>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</si>
  <si>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</si>
  <si>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</si>
  <si>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</si>
  <si>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</si>
  <si>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</si>
  <si>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</si>
  <si>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</si>
  <si>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</si>
  <si>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</si>
  <si>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</si>
  <si>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</si>
  <si>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</si>
  <si>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</si>
  <si>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</si>
  <si>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</si>
  <si>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</si>
  <si>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</si>
  <si>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</si>
  <si>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</si>
  <si>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</si>
  <si>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</si>
  <si>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</si>
  <si>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</si>
  <si>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</si>
  <si>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</si>
  <si>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</si>
  <si>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</si>
  <si>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</si>
  <si>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</si>
  <si>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</si>
  <si>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</si>
  <si>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</si>
  <si>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</si>
  <si>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</si>
  <si>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</si>
  <si>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</si>
  <si>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</si>
  <si>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</si>
  <si>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</si>
  <si>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</si>
  <si>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</si>
  <si>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</si>
  <si>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</si>
  <si>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</si>
  <si>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</si>
  <si>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</si>
  <si>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</si>
  <si>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</si>
  <si>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</si>
  <si>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</si>
  <si>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</si>
  <si>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</si>
  <si>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</si>
  <si>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</si>
  <si>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</si>
  <si>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</si>
  <si>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</si>
  <si>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</si>
  <si>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</si>
  <si>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</si>
  <si>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</si>
  <si>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</si>
  <si>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</si>
  <si>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</si>
  <si>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</si>
  <si>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</si>
  <si>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</si>
  <si>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</si>
  <si>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</si>
  <si>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</si>
  <si>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</si>
  <si>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</si>
  <si>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</si>
  <si>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</si>
  <si>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</si>
  <si>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</si>
  <si>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</si>
  <si>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</si>
  <si>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</si>
  <si>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</si>
  <si>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</si>
  <si>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</si>
  <si>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</si>
  <si>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</si>
  <si>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</si>
  <si>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</si>
  <si>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</si>
  <si>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</si>
  <si>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</si>
  <si>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</si>
  <si>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</si>
  <si>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</si>
  <si>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</si>
  <si>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</si>
  <si>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</si>
  <si>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</si>
  <si>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</si>
  <si>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</si>
  <si>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</si>
  <si>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</si>
  <si>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</si>
  <si>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</si>
  <si>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</si>
  <si>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</si>
  <si>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</si>
  <si>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</si>
  <si>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</si>
  <si>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</si>
  <si>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</si>
  <si>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</si>
  <si>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</si>
  <si>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</si>
  <si>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</si>
  <si>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</si>
  <si>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</si>
  <si>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</si>
  <si>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</si>
  <si>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</si>
  <si>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</si>
  <si>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</si>
  <si>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</si>
  <si>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</si>
  <si>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</si>
  <si>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</si>
  <si>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</si>
  <si>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</si>
  <si>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</si>
  <si>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</si>
  <si>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</si>
  <si>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</si>
  <si>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</si>
  <si>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</si>
  <si>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</si>
  <si>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</si>
  <si>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</si>
  <si>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</si>
  <si>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</si>
  <si>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</si>
  <si>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</si>
  <si>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</si>
  <si>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</si>
  <si>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</si>
  <si>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</si>
  <si>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</si>
  <si>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</si>
  <si>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</si>
  <si>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</si>
  <si>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</si>
  <si>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</si>
  <si>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</si>
  <si>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</si>
  <si>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</si>
  <si>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</si>
  <si>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</si>
  <si>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</si>
  <si>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</si>
  <si>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</si>
  <si>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</si>
  <si>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</si>
  <si>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</si>
  <si>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</si>
  <si>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</si>
  <si>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</si>
  <si>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</si>
  <si>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</si>
  <si>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</si>
  <si>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</si>
  <si>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</si>
  <si>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</si>
  <si>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</si>
  <si>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</si>
  <si>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</si>
  <si>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</si>
  <si>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</si>
  <si>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</si>
  <si>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</si>
  <si>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</si>
  <si>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</si>
  <si>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</si>
  <si>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</si>
  <si>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</si>
  <si>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</si>
  <si>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</si>
  <si>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</si>
  <si>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</si>
  <si>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</si>
  <si>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</si>
  <si>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</si>
  <si>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</si>
  <si>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</si>
  <si>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</si>
  <si>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</si>
  <si>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</si>
  <si>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</si>
  <si>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</si>
  <si>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</si>
  <si>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</si>
  <si>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</si>
  <si>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</si>
  <si>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</si>
  <si>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</si>
  <si>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</si>
  <si>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</si>
  <si>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</si>
  <si>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</si>
  <si>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</si>
  <si>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</si>
  <si>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</si>
  <si>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</si>
  <si>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</si>
  <si>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</si>
  <si>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</si>
  <si>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</si>
  <si>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</si>
  <si>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</si>
  <si>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</si>
  <si>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</si>
  <si>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</si>
  <si>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</si>
  <si>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</si>
  <si>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</si>
  <si>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</si>
  <si>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</si>
  <si>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</si>
  <si>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</si>
  <si>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</si>
  <si>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</si>
  <si>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</si>
  <si>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</si>
  <si>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</si>
  <si>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</si>
  <si>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</si>
  <si>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</si>
  <si>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</si>
  <si>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</si>
  <si>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</si>
  <si>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</si>
  <si>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</si>
  <si>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</si>
  <si>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</si>
  <si>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</si>
  <si>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</si>
  <si>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</si>
  <si>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</si>
  <si>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</si>
  <si>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</si>
  <si>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</si>
  <si>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</si>
  <si>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</si>
  <si>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</si>
  <si>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</si>
  <si>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</si>
  <si>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</si>
  <si>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</si>
  <si>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</si>
  <si>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</si>
  <si>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</si>
  <si>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</si>
  <si>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</si>
  <si>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</si>
  <si>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</si>
  <si>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</si>
  <si>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</si>
  <si>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</si>
  <si>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</si>
  <si>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</si>
  <si>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</si>
  <si>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</si>
  <si>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</si>
  <si>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</si>
  <si>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</si>
  <si>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</si>
  <si>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</si>
  <si>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</si>
  <si>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</si>
  <si>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</si>
  <si>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</si>
  <si>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</si>
  <si>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</si>
  <si>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</si>
  <si>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</si>
  <si>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</si>
  <si>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</si>
  <si>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</si>
  <si>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</si>
  <si>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</si>
  <si>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</si>
  <si>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</si>
  <si>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</si>
  <si>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</si>
  <si>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</si>
  <si>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</si>
  <si>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</si>
  <si>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</si>
  <si>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</si>
  <si>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</si>
  <si>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</si>
  <si>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</si>
  <si>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</si>
  <si>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</si>
  <si>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</si>
  <si>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</si>
  <si>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</si>
  <si>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</si>
  <si>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</si>
  <si>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</si>
  <si>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</si>
  <si>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</si>
  <si>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</si>
  <si>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</si>
  <si>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</si>
  <si>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</si>
  <si>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</si>
  <si>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</si>
  <si>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</si>
  <si>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</si>
  <si>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</si>
  <si>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</si>
  <si>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</si>
  <si>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</si>
  <si>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</si>
  <si>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</si>
  <si>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</si>
  <si>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</si>
  <si>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</si>
  <si>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</si>
  <si>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</si>
  <si>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</si>
  <si>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</si>
  <si>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</si>
  <si>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</si>
  <si>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</si>
  <si>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</si>
  <si>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</si>
  <si>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</si>
  <si>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</si>
  <si>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</si>
  <si>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</si>
  <si>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</si>
  <si>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</si>
  <si>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</si>
  <si>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</si>
  <si>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</si>
  <si>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</si>
  <si>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</si>
  <si>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</si>
  <si>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</si>
  <si>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</si>
  <si>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</si>
  <si>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</si>
  <si>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</si>
  <si>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</si>
  <si>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</si>
  <si>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</si>
  <si>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</si>
  <si>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</si>
  <si>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</si>
  <si>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</si>
  <si>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</si>
  <si>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</si>
  <si>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</si>
  <si>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</si>
  <si>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</si>
  <si>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</si>
  <si>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</si>
  <si>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</si>
  <si>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</si>
  <si>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</si>
  <si>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</si>
  <si>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</si>
  <si>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</si>
  <si>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</si>
  <si>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</si>
  <si>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</si>
  <si>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</si>
  <si>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</si>
  <si>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</si>
  <si>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</si>
  <si>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</si>
  <si>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</si>
  <si>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</si>
  <si>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</si>
  <si>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</si>
  <si>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</si>
  <si>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</si>
  <si>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</si>
  <si>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</si>
  <si>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</si>
  <si>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</si>
  <si>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</si>
  <si>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</si>
  <si>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</si>
  <si>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</si>
  <si>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</si>
  <si>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</si>
  <si>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</si>
  <si>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</si>
  <si>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</si>
  <si>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</si>
  <si>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</si>
  <si>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</si>
  <si>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</si>
  <si>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</si>
  <si>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</si>
  <si>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</si>
  <si>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</si>
  <si>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</si>
  <si>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</si>
  <si>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</si>
  <si>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</si>
  <si>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</si>
  <si>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</si>
  <si>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</si>
  <si>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</si>
  <si>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</si>
  <si>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</si>
  <si>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</si>
  <si>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</si>
  <si>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</si>
  <si>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</si>
  <si>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</si>
  <si>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</si>
  <si>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</si>
  <si>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</si>
  <si>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</si>
  <si>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</si>
  <si>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</si>
  <si>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</si>
  <si>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</si>
  <si>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</si>
  <si>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</si>
  <si>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</si>
  <si>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</si>
  <si>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</si>
  <si>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</si>
  <si>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</si>
  <si>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</si>
  <si>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</si>
  <si>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</si>
  <si>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</si>
  <si>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</si>
  <si>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</si>
  <si>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</si>
  <si>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</si>
  <si>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</si>
  <si>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</si>
  <si>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</si>
  <si>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</si>
  <si>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</si>
  <si>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</si>
  <si>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</si>
  <si>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</si>
  <si>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</si>
  <si>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</si>
  <si>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</si>
  <si>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</si>
  <si>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</si>
  <si>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</si>
  <si>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</si>
  <si>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</si>
  <si>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</si>
  <si>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</si>
  <si>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</si>
  <si>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</si>
  <si>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</si>
  <si>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</si>
  <si>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</si>
  <si>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</si>
  <si>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</si>
  <si>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</si>
  <si>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</si>
  <si>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</si>
  <si>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</si>
  <si>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</si>
  <si>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</si>
  <si>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</si>
  <si>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</si>
  <si>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</si>
  <si>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</si>
  <si>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</si>
  <si>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</si>
  <si>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</si>
  <si>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</si>
  <si>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</si>
  <si>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</si>
  <si>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</si>
  <si>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</si>
  <si>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</si>
  <si>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</si>
  <si>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</si>
  <si>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</si>
  <si>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</si>
  <si>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</si>
  <si>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</si>
  <si>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</si>
  <si>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</si>
  <si>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</si>
  <si>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</si>
  <si>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</si>
  <si>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</si>
  <si>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</si>
  <si>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</si>
  <si>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</si>
  <si>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</si>
  <si>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</si>
  <si>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</si>
  <si>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</si>
  <si>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</si>
  <si>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</si>
  <si>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</si>
  <si>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</si>
  <si>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</si>
  <si>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</si>
  <si>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</si>
  <si>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</si>
  <si>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</si>
  <si>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</si>
  <si>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</si>
  <si>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</si>
  <si>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</si>
  <si>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</si>
  <si>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</si>
  <si>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</si>
  <si>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</si>
  <si>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</si>
  <si>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</si>
  <si>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</si>
  <si>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</si>
  <si>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</si>
  <si>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</si>
  <si>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</si>
  <si>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</si>
  <si>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</si>
  <si>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</si>
  <si>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</si>
  <si>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</si>
  <si>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</si>
  <si>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</si>
  <si>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</si>
  <si>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</si>
  <si>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</si>
  <si>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</si>
  <si>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</si>
  <si>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</si>
  <si>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</si>
  <si>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</si>
  <si>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</si>
  <si>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</si>
  <si>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</si>
  <si>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</si>
  <si>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</si>
  <si>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</si>
  <si>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</si>
  <si>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</si>
  <si>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</si>
  <si>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</si>
  <si>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</si>
  <si>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</si>
  <si>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</si>
  <si>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</si>
  <si>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</si>
  <si>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</si>
  <si>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</si>
  <si>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</si>
  <si>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</si>
  <si>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</si>
  <si>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</si>
  <si>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</si>
  <si>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</si>
  <si>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</si>
  <si>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</si>
  <si>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</si>
  <si>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</si>
  <si>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</si>
  <si>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</si>
  <si>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</si>
  <si>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</si>
  <si>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</si>
  <si>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</si>
  <si>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</si>
  <si>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</si>
  <si>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</si>
  <si>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</si>
  <si>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</si>
  <si>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</si>
  <si>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</si>
  <si>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</si>
  <si>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</si>
  <si>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</si>
  <si>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</si>
  <si>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</si>
  <si>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</si>
  <si>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</si>
  <si>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</si>
  <si>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</si>
  <si>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</si>
  <si>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</si>
  <si>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</si>
  <si>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</si>
  <si>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</si>
  <si>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</si>
  <si>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</si>
  <si>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</si>
  <si>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</si>
  <si>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</si>
  <si>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</si>
  <si>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</si>
  <si>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</si>
  <si>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</si>
  <si>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</si>
  <si>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</si>
  <si>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</si>
  <si>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</si>
  <si>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</si>
  <si>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</si>
  <si>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</si>
  <si>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</si>
  <si>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</si>
  <si>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</si>
  <si>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</si>
  <si>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</si>
  <si>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</si>
  <si>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</si>
  <si>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</si>
  <si>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</si>
  <si>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</si>
  <si>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</si>
  <si>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</si>
  <si>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</si>
  <si>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</si>
  <si>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</si>
  <si>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</si>
  <si>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</si>
  <si>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</si>
  <si>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</si>
  <si>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</si>
  <si>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</si>
  <si>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</si>
  <si>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</si>
  <si>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</si>
  <si>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</si>
  <si>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</si>
  <si>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</si>
  <si>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</si>
  <si>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</si>
  <si>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</si>
  <si>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</si>
  <si>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</si>
  <si>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</si>
  <si>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</si>
  <si>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</si>
  <si>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</si>
  <si>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</si>
  <si>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</si>
  <si>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</si>
  <si>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</si>
  <si>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</si>
  <si>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</si>
  <si>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</si>
  <si>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</si>
  <si>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</si>
  <si>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</si>
  <si>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</si>
  <si>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</si>
  <si>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</si>
  <si>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</si>
  <si>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</si>
  <si>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</si>
  <si>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</si>
  <si>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</si>
  <si>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</si>
  <si>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</si>
  <si>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</si>
  <si>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</si>
  <si>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</si>
  <si>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</si>
  <si>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</si>
  <si>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</si>
  <si>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</si>
  <si>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</si>
  <si>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</si>
  <si>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</si>
  <si>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</si>
  <si>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</si>
  <si>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</si>
  <si>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</si>
  <si>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</si>
  <si>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</si>
  <si>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</si>
  <si>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</si>
  <si>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</si>
  <si>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</si>
  <si>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</si>
  <si>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</si>
  <si>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</si>
  <si>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</si>
  <si>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</si>
  <si>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</si>
  <si>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</si>
  <si>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</si>
  <si>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</si>
  <si>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</si>
  <si>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</si>
  <si>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</si>
  <si>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</si>
  <si>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</si>
  <si>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</si>
  <si>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</si>
  <si>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</si>
  <si>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</si>
  <si>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</si>
  <si>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</si>
  <si>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</si>
  <si>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</si>
  <si>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</si>
  <si>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</si>
  <si>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</si>
  <si>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</si>
  <si>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</si>
  <si>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</si>
  <si>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</si>
  <si>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</si>
  <si>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</si>
  <si>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</si>
  <si>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</si>
  <si>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</si>
  <si>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</si>
  <si>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</si>
  <si>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</si>
  <si>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</si>
  <si>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</si>
  <si>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</si>
  <si>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</si>
  <si>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</si>
  <si>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</si>
  <si>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</si>
  <si>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</si>
  <si>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</si>
  <si>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</si>
  <si>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</si>
  <si>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</si>
  <si>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</si>
  <si>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</si>
  <si>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</si>
  <si>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</si>
  <si>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</si>
  <si>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</si>
  <si>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</si>
  <si>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</si>
  <si>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</si>
  <si>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</si>
  <si>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</si>
  <si>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</si>
  <si>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</si>
  <si>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</si>
  <si>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</si>
  <si>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</si>
  <si>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</si>
  <si>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</si>
  <si>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</si>
  <si>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</si>
  <si>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</si>
  <si>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</si>
  <si>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</si>
  <si>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</si>
  <si>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</si>
  <si>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</si>
  <si>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</si>
  <si>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</si>
  <si>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</si>
  <si>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</si>
  <si>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</si>
  <si>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</si>
  <si>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</si>
  <si>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</si>
  <si>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</si>
  <si>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</si>
  <si>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</si>
  <si>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</si>
  <si>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</si>
  <si>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</si>
  <si>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</si>
  <si>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</si>
  <si>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</si>
  <si>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</si>
  <si>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</si>
  <si>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</si>
  <si>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</si>
  <si>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</si>
  <si>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</si>
  <si>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</si>
  <si>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</si>
  <si>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</si>
  <si>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</si>
  <si>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</si>
  <si>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</si>
  <si>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</si>
  <si>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</si>
  <si>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</si>
  <si>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</si>
  <si>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</si>
  <si>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</si>
  <si>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</si>
  <si>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</si>
  <si>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</si>
  <si>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</si>
  <si>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</si>
  <si>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</si>
  <si>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</si>
  <si>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</si>
  <si>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</si>
  <si>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</si>
  <si>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</si>
  <si>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</si>
  <si>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</si>
  <si>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</si>
  <si>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</si>
  <si>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</si>
  <si>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</si>
  <si>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</si>
  <si>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</si>
  <si>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</si>
  <si>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</si>
  <si>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</si>
  <si>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</si>
  <si>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</si>
  <si>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</si>
  <si>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</si>
  <si>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</si>
  <si>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</si>
  <si>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</si>
  <si>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</si>
  <si>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</si>
  <si>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</si>
  <si>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</si>
  <si>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</si>
  <si>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</si>
  <si>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</si>
  <si>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</si>
  <si>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</si>
  <si>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</si>
  <si>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</si>
  <si>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</si>
  <si>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</si>
  <si>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</si>
  <si>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</si>
  <si>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</si>
  <si>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</si>
  <si>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</si>
  <si>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</si>
  <si>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</si>
  <si>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</si>
  <si>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</si>
  <si>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</si>
  <si>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</si>
  <si>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</si>
  <si>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</si>
  <si>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</si>
  <si>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</si>
  <si>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</si>
  <si>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</si>
  <si>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</si>
  <si>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</si>
  <si>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</si>
  <si>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</si>
  <si>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</si>
  <si>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</si>
  <si>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</si>
  <si>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</si>
  <si>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</si>
  <si>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</si>
  <si>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</si>
  <si>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</si>
  <si>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</si>
  <si>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</si>
  <si>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</si>
  <si>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</si>
  <si>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</si>
  <si>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</si>
  <si>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</si>
  <si>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</si>
  <si>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</si>
  <si>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</si>
  <si>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</si>
  <si>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</si>
  <si>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</si>
  <si>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</si>
  <si>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</si>
  <si>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</si>
  <si>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</si>
  <si>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</si>
  <si>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</si>
  <si>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</si>
  <si>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</si>
  <si>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</si>
  <si>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</si>
  <si>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</si>
  <si>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</si>
  <si>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</si>
  <si>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</si>
  <si>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</si>
  <si>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</si>
  <si>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</si>
  <si>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</si>
  <si>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</si>
  <si>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</si>
  <si>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</si>
  <si>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</si>
  <si>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</si>
  <si>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</si>
  <si>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</si>
  <si>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</si>
  <si>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</si>
  <si>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</si>
  <si>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</si>
  <si>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</si>
  <si>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</si>
  <si>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</si>
  <si>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</si>
  <si>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</si>
  <si>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</si>
  <si>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</si>
  <si>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</si>
  <si>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</si>
  <si>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</si>
  <si>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</si>
  <si>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</si>
  <si>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</si>
  <si>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</si>
  <si>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</si>
  <si>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</si>
  <si>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</si>
  <si>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</si>
  <si>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</si>
  <si>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</si>
  <si>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</si>
  <si>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</si>
  <si>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</si>
  <si>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</si>
  <si>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</si>
  <si>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</si>
  <si>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</si>
  <si>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</si>
  <si>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</si>
  <si>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</si>
  <si>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</si>
  <si>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</si>
  <si>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</si>
  <si>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</si>
  <si>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</si>
  <si>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</si>
  <si>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</si>
  <si>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</si>
  <si>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</si>
  <si>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</si>
  <si>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</si>
  <si>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</si>
  <si>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</si>
  <si>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</si>
  <si>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</si>
  <si>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</si>
  <si>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</si>
  <si>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</si>
  <si>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</si>
  <si>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</si>
  <si>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</si>
  <si>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</si>
  <si>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</si>
  <si>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</si>
  <si>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</si>
  <si>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</si>
  <si>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</si>
  <si>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</si>
  <si>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</si>
  <si>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</si>
  <si>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</si>
  <si>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</si>
  <si>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</si>
  <si>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</si>
  <si>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</si>
  <si>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</si>
  <si>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</si>
  <si>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</si>
  <si>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</si>
  <si>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</si>
  <si>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</si>
  <si>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</si>
  <si>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</si>
  <si>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</si>
  <si>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</si>
  <si>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</si>
  <si>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</si>
  <si>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</si>
  <si>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</si>
  <si>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</si>
  <si>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</si>
  <si>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</si>
  <si>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</si>
  <si>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</si>
  <si>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</si>
  <si>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</si>
  <si>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</si>
  <si>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</si>
  <si>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</si>
  <si>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</si>
  <si>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</si>
  <si>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</si>
  <si>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</si>
  <si>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</si>
  <si>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</si>
  <si>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</si>
  <si>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</si>
  <si>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</si>
  <si>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</si>
  <si>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</si>
  <si>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</si>
  <si>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</si>
  <si>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</si>
  <si>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</si>
  <si>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</si>
  <si>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</si>
  <si>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</si>
  <si>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</si>
  <si>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</si>
  <si>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</si>
  <si>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</si>
  <si>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</si>
  <si>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</si>
  <si>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</si>
  <si>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</si>
  <si>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</si>
  <si>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</si>
  <si>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</si>
  <si>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</si>
  <si>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</si>
  <si>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</si>
  <si>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</si>
  <si>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</si>
  <si>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</si>
  <si>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</si>
  <si>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</si>
  <si>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</si>
  <si>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</si>
  <si>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</si>
  <si>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</si>
  <si>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</si>
  <si>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</si>
  <si>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</si>
  <si>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</si>
  <si>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</si>
  <si>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</si>
  <si>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</si>
  <si>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</si>
  <si>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</si>
  <si>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</si>
  <si>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</si>
  <si>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</si>
  <si>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</si>
  <si>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</si>
  <si>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</si>
  <si>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</si>
  <si>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</si>
  <si>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</si>
  <si>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</si>
  <si>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</si>
  <si>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</si>
  <si>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</si>
  <si>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</si>
  <si>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</si>
  <si>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</si>
  <si>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</si>
  <si>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</si>
  <si>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</si>
  <si>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</si>
  <si>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</si>
  <si>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</si>
  <si>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</si>
  <si>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</si>
  <si>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</si>
  <si>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</si>
  <si>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</si>
  <si>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</si>
  <si>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</si>
  <si>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</si>
  <si>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</si>
  <si>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</si>
  <si>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</si>
  <si>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</si>
  <si>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</si>
  <si>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</si>
  <si>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</si>
  <si>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</si>
  <si>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</si>
  <si>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</si>
  <si>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</si>
  <si>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</si>
  <si>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</si>
  <si>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</si>
  <si>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</si>
  <si>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</si>
  <si>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</si>
  <si>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</si>
  <si>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</si>
  <si>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</si>
  <si>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</si>
  <si>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</si>
  <si>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</si>
  <si>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</si>
  <si>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</si>
  <si>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</si>
  <si>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</si>
  <si>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</si>
  <si>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</si>
  <si>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</si>
  <si>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</si>
  <si>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</si>
  <si>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</si>
  <si>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</si>
  <si>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</si>
  <si>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</si>
  <si>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</si>
  <si>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</si>
  <si>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</si>
  <si>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</si>
  <si>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</si>
  <si>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</si>
  <si>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</si>
  <si>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</si>
  <si>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</si>
  <si>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</si>
  <si>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</si>
  <si>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</si>
  <si>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</si>
  <si>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</si>
  <si>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</si>
  <si>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</si>
  <si>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</si>
  <si>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</si>
  <si>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</si>
  <si>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</si>
  <si>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</si>
  <si>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</si>
  <si>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</si>
  <si>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</si>
  <si>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</si>
  <si>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</si>
  <si>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</si>
  <si>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</si>
  <si>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</si>
  <si>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</si>
  <si>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</si>
  <si>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</si>
  <si>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</si>
  <si>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</si>
  <si>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</si>
  <si>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</si>
  <si>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</si>
  <si>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</si>
  <si>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</si>
  <si>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</si>
  <si>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</si>
  <si>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</si>
  <si>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</si>
  <si>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</si>
  <si>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</si>
  <si>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</si>
  <si>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</si>
  <si>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</si>
  <si>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</si>
  <si>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</si>
  <si>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</si>
  <si>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</si>
  <si>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</si>
  <si>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</si>
  <si>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</si>
  <si>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</si>
  <si>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</si>
  <si>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</si>
  <si>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</si>
  <si>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</si>
  <si>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</si>
  <si>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</si>
  <si>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</si>
  <si>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</si>
  <si>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</si>
  <si>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</si>
  <si>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</si>
  <si>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</si>
  <si>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</si>
  <si>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</si>
  <si>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</si>
  <si>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</si>
  <si>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</si>
  <si>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</si>
  <si>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</si>
  <si>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</si>
  <si>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</si>
  <si>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</si>
  <si>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</si>
  <si>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</si>
  <si>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</si>
  <si>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</si>
  <si>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</si>
  <si>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</si>
  <si>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</si>
  <si>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</si>
  <si>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</si>
  <si>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</si>
  <si>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</si>
  <si>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</si>
  <si>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</si>
  <si>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</si>
  <si>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</si>
  <si>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</si>
  <si>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</si>
  <si>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</si>
  <si>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</si>
  <si>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</si>
  <si>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</si>
  <si>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</si>
  <si>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</si>
  <si>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</si>
  <si>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</si>
  <si>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</si>
  <si>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</si>
  <si>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</si>
  <si>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</si>
  <si>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</si>
  <si>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</si>
  <si>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</si>
  <si>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</si>
  <si>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</si>
  <si>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</si>
  <si>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</si>
  <si>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</si>
  <si>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</si>
  <si>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</si>
  <si>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</si>
  <si>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</si>
  <si>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</si>
  <si>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</si>
  <si>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</si>
  <si>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</si>
  <si>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</si>
  <si>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</si>
  <si>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</si>
  <si>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</si>
  <si>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</si>
  <si>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</si>
  <si>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</si>
  <si>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</si>
  <si>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</si>
  <si>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</si>
  <si>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</si>
  <si>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</si>
  <si>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</si>
  <si>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</si>
  <si>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</si>
  <si>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</si>
  <si>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</si>
  <si>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</si>
  <si>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</si>
  <si>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</si>
  <si>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</si>
  <si>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</si>
  <si>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</si>
  <si>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</si>
  <si>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</si>
  <si>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</si>
  <si>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</si>
  <si>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</si>
  <si>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</si>
  <si>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</si>
  <si>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</si>
  <si>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</si>
  <si>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</si>
  <si>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</si>
  <si>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</si>
  <si>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</si>
  <si>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</si>
  <si>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</si>
  <si>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</si>
  <si>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</si>
  <si>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</si>
  <si>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</si>
  <si>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</si>
  <si>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</si>
  <si>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</si>
  <si>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</si>
  <si>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</si>
  <si>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</si>
  <si>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</si>
  <si>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</si>
  <si>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</si>
  <si>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</si>
  <si>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</si>
  <si>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</si>
  <si>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</si>
  <si>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</si>
  <si>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</si>
  <si>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</si>
  <si>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</si>
  <si>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</si>
  <si>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</si>
  <si>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</si>
  <si>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</si>
  <si>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</si>
  <si>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</si>
  <si>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</si>
  <si>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</si>
  <si>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</si>
  <si>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</si>
  <si>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</si>
  <si>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</si>
  <si>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</si>
  <si>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</si>
  <si>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</si>
  <si>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</si>
  <si>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</si>
  <si>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</si>
  <si>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</si>
  <si>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</si>
  <si>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</si>
  <si>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</si>
  <si>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</si>
  <si>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</si>
  <si>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</si>
  <si>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</si>
  <si>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</si>
  <si>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</si>
  <si>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</si>
  <si>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</si>
  <si>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</si>
  <si>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</si>
  <si>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</si>
  <si>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</si>
  <si>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</si>
  <si>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</si>
  <si>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</si>
  <si>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</si>
  <si>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</si>
  <si>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</si>
  <si>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</si>
  <si>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</si>
  <si>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</si>
  <si>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</si>
  <si>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</si>
  <si>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</si>
  <si>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</si>
  <si>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</si>
  <si>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</si>
  <si>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</si>
  <si>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</si>
  <si>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</si>
  <si>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</si>
  <si>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</si>
  <si>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</si>
  <si>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</si>
  <si>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</si>
  <si>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</si>
  <si>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</si>
  <si>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</si>
  <si>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</si>
  <si>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</si>
  <si>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</si>
  <si>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</si>
  <si>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</si>
  <si>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</si>
  <si>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</si>
  <si>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</si>
  <si>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</si>
  <si>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</si>
  <si>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</si>
  <si>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</si>
  <si>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</si>
  <si>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</si>
  <si>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</si>
  <si>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</si>
  <si>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</si>
  <si>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</si>
  <si>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</si>
  <si>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</si>
  <si>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</si>
  <si>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</si>
  <si>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</si>
  <si>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</si>
  <si>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</si>
  <si>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</si>
  <si>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</si>
  <si>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</si>
  <si>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</si>
  <si>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</si>
  <si>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</si>
  <si>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</si>
  <si>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</si>
  <si>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</si>
  <si>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</si>
  <si>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</si>
  <si>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</si>
  <si>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</si>
  <si>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</si>
  <si>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</si>
  <si>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</si>
  <si>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</si>
  <si>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</si>
  <si>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</si>
  <si>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</si>
  <si>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</si>
  <si>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</si>
  <si>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</si>
  <si>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</si>
  <si>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</si>
  <si>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</si>
  <si>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</si>
  <si>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</si>
  <si>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</si>
  <si>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</si>
  <si>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</si>
  <si>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</si>
  <si>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</si>
  <si>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</si>
  <si>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</si>
  <si>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</si>
  <si>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</si>
  <si>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</si>
  <si>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</si>
  <si>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</si>
  <si>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</si>
  <si>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</si>
  <si>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</si>
  <si>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</si>
  <si>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</si>
  <si>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</si>
  <si>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</si>
  <si>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</si>
  <si>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</si>
  <si>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</si>
  <si>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</si>
  <si>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</si>
  <si>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</si>
  <si>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</si>
  <si>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</si>
  <si>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</si>
  <si>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</si>
  <si>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</si>
  <si>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</si>
  <si>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</si>
  <si>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</si>
  <si>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</si>
  <si>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</si>
  <si>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</si>
  <si>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</si>
  <si>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</si>
  <si>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</si>
  <si>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</si>
  <si>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</si>
  <si>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</si>
  <si>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</si>
  <si>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</si>
  <si>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</si>
  <si>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</si>
  <si>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</si>
  <si>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</si>
  <si>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</si>
  <si>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</si>
  <si>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</si>
  <si>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</si>
  <si>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</si>
  <si>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</si>
  <si>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</si>
  <si>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</si>
  <si>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</si>
  <si>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</si>
  <si>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</si>
  <si>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</si>
  <si>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</si>
  <si>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</si>
  <si>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</si>
  <si>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</si>
  <si>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</si>
  <si>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</si>
  <si>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</si>
  <si>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</si>
  <si>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</si>
  <si>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</si>
  <si>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</si>
  <si>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</si>
  <si>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</si>
  <si>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</si>
  <si>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</si>
  <si>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</si>
  <si>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</si>
  <si>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</si>
  <si>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</si>
  <si>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</si>
  <si>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</si>
  <si>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</si>
  <si>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</si>
  <si>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</si>
  <si>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</si>
  <si>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</si>
  <si>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</si>
  <si>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</si>
  <si>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</si>
  <si>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</si>
  <si>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</si>
  <si>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</si>
  <si>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</si>
  <si>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</si>
  <si>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</si>
  <si>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</si>
  <si>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</si>
  <si>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</si>
  <si>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</si>
  <si>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</si>
  <si>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</si>
  <si>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</si>
  <si>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</si>
  <si>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</si>
  <si>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</si>
  <si>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</si>
  <si>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</si>
  <si>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</si>
  <si>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</si>
  <si>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</si>
  <si>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</si>
  <si>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</si>
  <si>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</si>
  <si>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</si>
  <si>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</si>
  <si>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</si>
  <si>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</si>
  <si>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</si>
  <si>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</si>
  <si>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</si>
  <si>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</si>
  <si>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</si>
  <si>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</si>
  <si>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</si>
  <si>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</si>
  <si>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</si>
  <si>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</si>
  <si>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</si>
  <si>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</si>
  <si>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</si>
  <si>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</si>
  <si>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</si>
  <si>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</si>
  <si>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</si>
  <si>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</si>
  <si>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</si>
  <si>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</si>
  <si>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</si>
  <si>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</si>
  <si>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</si>
  <si>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</si>
  <si>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</si>
  <si>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</si>
  <si>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</si>
  <si>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</si>
  <si>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</si>
  <si>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</si>
  <si>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</si>
  <si>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</si>
  <si>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</si>
  <si>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</si>
  <si>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</si>
  <si>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</si>
  <si>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</si>
  <si>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</si>
  <si>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</si>
  <si>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</si>
  <si>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</si>
  <si>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</si>
  <si>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</si>
  <si>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</si>
  <si>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</si>
  <si>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</si>
  <si>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</si>
  <si>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</si>
  <si>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</si>
  <si>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</si>
  <si>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</si>
  <si>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</si>
  <si>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</si>
  <si>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</si>
  <si>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</si>
  <si>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</si>
  <si>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</si>
  <si>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</si>
  <si>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</si>
  <si>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</si>
  <si>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</si>
  <si>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</si>
  <si>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</si>
  <si>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</si>
  <si>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</si>
  <si>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</si>
  <si>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</si>
  <si>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</si>
  <si>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</si>
  <si>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</si>
  <si>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</si>
  <si>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</si>
  <si>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</si>
  <si>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</si>
  <si>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</si>
  <si>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</si>
  <si>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</si>
  <si>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</si>
  <si>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</si>
  <si>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</si>
  <si>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</si>
  <si>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</si>
  <si>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</si>
  <si>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</si>
  <si>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</si>
  <si>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</si>
  <si>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</si>
  <si>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</si>
  <si>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</si>
  <si>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</si>
  <si>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</si>
  <si>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</si>
  <si>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</si>
  <si>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</si>
  <si>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</si>
  <si>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</si>
  <si>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</si>
  <si>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</si>
  <si>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</si>
  <si>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</si>
  <si>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</si>
  <si>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</si>
  <si>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</si>
  <si>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</si>
  <si>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</si>
  <si>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</si>
  <si>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</si>
  <si>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</si>
  <si>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</si>
  <si>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</si>
  <si>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</si>
  <si>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</si>
  <si>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</si>
  <si>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</si>
  <si>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</si>
  <si>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</si>
  <si>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</si>
  <si>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</si>
  <si>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</si>
  <si>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</si>
  <si>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</si>
  <si>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</si>
  <si>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</si>
  <si>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</si>
  <si>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</si>
  <si>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</si>
  <si>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</si>
  <si>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</si>
  <si>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</si>
  <si>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</si>
  <si>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</si>
  <si>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</si>
  <si>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</si>
  <si>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</si>
  <si>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</si>
  <si>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</si>
  <si>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</si>
  <si>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</si>
  <si>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</si>
  <si>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</si>
  <si>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</si>
  <si>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</si>
  <si>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</si>
  <si>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</si>
  <si>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</si>
  <si>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</si>
  <si>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</si>
  <si>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</si>
  <si>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</si>
  <si>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</si>
  <si>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</si>
  <si>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</si>
  <si>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</si>
  <si>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</si>
  <si>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</si>
  <si>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</si>
  <si>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</si>
  <si>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</si>
  <si>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</si>
  <si>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</si>
  <si>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</si>
  <si>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</si>
  <si>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</si>
  <si>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</si>
  <si>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</si>
  <si>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</si>
  <si>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</si>
  <si>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</si>
  <si>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</si>
  <si>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</si>
  <si>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</si>
  <si>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</si>
  <si>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</si>
  <si>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</si>
  <si>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</si>
  <si>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</si>
  <si>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</si>
  <si>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</si>
  <si>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</si>
  <si>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</si>
  <si>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</si>
  <si>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</si>
  <si>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</si>
  <si>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</si>
  <si>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</si>
  <si>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</si>
  <si>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</si>
  <si>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</si>
  <si>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</si>
  <si>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</si>
  <si>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</si>
  <si>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</si>
  <si>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</si>
  <si>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</si>
  <si>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</si>
  <si>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</si>
  <si>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</si>
  <si>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</si>
  <si>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</si>
  <si>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</si>
  <si>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</si>
  <si>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</si>
  <si>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</si>
  <si>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</si>
  <si>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</si>
  <si>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</si>
  <si>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</si>
  <si>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</si>
  <si>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</si>
  <si>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</si>
  <si>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</si>
  <si>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</si>
  <si>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</si>
  <si>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</si>
  <si>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</si>
  <si>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</si>
  <si>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</si>
  <si>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</si>
  <si>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</si>
  <si>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</si>
  <si>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</si>
  <si>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</si>
  <si>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</si>
  <si>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</si>
  <si>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</si>
  <si>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</si>
  <si>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</si>
  <si>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</si>
  <si>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</si>
  <si>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</si>
  <si>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</si>
  <si>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</si>
  <si>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</si>
  <si>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</si>
  <si>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</si>
  <si>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</si>
  <si>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</si>
  <si>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</si>
  <si>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</si>
  <si>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</si>
  <si>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</si>
  <si>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</si>
  <si>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</si>
  <si>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</si>
  <si>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</si>
  <si>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</si>
  <si>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</si>
  <si>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</si>
  <si>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</si>
  <si>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</si>
  <si>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</si>
  <si>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</si>
  <si>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</si>
  <si>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</si>
  <si>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</si>
  <si>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</si>
  <si>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</si>
  <si>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</si>
  <si>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</si>
  <si>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</si>
  <si>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</si>
  <si>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</si>
  <si>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</si>
  <si>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</si>
  <si>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</si>
  <si>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</si>
  <si>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</si>
  <si>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</si>
  <si>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</si>
  <si>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</si>
  <si>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</si>
  <si>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</si>
  <si>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</si>
  <si>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</si>
  <si>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</si>
  <si>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</si>
  <si>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</si>
  <si>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</si>
  <si>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</si>
  <si>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</si>
  <si>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</si>
  <si>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</si>
  <si>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</si>
  <si>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</si>
  <si>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</si>
  <si>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</si>
  <si>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</si>
  <si>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</si>
  <si>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</si>
  <si>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</si>
  <si>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</si>
  <si>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</si>
  <si>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</si>
  <si>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</si>
  <si>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</si>
  <si>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</si>
  <si>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</si>
  <si>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</si>
  <si>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</si>
  <si>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</si>
  <si>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</si>
  <si>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</si>
  <si>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</si>
  <si>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</si>
  <si>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</si>
  <si>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</si>
  <si>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</si>
  <si>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</si>
  <si>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</si>
  <si>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</si>
  <si>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</si>
  <si>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</si>
  <si>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</si>
  <si>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</si>
  <si>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</si>
  <si>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</si>
  <si>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</si>
  <si>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</si>
  <si>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</si>
  <si>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</si>
  <si>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</si>
  <si>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</si>
  <si>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</si>
  <si>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</si>
  <si>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</si>
  <si>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</si>
  <si>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</si>
  <si>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</si>
  <si>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</si>
  <si>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</si>
  <si>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</si>
  <si>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</si>
  <si>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</si>
  <si>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</si>
  <si>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</si>
  <si>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</si>
  <si>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</si>
  <si>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</si>
  <si>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</si>
  <si>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</si>
  <si>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</si>
  <si>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</si>
  <si>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</si>
  <si>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</si>
  <si>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</si>
  <si>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</si>
  <si>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</si>
  <si>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</si>
  <si>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</si>
  <si>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</si>
  <si>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</si>
  <si>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</si>
  <si>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</si>
  <si>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</si>
  <si>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</si>
  <si>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</si>
  <si>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</si>
  <si>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</si>
  <si>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</si>
  <si>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</si>
  <si>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</si>
  <si>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</si>
  <si>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</si>
  <si>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</si>
  <si>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</si>
  <si>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</si>
  <si>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</si>
  <si>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</si>
  <si>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</si>
  <si>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</si>
  <si>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</si>
  <si>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</si>
  <si>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</si>
  <si>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</si>
  <si>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</si>
  <si>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</si>
  <si>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</si>
  <si>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</si>
  <si>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</si>
  <si>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</si>
  <si>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</si>
  <si>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</si>
  <si>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</si>
  <si>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</si>
  <si>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</si>
  <si>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</si>
  <si>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</si>
  <si>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</si>
  <si>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</si>
  <si>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</si>
  <si>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</si>
  <si>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</si>
  <si>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</si>
  <si>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</si>
  <si>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</si>
  <si>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</si>
  <si>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</si>
  <si>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</si>
  <si>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</si>
  <si>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</si>
  <si>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</si>
  <si>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</si>
  <si>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</si>
  <si>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</si>
  <si>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</si>
  <si>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</si>
  <si>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</si>
  <si>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</si>
  <si>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</si>
  <si>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</si>
  <si>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</si>
  <si>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</si>
  <si>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</si>
  <si>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</si>
  <si>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</si>
  <si>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</si>
  <si>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</si>
  <si>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</si>
  <si>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</si>
  <si>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</si>
  <si>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</si>
  <si>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</si>
  <si>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</si>
  <si>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</si>
  <si>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</si>
  <si>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</si>
  <si>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</si>
  <si>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</si>
  <si>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</si>
  <si>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</si>
  <si>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</si>
  <si>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</si>
  <si>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</si>
  <si>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</si>
  <si>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</si>
  <si>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</si>
  <si>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</si>
  <si>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</si>
  <si>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</si>
  <si>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</si>
  <si>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</si>
  <si>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</si>
  <si>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</si>
  <si>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</si>
  <si>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</si>
  <si>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</si>
  <si>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</si>
  <si>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</si>
  <si>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</si>
  <si>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</si>
  <si>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</si>
  <si>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</si>
  <si>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</si>
  <si>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</si>
  <si>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</si>
  <si>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</si>
  <si>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</si>
  <si>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</si>
  <si>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</si>
  <si>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</si>
  <si>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</si>
  <si>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</si>
  <si>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</si>
  <si>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</si>
  <si>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</si>
  <si>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</si>
  <si>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</si>
  <si>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</si>
  <si>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</si>
  <si>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</si>
  <si>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</si>
  <si>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</si>
  <si>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</si>
  <si>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</si>
  <si>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</si>
  <si>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</si>
  <si>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</si>
  <si>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</si>
  <si>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</si>
  <si>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</si>
  <si>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</si>
  <si>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</si>
  <si>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</si>
  <si>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</si>
  <si>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</si>
  <si>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</si>
  <si>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</si>
  <si>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</si>
  <si>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</si>
  <si>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</si>
  <si>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</si>
  <si>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</si>
  <si>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</si>
  <si>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</si>
  <si>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</si>
  <si>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</si>
  <si>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</si>
  <si>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</si>
  <si>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</si>
  <si>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</si>
  <si>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</si>
  <si>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</si>
  <si>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</si>
  <si>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</si>
  <si>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</si>
  <si>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</si>
  <si>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</si>
  <si>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</si>
  <si>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</si>
  <si>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</si>
  <si>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</si>
  <si>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</si>
  <si>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</si>
  <si>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</si>
  <si>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</si>
  <si>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</si>
  <si>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</si>
  <si>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</si>
  <si>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</si>
  <si>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</si>
  <si>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</si>
  <si>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</si>
  <si>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</si>
  <si>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</si>
  <si>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</si>
  <si>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</si>
  <si>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</si>
  <si>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</si>
  <si>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</si>
  <si>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</si>
  <si>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</si>
  <si>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</si>
  <si>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</si>
  <si>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</si>
  <si>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</si>
  <si>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</si>
  <si>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</si>
  <si>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</si>
  <si>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</si>
  <si>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</si>
  <si>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</si>
  <si>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</si>
  <si>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</si>
  <si>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</si>
  <si>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</si>
  <si>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</si>
  <si>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</si>
  <si>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</si>
  <si>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</si>
  <si>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</si>
  <si>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</si>
  <si>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</si>
  <si>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</si>
  <si>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</si>
  <si>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</si>
  <si>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</si>
  <si>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</si>
  <si>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</si>
  <si>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</si>
  <si>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</si>
  <si>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</si>
  <si>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</si>
  <si>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</si>
  <si>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</si>
  <si>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</si>
  <si>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</si>
  <si>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</si>
  <si>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</si>
  <si>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</si>
  <si>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</si>
  <si>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</si>
  <si>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</si>
  <si>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</si>
  <si>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</si>
  <si>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</si>
  <si>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</si>
  <si>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</si>
  <si>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</si>
  <si>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</si>
  <si>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</si>
  <si>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</si>
  <si>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</si>
  <si>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</si>
  <si>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</si>
  <si>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</si>
  <si>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</si>
  <si>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</si>
  <si>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</si>
  <si>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</si>
  <si>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</si>
  <si>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</si>
  <si>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</si>
  <si>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</si>
  <si>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</si>
  <si>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</si>
  <si>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</si>
  <si>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</si>
  <si>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</si>
  <si>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</si>
  <si>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</si>
  <si>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</si>
  <si>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</si>
  <si>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</si>
  <si>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</si>
  <si>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</si>
  <si>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</si>
  <si>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</si>
  <si>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</si>
  <si>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</si>
  <si>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</si>
  <si>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</si>
  <si>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</si>
  <si>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</si>
  <si>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</si>
  <si>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</si>
  <si>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</si>
  <si>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</si>
  <si>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</si>
  <si>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</si>
  <si>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</si>
  <si>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</si>
  <si>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</si>
  <si>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</si>
  <si>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</si>
  <si>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</si>
  <si>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</si>
  <si>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</si>
  <si>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</si>
  <si>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</si>
  <si>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</si>
  <si>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</si>
  <si>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</si>
  <si>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</si>
  <si>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</si>
  <si>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</si>
  <si>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</si>
  <si>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</si>
  <si>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</si>
  <si>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</si>
  <si>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</si>
  <si>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</si>
  <si>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</si>
  <si>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</si>
  <si>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</si>
  <si>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</si>
  <si>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</si>
  <si>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</si>
  <si>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</si>
  <si>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</si>
  <si>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</si>
  <si>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</si>
  <si>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</si>
  <si>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</si>
  <si>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</si>
  <si>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</si>
  <si>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</si>
  <si>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</si>
  <si>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</si>
  <si>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</si>
  <si>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</si>
  <si>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</si>
  <si>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</si>
  <si>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</si>
  <si>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</si>
  <si>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</si>
  <si>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</si>
  <si>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</si>
  <si>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</si>
  <si>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</si>
  <si>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</si>
  <si>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</si>
  <si>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</si>
  <si>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</si>
  <si>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</si>
  <si>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</si>
  <si>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</si>
  <si>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</si>
  <si>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</si>
  <si>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</si>
  <si>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</si>
  <si>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</si>
  <si>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</si>
  <si>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</si>
  <si>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</si>
  <si>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</si>
  <si>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</si>
  <si>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</si>
  <si>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</si>
  <si>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</si>
  <si>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</si>
  <si>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</si>
  <si>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</si>
  <si>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</si>
  <si>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</si>
  <si>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</si>
  <si>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</si>
  <si>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</si>
  <si>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</si>
  <si>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</si>
  <si>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</si>
  <si>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</si>
  <si>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</si>
  <si>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</si>
  <si>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</si>
  <si>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</si>
  <si>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</si>
  <si>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</si>
  <si>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</si>
  <si>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</si>
  <si>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</si>
  <si>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</si>
  <si>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</si>
  <si>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</si>
  <si>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</si>
  <si>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</si>
  <si>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</si>
  <si>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</si>
  <si>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</si>
  <si>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</si>
  <si>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</si>
  <si>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</si>
  <si>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</si>
  <si>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</si>
  <si>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</si>
  <si>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</si>
  <si>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</si>
  <si>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</si>
  <si>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</si>
  <si>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</si>
  <si>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</si>
  <si>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</si>
  <si>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</si>
  <si>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</si>
  <si>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</si>
  <si>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</si>
  <si>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</si>
  <si>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</si>
  <si>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</si>
  <si>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</si>
  <si>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</si>
  <si>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</si>
  <si>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</si>
  <si>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</si>
  <si>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</si>
  <si>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</si>
  <si>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</si>
  <si>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</si>
  <si>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</si>
  <si>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</si>
  <si>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</si>
  <si>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</si>
  <si>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</si>
  <si>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</si>
  <si>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</si>
  <si>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</si>
  <si>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</si>
  <si>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</si>
  <si>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</si>
  <si>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</si>
  <si>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</si>
  <si>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</si>
  <si>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</si>
  <si>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</si>
  <si>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</si>
  <si>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</si>
  <si>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</si>
  <si>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</si>
  <si>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</si>
  <si>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</si>
  <si>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</si>
  <si>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</si>
  <si>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</si>
  <si>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</si>
  <si>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</si>
  <si>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</si>
  <si>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</si>
  <si>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</si>
  <si>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</si>
  <si>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</si>
  <si>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</si>
  <si>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</si>
  <si>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</si>
  <si>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</si>
  <si>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</si>
  <si>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</si>
  <si>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</si>
  <si>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</si>
  <si>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</si>
  <si>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</si>
  <si>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</si>
  <si>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</si>
  <si>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</si>
  <si>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</si>
  <si>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</si>
  <si>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</si>
  <si>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</si>
  <si>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</si>
  <si>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</si>
  <si>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</si>
  <si>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</si>
  <si>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</si>
  <si>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</si>
  <si>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</si>
  <si>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</si>
  <si>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</si>
  <si>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</si>
  <si>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</si>
  <si>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</si>
  <si>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</si>
  <si>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</si>
  <si>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</si>
  <si>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</si>
  <si>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</si>
  <si>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</si>
  <si>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</si>
  <si>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</si>
  <si>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</si>
  <si>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</si>
  <si>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</si>
  <si>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</si>
  <si>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</si>
  <si>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</si>
  <si>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</si>
  <si>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</si>
  <si>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</si>
  <si>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</si>
  <si>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</si>
  <si>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</si>
  <si>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</si>
  <si>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</si>
  <si>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</si>
  <si>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</si>
  <si>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</si>
  <si>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</si>
  <si>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</si>
  <si>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</si>
  <si>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</si>
  <si>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</si>
  <si>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</si>
  <si>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</si>
  <si>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</si>
  <si>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</si>
  <si>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</si>
  <si>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</si>
  <si>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</si>
  <si>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</si>
  <si>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</si>
  <si>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</si>
  <si>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</si>
  <si>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</si>
  <si>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</si>
  <si>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</si>
  <si>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</si>
  <si>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</si>
  <si>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</si>
  <si>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</si>
  <si>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</si>
  <si>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</si>
  <si>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</si>
  <si>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</si>
  <si>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</si>
  <si>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</si>
  <si>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</si>
  <si>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</si>
  <si>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</si>
  <si>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</si>
  <si>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</si>
  <si>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</si>
  <si>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</si>
  <si>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</si>
  <si>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</si>
  <si>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</si>
  <si>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</si>
  <si>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</si>
  <si>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</si>
  <si>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</si>
  <si>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</si>
  <si>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</si>
  <si>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</si>
  <si>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</si>
  <si>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</si>
  <si>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</si>
  <si>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</si>
  <si>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</si>
  <si>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</si>
  <si>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</si>
  <si>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</si>
  <si>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</si>
  <si>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</si>
  <si>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</si>
  <si>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</si>
  <si>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</si>
  <si>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</si>
  <si>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</si>
  <si>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</si>
  <si>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</si>
  <si>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</si>
  <si>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</si>
  <si>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</si>
  <si>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</si>
  <si>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</si>
  <si>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</si>
  <si>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</si>
  <si>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</si>
  <si>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</si>
  <si>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</si>
  <si>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</si>
  <si>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</si>
  <si>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</si>
  <si>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</si>
  <si>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</si>
  <si>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</si>
  <si>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</si>
  <si>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</si>
  <si>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</si>
  <si>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</si>
  <si>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</si>
  <si>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</si>
  <si>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</si>
  <si>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</si>
  <si>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</si>
  <si>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</si>
  <si>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</si>
  <si>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</si>
  <si>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</si>
  <si>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</si>
  <si>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</si>
  <si>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</si>
  <si>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</si>
  <si>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</si>
  <si>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</si>
  <si>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</si>
  <si>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</si>
  <si>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</si>
  <si>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</si>
  <si>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</si>
  <si>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</si>
  <si>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</si>
  <si>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</si>
  <si>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</si>
  <si>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</si>
  <si>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</si>
  <si>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</si>
  <si>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</si>
  <si>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</si>
  <si>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</si>
  <si>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</si>
  <si>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</si>
  <si>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</si>
  <si>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</si>
  <si>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</si>
  <si>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</si>
  <si>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</si>
  <si>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</si>
  <si>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</si>
  <si>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</si>
  <si>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</si>
  <si>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</si>
  <si>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</si>
  <si>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</si>
  <si>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</si>
  <si>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</si>
  <si>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</si>
  <si>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</si>
  <si>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</si>
  <si>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</si>
  <si>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</si>
  <si>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</si>
  <si>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</si>
  <si>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</si>
  <si>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</si>
  <si>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</si>
  <si>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</si>
  <si>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</si>
  <si>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</si>
  <si>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</si>
  <si>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</si>
  <si>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</si>
  <si>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</si>
  <si>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</si>
  <si>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</si>
  <si>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</si>
  <si>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</si>
  <si>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</si>
  <si>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</si>
  <si>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</si>
  <si>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</si>
  <si>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</si>
  <si>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</si>
  <si>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</si>
  <si>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</si>
  <si>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</si>
  <si>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</si>
  <si>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</si>
  <si>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</si>
  <si>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</si>
  <si>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</si>
  <si>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</si>
  <si>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</si>
  <si>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</si>
  <si>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</si>
  <si>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</si>
  <si>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</si>
  <si>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</si>
  <si>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</si>
  <si>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</si>
  <si>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</si>
  <si>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</si>
  <si>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</si>
  <si>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</si>
  <si>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</si>
  <si>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</si>
  <si>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</si>
  <si>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</si>
  <si>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</si>
  <si>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</si>
  <si>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</si>
  <si>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</si>
  <si>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</si>
  <si>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</si>
  <si>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</si>
  <si>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</si>
  <si>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</si>
  <si>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</si>
  <si>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</si>
  <si>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</si>
  <si>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</si>
  <si>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</si>
  <si>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</si>
  <si>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</si>
  <si>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</si>
  <si>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</si>
  <si>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</si>
  <si>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</si>
  <si>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</si>
  <si>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</si>
  <si>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</si>
  <si>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</si>
  <si>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</si>
  <si>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</si>
  <si>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</si>
  <si>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</si>
  <si>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</si>
  <si>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</si>
  <si>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</si>
  <si>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</si>
  <si>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</si>
  <si>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</si>
  <si>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</si>
  <si>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</si>
  <si>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</si>
  <si>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</si>
  <si>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</si>
  <si>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</si>
  <si>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</si>
  <si>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</si>
  <si>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</si>
  <si>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</si>
  <si>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</si>
  <si>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</si>
  <si>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</si>
  <si>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</si>
  <si>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</si>
  <si>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</si>
  <si>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</si>
  <si>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</si>
  <si>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</si>
  <si>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</si>
  <si>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</si>
  <si>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</si>
  <si>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</si>
  <si>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</si>
  <si>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</si>
  <si>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</si>
  <si>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</si>
  <si>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</si>
  <si>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</si>
  <si>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</si>
  <si>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</si>
  <si>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</si>
  <si>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</si>
  <si>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</si>
  <si>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</si>
  <si>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</si>
  <si>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</si>
  <si>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</si>
  <si>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</si>
  <si>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</si>
  <si>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</si>
  <si>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</si>
  <si>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</si>
  <si>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</si>
  <si>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</si>
  <si>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</si>
  <si>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</si>
  <si>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</si>
  <si>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</si>
  <si>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</si>
  <si>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</si>
  <si>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</si>
  <si>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</si>
  <si>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</si>
  <si>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</si>
  <si>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</si>
  <si>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</si>
  <si>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</si>
  <si>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</si>
  <si>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</si>
  <si>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</si>
  <si>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</si>
  <si>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</si>
  <si>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</si>
  <si>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</si>
  <si>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</si>
  <si>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</si>
  <si>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</si>
  <si>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</si>
  <si>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</si>
  <si>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</si>
  <si>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</si>
  <si>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</si>
  <si>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</si>
  <si>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</si>
  <si>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</si>
  <si>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</si>
  <si>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</si>
  <si>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</si>
  <si>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</si>
  <si>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</si>
  <si>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</si>
  <si>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</si>
  <si>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</si>
  <si>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</si>
  <si>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</si>
  <si>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</si>
  <si>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</si>
  <si>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</si>
  <si>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</si>
  <si>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</si>
  <si>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</si>
  <si>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</si>
  <si>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</si>
  <si>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</si>
  <si>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</si>
  <si>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</si>
  <si>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</si>
  <si>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</si>
  <si>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</si>
  <si>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</si>
  <si>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</si>
  <si>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</si>
  <si>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</si>
  <si>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</si>
  <si>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</si>
  <si>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</si>
  <si>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</si>
  <si>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</si>
  <si>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</si>
  <si>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</si>
  <si>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</si>
  <si>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</si>
  <si>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</si>
  <si>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</si>
  <si>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</si>
  <si>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</si>
  <si>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</si>
  <si>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</si>
  <si>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</si>
  <si>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</si>
  <si>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</si>
  <si>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</si>
  <si>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</si>
  <si>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</si>
  <si>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</si>
  <si>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</si>
  <si>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</si>
  <si>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</si>
  <si>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</si>
  <si>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</si>
  <si>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</si>
  <si>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</si>
  <si>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</si>
  <si>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</si>
  <si>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</si>
  <si>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</si>
  <si>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</si>
  <si>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</si>
  <si>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</si>
  <si>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</si>
  <si>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</si>
  <si>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</si>
  <si>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</si>
  <si>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</si>
  <si>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</si>
  <si>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</si>
  <si>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</si>
  <si>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</si>
  <si>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</si>
  <si>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</si>
  <si>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</si>
  <si>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</si>
  <si>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</si>
  <si>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</si>
  <si>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</si>
  <si>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</si>
  <si>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</si>
  <si>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</si>
  <si>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</si>
  <si>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</si>
  <si>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</si>
  <si>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</si>
  <si>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</si>
  <si>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</si>
  <si>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</si>
  <si>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</si>
  <si>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</si>
  <si>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</si>
  <si>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</si>
  <si>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</si>
  <si>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</si>
  <si>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</si>
  <si>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</si>
  <si>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</si>
  <si>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</si>
  <si>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</si>
  <si>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</si>
  <si>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</si>
  <si>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</si>
  <si>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</si>
  <si>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</si>
  <si>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</si>
  <si>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</si>
  <si>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</si>
  <si>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</si>
  <si>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</si>
  <si>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</si>
  <si>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</si>
  <si>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</si>
  <si>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</si>
  <si>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</si>
  <si>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</si>
  <si>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</si>
  <si>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</si>
  <si>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</si>
  <si>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</si>
  <si>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</si>
  <si>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</si>
  <si>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</si>
  <si>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</si>
  <si>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</si>
  <si>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</si>
  <si>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</si>
  <si>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</si>
  <si>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</si>
  <si>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</si>
  <si>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</si>
  <si>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</si>
  <si>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</si>
  <si>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</si>
  <si>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</si>
  <si>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</si>
  <si>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</si>
  <si>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</si>
  <si>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</si>
  <si>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</si>
  <si>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</si>
  <si>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</si>
  <si>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</si>
  <si>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</si>
  <si>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</si>
  <si>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</si>
  <si>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</si>
  <si>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</si>
  <si>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</si>
  <si>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</si>
  <si>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</si>
  <si>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</si>
  <si>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</si>
  <si>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</si>
  <si>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</si>
  <si>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</si>
  <si>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</si>
  <si>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</si>
  <si>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</si>
  <si>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</si>
  <si>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</si>
  <si>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</si>
  <si>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</si>
  <si>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</si>
  <si>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</si>
  <si>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</si>
  <si>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</si>
  <si>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</si>
  <si>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</si>
  <si>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</si>
  <si>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</si>
  <si>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</si>
  <si>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</si>
  <si>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</si>
  <si>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</si>
  <si>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</si>
  <si>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</si>
  <si>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</si>
  <si>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</si>
  <si>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</si>
  <si>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</si>
  <si>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</si>
  <si>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</si>
  <si>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</si>
  <si>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</si>
  <si>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</si>
  <si>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</si>
  <si>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</si>
  <si>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</si>
  <si>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</si>
  <si>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</si>
  <si>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</si>
  <si>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</si>
  <si>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</si>
  <si>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</si>
  <si>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</si>
  <si>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</si>
  <si>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</si>
  <si>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</si>
  <si>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</si>
  <si>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</si>
  <si>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</si>
  <si>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</si>
  <si>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</si>
  <si>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</si>
  <si>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</si>
  <si>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</si>
  <si>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</si>
  <si>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</si>
  <si>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</si>
  <si>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</si>
  <si>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</si>
  <si>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</si>
  <si>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</si>
  <si>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</si>
  <si>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</si>
  <si>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</si>
  <si>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</si>
  <si>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</si>
  <si>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</si>
  <si>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</si>
  <si>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</si>
  <si>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</si>
  <si>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</si>
  <si>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</si>
  <si>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</si>
  <si>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</si>
  <si>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</si>
  <si>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</si>
  <si>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</si>
  <si>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</si>
  <si>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</si>
  <si>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</si>
  <si>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</si>
  <si>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</si>
  <si>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</si>
  <si>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</si>
  <si>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</si>
  <si>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</si>
  <si>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</si>
  <si>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</si>
  <si>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</si>
  <si>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</si>
  <si>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</si>
  <si>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</si>
  <si>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</si>
  <si>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</si>
  <si>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</si>
  <si>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</si>
  <si>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</si>
  <si>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</si>
  <si>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</si>
  <si>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</si>
  <si>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</si>
  <si>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</si>
  <si>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</si>
  <si>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</si>
  <si>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</si>
  <si>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</si>
  <si>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</si>
  <si>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</si>
  <si>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</si>
  <si>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</si>
  <si>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</si>
  <si>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</si>
  <si>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</si>
  <si>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</si>
  <si>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</si>
  <si>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</si>
  <si>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</si>
  <si>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</si>
  <si>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</si>
  <si>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</si>
  <si>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</si>
  <si>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</si>
  <si>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</si>
  <si>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</si>
  <si>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</si>
  <si>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</si>
  <si>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</si>
  <si>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</si>
  <si>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</si>
  <si>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</si>
  <si>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</si>
  <si>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</si>
  <si>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</si>
  <si>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</si>
  <si>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</si>
  <si>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</si>
  <si>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</si>
  <si>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</si>
  <si>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</si>
  <si>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</si>
  <si>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</si>
  <si>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</si>
  <si>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</si>
  <si>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</si>
  <si>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</si>
  <si>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</si>
  <si>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</si>
  <si>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</si>
  <si>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</si>
  <si>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</si>
  <si>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</si>
  <si>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</si>
  <si>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</si>
  <si>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</si>
  <si>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</si>
  <si>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</si>
  <si>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</si>
  <si>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</si>
  <si>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</si>
  <si>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</si>
  <si>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</si>
  <si>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</si>
  <si>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</si>
  <si>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</si>
  <si>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</si>
  <si>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</si>
  <si>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</si>
  <si>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</si>
  <si>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</si>
  <si>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</si>
  <si>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</si>
  <si>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</si>
  <si>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</si>
  <si>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</si>
  <si>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</si>
  <si>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</si>
  <si>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</si>
  <si>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</si>
  <si>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</si>
  <si>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</si>
  <si>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</si>
  <si>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</si>
  <si>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</si>
  <si>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</si>
  <si>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</si>
  <si>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</si>
  <si>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</si>
  <si>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</si>
  <si>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</si>
  <si>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</si>
  <si>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</si>
  <si>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</si>
  <si>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</si>
  <si>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</si>
  <si>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</si>
  <si>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</si>
  <si>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</si>
  <si>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</si>
  <si>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</si>
  <si>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</si>
  <si>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</si>
  <si>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</si>
  <si>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</si>
  <si>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</si>
  <si>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</si>
  <si>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</si>
  <si>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</si>
  <si>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</si>
  <si>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</si>
  <si>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</si>
  <si>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</si>
  <si>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</si>
  <si>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</si>
  <si>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</si>
  <si>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</si>
  <si>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</si>
  <si>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</si>
  <si>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</si>
  <si>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</si>
  <si>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</si>
  <si>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</si>
  <si>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</si>
  <si>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</si>
  <si>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</si>
  <si>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</si>
  <si>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</si>
  <si>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</si>
  <si>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</si>
  <si>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</si>
  <si>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</si>
  <si>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</si>
  <si>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</si>
  <si>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</si>
  <si>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</si>
  <si>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</si>
  <si>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</si>
  <si>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</si>
  <si>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</si>
  <si>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</si>
  <si>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</si>
  <si>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</si>
  <si>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</si>
  <si>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</si>
  <si>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</si>
  <si>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</si>
  <si>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</si>
  <si>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</si>
  <si>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</si>
  <si>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</si>
  <si>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</si>
  <si>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</si>
  <si>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</si>
  <si>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</si>
  <si>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</si>
  <si>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</si>
  <si>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</si>
  <si>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</si>
  <si>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</si>
  <si>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</si>
  <si>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</si>
  <si>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</si>
  <si>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</si>
  <si>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</si>
  <si>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</si>
  <si>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</si>
  <si>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</si>
  <si>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</si>
  <si>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</si>
  <si>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</si>
  <si>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</si>
  <si>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</si>
  <si>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</si>
  <si>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</si>
  <si>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</si>
  <si>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</si>
  <si>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</si>
  <si>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</si>
  <si>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</si>
  <si>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</si>
  <si>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</si>
  <si>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</si>
  <si>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</si>
  <si>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</si>
  <si>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</si>
  <si>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</si>
  <si>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</si>
  <si>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</si>
  <si>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</si>
  <si>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</si>
  <si>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</si>
  <si>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</si>
  <si>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</si>
  <si>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</si>
  <si>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</si>
  <si>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</si>
  <si>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</si>
  <si>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</si>
  <si>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</si>
  <si>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</si>
  <si>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</si>
  <si>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</si>
  <si>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</si>
  <si>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</si>
  <si>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</si>
  <si>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</si>
  <si>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</si>
  <si>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</si>
  <si>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</si>
  <si>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</si>
  <si>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</si>
  <si>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</si>
  <si>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</si>
  <si>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</si>
  <si>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</si>
  <si>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</si>
  <si>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</si>
  <si>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</si>
  <si>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</si>
  <si>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</si>
  <si>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</si>
  <si>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</si>
  <si>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</si>
  <si>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</si>
  <si>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</si>
  <si>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</si>
  <si>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</si>
  <si>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</si>
  <si>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</si>
  <si>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</si>
  <si>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</si>
  <si>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</si>
  <si>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</si>
  <si>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</si>
  <si>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</si>
  <si>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</si>
  <si>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</si>
  <si>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</si>
  <si>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</si>
  <si>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</si>
  <si>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</si>
  <si>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</si>
  <si>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</si>
  <si>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</si>
  <si>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</si>
  <si>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</si>
  <si>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</si>
  <si>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</si>
  <si>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</si>
  <si>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</si>
  <si>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</si>
  <si>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</si>
  <si>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</si>
  <si>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</si>
  <si>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</si>
  <si>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</si>
  <si>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</si>
  <si>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</si>
  <si>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</si>
  <si>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</si>
  <si>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</si>
  <si>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</si>
  <si>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</si>
  <si>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</si>
  <si>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</si>
  <si>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</si>
  <si>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</si>
  <si>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</si>
  <si>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</si>
  <si>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</si>
  <si>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</si>
  <si>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</si>
  <si>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</si>
  <si>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</si>
  <si>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</si>
  <si>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</si>
  <si>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</si>
  <si>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</si>
  <si>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</si>
  <si>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</si>
  <si>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</si>
  <si>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</si>
  <si>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</si>
  <si>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</si>
  <si>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</si>
  <si>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</si>
  <si>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</si>
  <si>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</si>
  <si>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</si>
  <si>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</si>
  <si>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</si>
  <si>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</si>
  <si>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</si>
  <si>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</si>
  <si>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</si>
  <si>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</si>
  <si>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</si>
  <si>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</si>
  <si>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</si>
  <si>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</si>
  <si>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</si>
  <si>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</si>
  <si>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</si>
  <si>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</si>
  <si>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</si>
  <si>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</si>
  <si>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</si>
  <si>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</si>
  <si>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</si>
  <si>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</si>
  <si>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</si>
  <si>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</si>
  <si>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</si>
  <si>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</si>
  <si>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</si>
  <si>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</si>
  <si>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</si>
  <si>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</si>
  <si>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</si>
  <si>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</si>
  <si>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</si>
  <si>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</si>
  <si>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</si>
  <si>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</si>
  <si>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</si>
  <si>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</si>
  <si>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</si>
  <si>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</si>
  <si>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</si>
  <si>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</si>
  <si>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</si>
  <si>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</si>
  <si>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</si>
  <si>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</si>
  <si>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</si>
  <si>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</si>
  <si>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</si>
  <si>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</si>
  <si>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</si>
  <si>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</si>
  <si>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</si>
  <si>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</si>
  <si>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</si>
  <si>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</si>
  <si>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</si>
  <si>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</si>
  <si>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</si>
  <si>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</si>
  <si>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</si>
  <si>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</si>
  <si>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</si>
  <si>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</si>
  <si>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</si>
  <si>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</si>
  <si>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</si>
  <si>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</si>
  <si>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</si>
  <si>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</si>
  <si>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</si>
  <si>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</si>
  <si>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</si>
  <si>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</si>
  <si>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</si>
  <si>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</si>
  <si>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</si>
  <si>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</si>
  <si>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</si>
  <si>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</si>
  <si>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</si>
  <si>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</si>
  <si>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</si>
  <si>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</si>
  <si>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</si>
  <si>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</si>
  <si>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</si>
  <si>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</si>
  <si>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</si>
  <si>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</si>
  <si>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</si>
  <si>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</si>
  <si>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</si>
  <si>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</si>
  <si>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</si>
  <si>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</si>
  <si>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</si>
  <si>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</si>
  <si>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</si>
  <si>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</si>
  <si>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</si>
  <si>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</si>
  <si>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</si>
  <si>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</si>
  <si>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</si>
  <si>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</si>
  <si>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</si>
  <si>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</si>
  <si>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</si>
  <si>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</si>
  <si>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</si>
  <si>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</si>
  <si>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</si>
  <si>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</si>
  <si>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</si>
  <si>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</si>
  <si>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</si>
  <si>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</si>
  <si>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</si>
  <si>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</si>
  <si>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</si>
  <si>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</si>
  <si>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</si>
  <si>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</si>
  <si>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</si>
  <si>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</si>
  <si>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</si>
  <si>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</si>
  <si>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</si>
  <si>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</si>
  <si>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</si>
  <si>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</si>
  <si>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</si>
  <si>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</si>
  <si>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</si>
  <si>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</si>
  <si>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</si>
  <si>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</si>
  <si>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</si>
  <si>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</si>
  <si>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</si>
  <si>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</si>
  <si>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</si>
  <si>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</si>
  <si>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</si>
  <si>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</si>
  <si>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</si>
  <si>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</si>
  <si>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</si>
  <si>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</si>
  <si>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</si>
  <si>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</si>
  <si>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</si>
  <si>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</si>
  <si>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</si>
  <si>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</si>
  <si>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</si>
  <si>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</si>
  <si>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</si>
  <si>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</si>
  <si>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</si>
  <si>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</si>
  <si>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</si>
  <si>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</si>
  <si>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</si>
  <si>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</si>
  <si>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</si>
  <si>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</si>
  <si>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</si>
  <si>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</si>
  <si>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</si>
  <si>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</si>
  <si>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</si>
  <si>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</si>
  <si>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</si>
  <si>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</si>
  <si>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</si>
  <si>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</si>
  <si>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</si>
  <si>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</si>
  <si>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</si>
  <si>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</si>
  <si>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</si>
  <si>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</si>
  <si>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</si>
  <si>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</si>
  <si>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</si>
  <si>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</si>
  <si>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</si>
  <si>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</si>
  <si>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</si>
  <si>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</si>
  <si>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</si>
  <si>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</si>
  <si>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</si>
  <si>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</si>
  <si>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</si>
  <si>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</si>
  <si>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</si>
  <si>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</si>
  <si>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</si>
  <si>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</si>
  <si>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</si>
  <si>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</si>
  <si>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</si>
  <si>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</si>
  <si>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</si>
  <si>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</si>
  <si>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</si>
  <si>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</si>
  <si>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</si>
  <si>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</si>
  <si>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</si>
  <si>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</si>
  <si>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</si>
  <si>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</si>
  <si>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</si>
  <si>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</si>
  <si>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</si>
  <si>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</si>
  <si>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</si>
  <si>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</si>
  <si>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</si>
  <si>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</si>
  <si>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</si>
  <si>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</si>
  <si>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</si>
  <si>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</si>
  <si>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</si>
  <si>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</si>
  <si>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</si>
  <si>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</si>
  <si>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</si>
  <si>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</si>
  <si>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</si>
  <si>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</si>
  <si>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</si>
  <si>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</si>
  <si>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</si>
  <si>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</si>
  <si>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</si>
  <si>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</si>
  <si>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</si>
  <si>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</si>
  <si>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</si>
  <si>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</si>
  <si>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</si>
  <si>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</si>
  <si>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</si>
  <si>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</si>
  <si>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</si>
  <si>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</si>
  <si>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</si>
  <si>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</si>
  <si>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</si>
  <si>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</si>
  <si>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</si>
  <si>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</si>
  <si>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</si>
  <si>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</si>
  <si>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</si>
  <si>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</si>
  <si>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</si>
  <si>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</si>
  <si>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</si>
  <si>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</si>
  <si>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</si>
  <si>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</si>
  <si>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</si>
  <si>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</si>
  <si>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</si>
  <si>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</si>
  <si>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</si>
  <si>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</si>
  <si>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</si>
  <si>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</si>
  <si>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</si>
  <si>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</si>
  <si>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</si>
  <si>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</si>
  <si>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</si>
  <si>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</si>
  <si>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</si>
  <si>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</si>
  <si>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</si>
  <si>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</si>
  <si>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</si>
  <si>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</si>
  <si>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</si>
  <si>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</si>
  <si>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</si>
  <si>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</si>
  <si>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</si>
  <si>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</si>
  <si>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</si>
  <si>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</si>
  <si>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</si>
  <si>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</si>
  <si>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</si>
  <si>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</si>
  <si>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</si>
  <si>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</si>
  <si>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</si>
  <si>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</si>
  <si>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</si>
  <si>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</si>
  <si>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</si>
  <si>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</si>
  <si>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</si>
  <si>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</si>
  <si>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</si>
  <si>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</si>
  <si>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</si>
  <si>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</si>
  <si>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</si>
  <si>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</si>
  <si>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</si>
  <si>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</si>
  <si>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</si>
  <si>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</si>
  <si>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</si>
  <si>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</si>
  <si>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</si>
  <si>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</si>
  <si>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</si>
  <si>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</si>
  <si>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</si>
  <si>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</si>
  <si>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</si>
  <si>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</si>
  <si>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</si>
  <si>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</si>
  <si>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</si>
  <si>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</si>
  <si>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</si>
  <si>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</si>
  <si>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</si>
  <si>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</si>
  <si>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</si>
  <si>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</si>
  <si>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</si>
  <si>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</si>
  <si>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</si>
  <si>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</si>
  <si>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</si>
  <si>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</si>
  <si>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</si>
  <si>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</si>
  <si>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</si>
  <si>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</si>
  <si>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</si>
  <si>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</si>
  <si>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</si>
  <si>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</si>
  <si>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</si>
  <si>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</si>
  <si>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</si>
  <si>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</si>
  <si>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</si>
  <si>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</si>
  <si>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</si>
  <si>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</si>
  <si>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</si>
  <si>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</si>
  <si>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</si>
  <si>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</si>
  <si>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</si>
  <si>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</si>
  <si>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</si>
  <si>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</si>
  <si>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</si>
  <si>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</si>
  <si>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</si>
  <si>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</si>
  <si>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</si>
  <si>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</si>
  <si>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</si>
  <si>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</si>
  <si>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</si>
  <si>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</si>
  <si>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</si>
  <si>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</si>
  <si>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</si>
  <si>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</si>
  <si>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</si>
  <si>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</si>
  <si>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</si>
  <si>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</si>
  <si>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</si>
  <si>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</si>
  <si>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</si>
  <si>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</si>
  <si>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</si>
  <si>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</si>
  <si>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</si>
  <si>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</si>
  <si>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</si>
  <si>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</si>
  <si>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</si>
  <si>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</si>
  <si>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</si>
  <si>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</si>
  <si>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</si>
  <si>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</si>
  <si>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</si>
  <si>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</si>
  <si>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</si>
  <si>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</si>
  <si>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</si>
  <si>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</si>
  <si>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</si>
  <si>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</si>
  <si>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</si>
  <si>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</si>
  <si>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</si>
  <si>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</si>
  <si>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</si>
  <si>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</si>
  <si>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</si>
  <si>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</si>
  <si>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</si>
  <si>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</si>
  <si>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</si>
  <si>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</si>
  <si>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</si>
  <si>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</si>
  <si>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</si>
  <si>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</si>
  <si>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</si>
  <si>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</si>
  <si>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</si>
  <si>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</si>
  <si>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</si>
  <si>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</si>
  <si>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</si>
  <si>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</si>
  <si>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</si>
  <si>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</si>
  <si>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</si>
  <si>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</si>
  <si>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</si>
  <si>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</si>
  <si>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</si>
  <si>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</si>
  <si>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</si>
  <si>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</si>
  <si>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</si>
  <si>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</si>
  <si>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</si>
  <si>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</si>
  <si>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</si>
  <si>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</si>
  <si>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</si>
  <si>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</si>
  <si>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</si>
  <si>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</si>
  <si>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</si>
  <si>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</si>
  <si>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</si>
  <si>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</si>
  <si>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</si>
  <si>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</si>
  <si>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</si>
  <si>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</si>
  <si>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</si>
  <si>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</si>
  <si>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</si>
  <si>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</si>
  <si>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</si>
  <si>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</si>
  <si>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</si>
  <si>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</si>
  <si>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</si>
  <si>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</si>
  <si>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</si>
  <si>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</si>
  <si>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</si>
  <si>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</si>
  <si>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</si>
  <si>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</si>
  <si>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</si>
  <si>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</si>
  <si>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</si>
  <si>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</si>
  <si>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</si>
  <si>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</si>
  <si>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</si>
  <si>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</si>
  <si>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</si>
  <si>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</si>
  <si>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</si>
  <si>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</si>
  <si>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</si>
  <si>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</si>
  <si>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</si>
  <si>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</si>
  <si>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</si>
  <si>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</si>
  <si>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</si>
  <si>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</si>
  <si>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</si>
  <si>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</si>
  <si>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</si>
  <si>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</si>
  <si>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</si>
  <si>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</si>
  <si>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</si>
  <si>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</si>
  <si>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</si>
  <si>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</si>
  <si>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</si>
  <si>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</si>
  <si>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</si>
  <si>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</si>
  <si>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</si>
  <si>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</si>
  <si>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</si>
  <si>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</si>
  <si>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</si>
  <si>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</si>
  <si>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</si>
  <si>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</si>
  <si>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</si>
  <si>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</si>
  <si>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</si>
  <si>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</si>
  <si>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</si>
  <si>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</si>
  <si>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</si>
  <si>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</si>
  <si>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</si>
  <si>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</si>
  <si>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</si>
  <si>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</si>
  <si>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</si>
  <si>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</si>
  <si>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</si>
  <si>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</si>
  <si>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</si>
  <si>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</si>
  <si>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</si>
  <si>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</si>
  <si>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</si>
  <si>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</si>
  <si>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</si>
  <si>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</si>
  <si>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</si>
  <si>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</si>
  <si>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</si>
  <si>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</si>
  <si>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</si>
  <si>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</si>
  <si>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</si>
  <si>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</si>
  <si>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</si>
  <si>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</si>
  <si>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</si>
  <si>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</si>
  <si>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</si>
  <si>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</si>
  <si>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</si>
  <si>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</si>
  <si>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</si>
  <si>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</si>
  <si>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</si>
  <si>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</si>
  <si>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</si>
  <si>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</si>
  <si>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</si>
  <si>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</si>
  <si>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</si>
  <si>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</si>
  <si>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</si>
  <si>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</si>
  <si>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</si>
  <si>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</si>
  <si>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</si>
  <si>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</si>
  <si>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</si>
  <si>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</si>
  <si>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</si>
  <si>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</si>
  <si>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</si>
  <si>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</si>
  <si>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</si>
  <si>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</si>
  <si>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</si>
  <si>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</si>
  <si>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</si>
  <si>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</si>
  <si>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</si>
  <si>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</si>
  <si>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</si>
  <si>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</si>
  <si>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</si>
  <si>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</si>
  <si>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</si>
  <si>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</si>
  <si>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</si>
  <si>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</si>
  <si>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</si>
  <si>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</si>
  <si>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</si>
  <si>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</si>
  <si>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</si>
  <si>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</si>
  <si>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</si>
  <si>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</si>
  <si>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</si>
  <si>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</si>
  <si>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</si>
  <si>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</si>
  <si>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</si>
  <si>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</si>
  <si>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</si>
  <si>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</si>
  <si>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</si>
  <si>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</si>
  <si>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</si>
  <si>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</si>
  <si>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</si>
  <si>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</si>
  <si>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</si>
  <si>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</si>
  <si>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</si>
  <si>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</si>
  <si>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</si>
  <si>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</si>
  <si>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</si>
  <si>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</si>
  <si>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</si>
  <si>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</si>
  <si>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</si>
  <si>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</si>
  <si>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</si>
  <si>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</si>
  <si>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</si>
  <si>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</si>
  <si>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</si>
  <si>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</si>
  <si>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</si>
  <si>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</si>
  <si>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</si>
  <si>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</si>
  <si>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</si>
  <si>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</si>
  <si>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</si>
  <si>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</si>
  <si>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</si>
  <si>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</si>
  <si>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</si>
  <si>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</si>
  <si>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</si>
  <si>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</si>
  <si>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</si>
  <si>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</si>
  <si>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</si>
  <si>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</si>
  <si>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</si>
  <si>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</si>
  <si>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</si>
  <si>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</si>
  <si>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</si>
  <si>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</si>
  <si>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</si>
  <si>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</si>
  <si>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</si>
  <si>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</si>
  <si>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</si>
  <si>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</si>
  <si>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</si>
  <si>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</si>
  <si>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</si>
  <si>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</si>
  <si>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</si>
  <si>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</si>
  <si>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</si>
  <si>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</si>
  <si>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</si>
  <si>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</si>
  <si>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</si>
  <si>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</si>
  <si>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</si>
  <si>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</si>
  <si>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</si>
  <si>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</si>
  <si>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</si>
  <si>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</si>
  <si>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</si>
  <si>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</si>
  <si>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</si>
  <si>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</si>
  <si>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</si>
  <si>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</si>
  <si>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</si>
  <si>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</si>
  <si>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</si>
  <si>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</si>
  <si>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</si>
  <si>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</si>
  <si>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</si>
  <si>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</si>
  <si>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</si>
  <si>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</si>
  <si>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</si>
  <si>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</si>
  <si>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</si>
  <si>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</si>
  <si>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</si>
  <si>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</si>
  <si>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</si>
  <si>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</si>
  <si>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</si>
  <si>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</si>
  <si>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</si>
  <si>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</si>
  <si>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</si>
  <si>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</si>
  <si>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</si>
  <si>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</si>
  <si>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</si>
  <si>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</si>
  <si>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</si>
  <si>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</si>
  <si>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</si>
  <si>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</si>
  <si>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</si>
  <si>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</si>
  <si>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</si>
  <si>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</si>
  <si>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</si>
  <si>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</si>
  <si>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</si>
  <si>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</si>
  <si>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</si>
  <si>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</si>
  <si>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</si>
  <si>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</si>
  <si>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</si>
  <si>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</si>
  <si>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</si>
  <si>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</si>
  <si>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</si>
  <si>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</si>
  <si>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</si>
  <si>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</si>
  <si>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</si>
  <si>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</si>
  <si>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</si>
  <si>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</si>
  <si>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</si>
  <si>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</si>
  <si>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</si>
  <si>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</si>
  <si>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</si>
  <si>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</si>
  <si>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</si>
  <si>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</si>
  <si>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</si>
  <si>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</si>
  <si>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</si>
  <si>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</si>
  <si>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</si>
  <si>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</si>
  <si>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</si>
  <si>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</si>
  <si>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</si>
  <si>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</si>
  <si>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</si>
  <si>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</si>
  <si>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</si>
  <si>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</si>
  <si>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</si>
  <si>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</si>
  <si>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</si>
  <si>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</si>
  <si>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</si>
  <si>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</si>
  <si>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</si>
  <si>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</si>
  <si>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</si>
  <si>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</si>
  <si>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</si>
  <si>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</si>
  <si>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</si>
  <si>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</si>
  <si>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</si>
  <si>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</si>
  <si>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</si>
  <si>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</si>
  <si>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</si>
  <si>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</si>
  <si>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</si>
  <si>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</si>
  <si>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</si>
  <si>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</si>
  <si>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</si>
  <si>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</si>
  <si>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</si>
  <si>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</si>
  <si>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</si>
  <si>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</si>
  <si>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</si>
  <si>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</si>
  <si>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</si>
  <si>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</si>
  <si>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</si>
  <si>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</si>
  <si>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</si>
  <si>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</si>
  <si>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</si>
  <si>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</si>
  <si>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</si>
  <si>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</si>
  <si>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</si>
  <si>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</si>
  <si>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</si>
  <si>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</si>
  <si>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</si>
  <si>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</si>
  <si>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</si>
  <si>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</si>
  <si>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</si>
  <si>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</si>
  <si>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</si>
  <si>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</si>
  <si>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</si>
  <si>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</si>
  <si>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</si>
  <si>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</si>
  <si>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</si>
  <si>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</si>
  <si>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</si>
  <si>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</si>
  <si>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</si>
  <si>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</si>
  <si>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</si>
  <si>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</si>
  <si>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</si>
  <si>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</si>
  <si>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</si>
  <si>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</si>
  <si>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</si>
  <si>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</si>
  <si>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</si>
  <si>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</si>
  <si>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</si>
  <si>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</si>
  <si>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</si>
  <si>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</si>
  <si>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</si>
  <si>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</si>
  <si>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</si>
  <si>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</si>
  <si>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</si>
  <si>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</si>
  <si>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</si>
  <si>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</si>
  <si>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</si>
  <si>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</si>
  <si>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</si>
  <si>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</si>
  <si>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</si>
  <si>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</si>
  <si>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</si>
  <si>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</si>
  <si>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</si>
  <si>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</si>
  <si>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</si>
  <si>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</si>
  <si>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</si>
  <si>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</si>
  <si>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</si>
  <si>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</si>
  <si>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</si>
  <si>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</si>
  <si>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</si>
  <si>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</si>
  <si>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</si>
  <si>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</si>
  <si>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</si>
  <si>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</si>
  <si>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</si>
  <si>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</si>
  <si>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</si>
  <si>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</si>
  <si>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</si>
  <si>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</si>
  <si>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</si>
  <si>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</si>
  <si>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</si>
  <si>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</si>
  <si>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</si>
  <si>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</si>
  <si>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</si>
  <si>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</si>
  <si>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</si>
  <si>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</si>
  <si>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</si>
  <si>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</si>
  <si>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</si>
  <si>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</si>
  <si>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</si>
  <si>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</si>
  <si>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</si>
  <si>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</si>
  <si>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</si>
  <si>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</si>
  <si>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</si>
  <si>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</si>
  <si>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</si>
  <si>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</si>
  <si>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</si>
  <si>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</si>
  <si>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</si>
  <si>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</si>
  <si>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</si>
  <si>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</si>
  <si>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</si>
  <si>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</si>
  <si>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</si>
  <si>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</si>
  <si>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</si>
  <si>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</si>
  <si>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</si>
  <si>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</si>
  <si>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</si>
  <si>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</si>
  <si>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</si>
  <si>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</si>
  <si>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</si>
  <si>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</si>
  <si>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</si>
  <si>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</si>
  <si>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</si>
  <si>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</si>
  <si>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</si>
  <si>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</si>
  <si>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</si>
  <si>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</si>
  <si>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</si>
  <si>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</si>
  <si>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</si>
  <si>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</si>
  <si>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</si>
  <si>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</si>
  <si>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</si>
  <si>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</si>
  <si>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</si>
  <si>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</si>
  <si>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</si>
  <si>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</si>
  <si>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</si>
  <si>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</si>
  <si>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</si>
  <si>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</si>
  <si>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</si>
  <si>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</si>
  <si>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</si>
  <si>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</si>
  <si>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</si>
  <si>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</si>
  <si>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</si>
  <si>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</si>
  <si>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</si>
  <si>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</si>
  <si>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</si>
  <si>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</si>
  <si>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</si>
  <si>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</si>
  <si>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</si>
  <si>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</si>
  <si>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</si>
  <si>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</si>
  <si>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</si>
  <si>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</si>
  <si>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</si>
  <si>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</si>
  <si>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</si>
  <si>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</si>
  <si>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</si>
  <si>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</si>
  <si>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</si>
  <si>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</si>
  <si>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</si>
  <si>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</si>
  <si>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</si>
  <si>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</si>
  <si>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</si>
  <si>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</si>
  <si>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</si>
  <si>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</si>
  <si>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</si>
  <si>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</si>
  <si>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</si>
  <si>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</si>
  <si>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</si>
  <si>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</si>
  <si>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</si>
  <si>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</si>
  <si>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</si>
  <si>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</si>
  <si>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</si>
  <si>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</si>
  <si>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</si>
  <si>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</si>
  <si>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</si>
  <si>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</si>
  <si>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</si>
  <si>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</si>
  <si>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</si>
  <si>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</si>
  <si>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</si>
  <si>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</si>
  <si>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</si>
  <si>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</si>
  <si>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</si>
  <si>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</si>
  <si>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</si>
  <si>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</si>
  <si>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</si>
  <si>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</si>
  <si>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</si>
  <si>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</si>
  <si>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</si>
  <si>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</si>
  <si>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</si>
  <si>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</si>
  <si>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</si>
  <si>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</si>
  <si>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</si>
  <si>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</si>
  <si>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</si>
  <si>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</si>
  <si>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</si>
  <si>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</si>
  <si>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</si>
  <si>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</si>
  <si>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</si>
  <si>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</si>
  <si>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</si>
  <si>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</si>
  <si>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</si>
  <si>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</si>
  <si>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</si>
  <si>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</si>
  <si>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</si>
  <si>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</si>
  <si>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</si>
  <si>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</si>
  <si>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</si>
  <si>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</si>
  <si>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</si>
  <si>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</si>
  <si>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</si>
  <si>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</si>
  <si>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</si>
  <si>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</si>
  <si>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</si>
  <si>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</si>
  <si>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</si>
  <si>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</si>
  <si>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</si>
  <si>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</si>
  <si>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</si>
  <si>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</si>
  <si>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</si>
  <si>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</si>
  <si>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</si>
  <si>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</si>
  <si>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</si>
  <si>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</si>
  <si>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</si>
  <si>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</si>
  <si>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</si>
  <si>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</si>
  <si>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</si>
  <si>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</si>
  <si>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</si>
  <si>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</si>
  <si>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</si>
  <si>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</si>
  <si>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</si>
  <si>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</si>
  <si>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</si>
  <si>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</si>
  <si>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</si>
  <si>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</si>
  <si>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</si>
  <si>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</si>
  <si>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</si>
  <si>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</si>
  <si>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</si>
  <si>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</si>
  <si>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</si>
  <si>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</si>
  <si>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</si>
  <si>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</si>
  <si>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</si>
  <si>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</si>
  <si>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</si>
  <si>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</si>
  <si>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</si>
  <si>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</si>
  <si>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</si>
  <si>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</si>
  <si>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</si>
  <si>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</si>
  <si>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</si>
  <si>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</si>
  <si>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</si>
  <si>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</si>
  <si>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</si>
  <si>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</si>
  <si>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</si>
  <si>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</si>
  <si>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</si>
  <si>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</si>
  <si>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</si>
  <si>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</si>
  <si>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</si>
  <si>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</si>
  <si>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</si>
  <si>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</si>
  <si>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</si>
  <si>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</si>
  <si>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</si>
  <si>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</si>
  <si>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</si>
  <si>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</si>
  <si>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</si>
  <si>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</si>
  <si>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</si>
  <si>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</si>
  <si>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</si>
  <si>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</si>
  <si>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</si>
  <si>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</si>
  <si>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</si>
  <si>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</si>
  <si>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</si>
  <si>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</si>
  <si>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</si>
  <si>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</si>
  <si>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</si>
  <si>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</si>
  <si>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</si>
  <si>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</si>
  <si>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</si>
  <si>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</si>
  <si>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</si>
  <si>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</si>
  <si>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</si>
  <si>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</si>
  <si>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</si>
  <si>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</si>
  <si>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</si>
  <si>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</si>
  <si>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</si>
  <si>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</si>
  <si>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</si>
  <si>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</si>
  <si>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</si>
  <si>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</si>
  <si>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</si>
  <si>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</si>
  <si>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</si>
  <si>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</si>
  <si>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</si>
  <si>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</si>
  <si>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</si>
  <si>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</si>
  <si>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</si>
  <si>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</si>
  <si>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</si>
  <si>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</si>
  <si>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</si>
  <si>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</si>
  <si>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</si>
  <si>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</si>
  <si>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</si>
  <si>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</si>
  <si>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</si>
  <si>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</si>
  <si>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</si>
  <si>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</si>
  <si>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</si>
  <si>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</si>
  <si>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</si>
  <si>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</si>
  <si>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</si>
  <si>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</si>
  <si>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</si>
  <si>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</si>
  <si>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</si>
  <si>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</si>
  <si>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</si>
  <si>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</si>
  <si>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</si>
  <si>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</si>
  <si>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</si>
  <si>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</si>
  <si>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</si>
  <si>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</si>
  <si>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</si>
  <si>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</si>
  <si>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</si>
  <si>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</si>
  <si>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</si>
  <si>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</si>
  <si>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</si>
  <si>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</si>
  <si>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</si>
  <si>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</si>
  <si>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</si>
  <si>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</si>
  <si>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</si>
  <si>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</si>
  <si>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</si>
  <si>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</si>
  <si>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</si>
  <si>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</si>
  <si>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</si>
  <si>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</si>
  <si>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</si>
  <si>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</si>
  <si>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</si>
  <si>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</si>
  <si>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</si>
  <si>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</si>
  <si>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</si>
  <si>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</si>
  <si>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</si>
  <si>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</si>
  <si>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</si>
  <si>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</si>
  <si>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</si>
  <si>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</si>
  <si>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</si>
  <si>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</si>
  <si>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</si>
  <si>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</si>
  <si>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</si>
  <si>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</si>
  <si>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</si>
  <si>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</si>
  <si>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</si>
  <si>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</si>
  <si>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</si>
  <si>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</si>
  <si>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</si>
  <si>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</si>
  <si>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</si>
  <si>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</si>
  <si>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</si>
  <si>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</si>
  <si>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</si>
  <si>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</si>
  <si>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</si>
  <si>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</si>
  <si>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</si>
  <si>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</si>
  <si>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</si>
  <si>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</si>
  <si>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</si>
  <si>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</si>
  <si>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</si>
  <si>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</si>
  <si>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</si>
  <si>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</si>
  <si>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</si>
  <si>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</si>
  <si>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</si>
  <si>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</si>
  <si>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</si>
  <si>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</si>
  <si>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</si>
  <si>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</si>
  <si>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</si>
  <si>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</si>
  <si>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</si>
  <si>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</si>
  <si>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</si>
  <si>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</si>
  <si>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</si>
  <si>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</si>
  <si>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</si>
  <si>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</si>
  <si>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</si>
  <si>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</si>
  <si>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</si>
  <si>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</si>
  <si>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</si>
  <si>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</si>
  <si>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</si>
  <si>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</si>
  <si>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</si>
  <si>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</si>
  <si>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</si>
  <si>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</si>
  <si>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</si>
  <si>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</si>
  <si>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</si>
  <si>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</si>
  <si>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</si>
  <si>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</si>
  <si>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</si>
  <si>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</si>
  <si>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</si>
  <si>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</si>
  <si>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</si>
  <si>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</si>
  <si>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</si>
  <si>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</si>
  <si>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</si>
  <si>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</si>
  <si>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</si>
  <si>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</si>
  <si>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</si>
  <si>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</si>
  <si>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</si>
  <si>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</si>
  <si>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</si>
  <si>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</si>
  <si>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</si>
  <si>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</si>
  <si>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</si>
  <si>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</si>
  <si>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</si>
  <si>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</si>
  <si>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</si>
  <si>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</si>
  <si>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</si>
  <si>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</si>
  <si>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</si>
  <si>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</si>
  <si>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</si>
  <si>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</si>
  <si>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</si>
  <si>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</si>
  <si>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</si>
  <si>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</si>
  <si>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</si>
  <si>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</si>
  <si>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</si>
  <si>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</si>
  <si>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</si>
  <si>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</si>
  <si>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</si>
  <si>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</si>
  <si>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</si>
  <si>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</si>
  <si>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</si>
  <si>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</si>
  <si>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</si>
  <si>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</si>
  <si>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</si>
  <si>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</si>
  <si>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</si>
  <si>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</si>
  <si>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</si>
  <si>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</si>
  <si>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</si>
  <si>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</si>
  <si>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</si>
  <si>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</si>
  <si>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</si>
  <si>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</si>
  <si>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</si>
  <si>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</si>
  <si>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</si>
  <si>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</si>
  <si>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</si>
  <si>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</si>
  <si>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</si>
  <si>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</si>
  <si>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</si>
  <si>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</si>
  <si>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</si>
  <si>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</si>
  <si>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</si>
  <si>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</si>
  <si>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</si>
  <si>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</si>
  <si>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</si>
  <si>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</si>
  <si>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</si>
  <si>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</si>
  <si>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</si>
  <si>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</si>
  <si>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</si>
  <si>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</si>
  <si>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</si>
  <si>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</si>
  <si>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</si>
  <si>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</si>
  <si>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</si>
  <si>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</si>
  <si>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</si>
  <si>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</si>
  <si>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</si>
  <si>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</si>
  <si>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</si>
  <si>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</si>
  <si>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</si>
  <si>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</si>
  <si>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</si>
  <si>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</si>
  <si>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</si>
  <si>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</si>
  <si>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</si>
  <si>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</si>
  <si>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</si>
  <si>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</si>
  <si>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</si>
  <si>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</si>
  <si>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</si>
  <si>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</si>
  <si>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</si>
  <si>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</si>
  <si>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</si>
  <si>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</si>
  <si>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</si>
  <si>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</si>
  <si>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</si>
  <si>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</si>
  <si>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</si>
  <si>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</si>
  <si>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</si>
  <si>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</si>
  <si>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</si>
  <si>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</si>
  <si>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</si>
  <si>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</si>
  <si>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</si>
  <si>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</si>
  <si>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</si>
  <si>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</si>
  <si>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</si>
  <si>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</si>
  <si>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</si>
  <si>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</si>
  <si>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</si>
  <si>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</si>
  <si>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</si>
  <si>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</si>
  <si>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</si>
  <si>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</si>
  <si>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</si>
  <si>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</si>
  <si>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</si>
  <si>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</si>
  <si>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</si>
  <si>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</si>
  <si>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</si>
  <si>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</si>
  <si>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</si>
  <si>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</si>
  <si>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</si>
  <si>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</si>
  <si>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</si>
  <si>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</si>
  <si>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</si>
  <si>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</si>
  <si>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</si>
  <si>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</si>
  <si>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</si>
  <si>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</si>
  <si>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</si>
  <si>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</si>
  <si>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</si>
  <si>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</si>
  <si>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</si>
  <si>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</si>
  <si>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</si>
  <si>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</si>
  <si>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</si>
  <si>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</si>
  <si>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</si>
  <si>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</si>
  <si>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</si>
  <si>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</si>
  <si>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</si>
  <si>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</si>
  <si>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</si>
  <si>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</si>
  <si>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</si>
  <si>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</si>
  <si>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</si>
  <si>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</si>
  <si>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</si>
  <si>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</si>
  <si>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</si>
  <si>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</si>
  <si>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</si>
  <si>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</si>
  <si>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</si>
  <si>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</si>
  <si>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</si>
  <si>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</si>
  <si>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</si>
  <si>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</si>
  <si>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</si>
  <si>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</si>
  <si>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</si>
  <si>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</si>
  <si>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</si>
  <si>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</si>
  <si>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</si>
  <si>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</si>
  <si>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</si>
  <si>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</si>
  <si>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</si>
  <si>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</si>
  <si>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</si>
  <si>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</si>
  <si>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</si>
  <si>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</si>
  <si>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</si>
  <si>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</si>
  <si>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</si>
  <si>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</si>
  <si>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</si>
  <si>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</si>
  <si>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</si>
  <si>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</si>
  <si>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</si>
  <si>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</si>
  <si>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</si>
  <si>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</si>
  <si>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</si>
  <si>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</si>
  <si>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</si>
  <si>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</si>
  <si>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</si>
  <si>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</si>
  <si>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</si>
  <si>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</si>
  <si>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</si>
  <si>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</si>
  <si>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</si>
  <si>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</si>
  <si>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</si>
  <si>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</si>
  <si>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</si>
  <si>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</si>
  <si>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</si>
  <si>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</si>
  <si>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</si>
  <si>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</si>
  <si>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</si>
  <si>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</si>
  <si>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</si>
  <si>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</si>
  <si>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</si>
  <si>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</si>
  <si>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</si>
  <si>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</si>
  <si>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</si>
  <si>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</si>
  <si>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</si>
  <si>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</si>
  <si>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</si>
  <si>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</si>
  <si>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</si>
  <si>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</si>
  <si>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</si>
  <si>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</si>
  <si>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</si>
  <si>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</si>
  <si>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</si>
  <si>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</si>
  <si>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</si>
  <si>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</si>
  <si>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</si>
  <si>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</si>
  <si>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</si>
  <si>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</si>
  <si>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</si>
  <si>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</si>
  <si>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</si>
  <si>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</si>
  <si>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</si>
  <si>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</si>
  <si>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</si>
  <si>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</si>
  <si>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</si>
  <si>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</si>
  <si>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</si>
  <si>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</si>
  <si>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</si>
  <si>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</si>
  <si>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</si>
  <si>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</si>
  <si>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</si>
  <si>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</si>
  <si>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</si>
  <si>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</si>
  <si>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</si>
  <si>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</si>
  <si>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</si>
  <si>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</si>
  <si>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</si>
  <si>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</si>
  <si>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</si>
  <si>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</si>
  <si>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</si>
  <si>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</si>
  <si>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</si>
  <si>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</si>
  <si>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</si>
  <si>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</si>
  <si>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</si>
  <si>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</si>
  <si>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</si>
  <si>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</si>
  <si>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</si>
  <si>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</si>
  <si>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</si>
  <si>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</si>
  <si>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</si>
  <si>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</si>
  <si>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</si>
  <si>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</si>
  <si>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</si>
  <si>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</si>
  <si>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</si>
  <si>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</si>
  <si>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</si>
  <si>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</si>
  <si>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</si>
  <si>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</si>
  <si>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</si>
  <si>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</si>
  <si>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</si>
  <si>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</si>
  <si>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</si>
  <si>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</si>
  <si>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</si>
  <si>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</si>
  <si>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</si>
  <si>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</si>
  <si>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</si>
  <si>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</si>
  <si>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</si>
  <si>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</si>
  <si>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</si>
  <si>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</si>
  <si>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</si>
  <si>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</si>
  <si>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</si>
  <si>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</si>
  <si>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</si>
  <si>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</si>
  <si>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</si>
  <si>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</si>
  <si>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</si>
  <si>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</si>
  <si>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</si>
  <si>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</si>
  <si>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</si>
  <si>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</si>
  <si>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</si>
  <si>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</si>
  <si>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</si>
  <si>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</si>
  <si>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</si>
  <si>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</si>
  <si>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</si>
  <si>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</si>
  <si>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</si>
  <si>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</si>
  <si>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</si>
  <si>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</si>
  <si>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</si>
  <si>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</si>
  <si>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</si>
  <si>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</si>
  <si>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</si>
  <si>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</si>
  <si>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</si>
  <si>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</si>
  <si>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</si>
  <si>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</si>
  <si>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</si>
  <si>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</si>
  <si>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</si>
  <si>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</si>
  <si>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</si>
  <si>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</si>
  <si>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</si>
  <si>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</si>
  <si>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</si>
  <si>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</si>
  <si>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</si>
  <si>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</si>
  <si>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</si>
  <si>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</si>
  <si>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</si>
  <si>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</si>
  <si>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</si>
  <si>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</si>
  <si>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</si>
  <si>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</si>
  <si>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</si>
  <si>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</si>
  <si>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</si>
  <si>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</si>
  <si>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</si>
  <si>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</si>
  <si>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</si>
  <si>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</si>
  <si>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</si>
  <si>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</si>
  <si>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</si>
  <si>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</si>
  <si>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</si>
  <si>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</si>
  <si>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</si>
  <si>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</si>
  <si>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</si>
  <si>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</si>
  <si>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</si>
  <si>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</si>
  <si>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</si>
  <si>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</si>
  <si>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</si>
  <si>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</si>
  <si>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</si>
  <si>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</si>
  <si>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</si>
  <si>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</si>
  <si>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</si>
  <si>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</si>
  <si>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</si>
  <si>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</si>
  <si>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</si>
  <si>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</si>
  <si>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</si>
  <si>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</si>
  <si>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</si>
  <si>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</si>
  <si>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</si>
  <si>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</si>
  <si>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</si>
  <si>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</si>
  <si>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</si>
  <si>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</si>
  <si>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</si>
  <si>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</si>
  <si>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</si>
  <si>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</si>
  <si>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</si>
  <si>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</si>
  <si>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</si>
  <si>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</si>
  <si>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</si>
  <si>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</si>
  <si>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</si>
  <si>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</si>
  <si>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</si>
  <si>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</si>
  <si>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</si>
  <si>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</si>
  <si>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</si>
  <si>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</si>
  <si>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</si>
  <si>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</si>
  <si>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</si>
  <si>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</si>
  <si>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</si>
  <si>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</si>
  <si>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</si>
  <si>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</si>
  <si>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</si>
  <si>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</si>
  <si>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</si>
  <si>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</si>
  <si>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</si>
  <si>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</si>
  <si>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</si>
  <si>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</si>
  <si>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</si>
  <si>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</si>
  <si>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</si>
  <si>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</si>
  <si>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</si>
  <si>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</si>
  <si>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</si>
  <si>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</si>
  <si>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</si>
  <si>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</si>
  <si>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</si>
  <si>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</si>
  <si>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</si>
  <si>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</si>
  <si>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</si>
  <si>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</si>
  <si>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</si>
  <si>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</si>
  <si>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</si>
  <si>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</si>
  <si>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</si>
  <si>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</si>
  <si>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</si>
  <si>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</si>
  <si>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</si>
  <si>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</si>
  <si>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</si>
  <si>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</si>
  <si>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</si>
  <si>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</si>
  <si>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</si>
  <si>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</si>
  <si>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</si>
  <si>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</si>
  <si>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</si>
  <si>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</si>
  <si>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</si>
  <si>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</si>
  <si>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</si>
  <si>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</si>
  <si>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</si>
  <si>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</si>
  <si>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</si>
  <si>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</si>
  <si>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</si>
  <si>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</si>
  <si>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</si>
  <si>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</si>
  <si>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</si>
  <si>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</si>
  <si>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</si>
  <si>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</si>
  <si>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</si>
  <si>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</si>
  <si>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</si>
  <si>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</si>
  <si>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</si>
  <si>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</si>
  <si>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</si>
  <si>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</si>
  <si>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</si>
  <si>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</si>
  <si>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</si>
  <si>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</si>
  <si>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</si>
  <si>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</si>
  <si>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</si>
  <si>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</si>
  <si>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</si>
  <si>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</si>
  <si>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</si>
  <si>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</si>
  <si>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</si>
  <si>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</si>
  <si>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</si>
  <si>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</si>
  <si>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</si>
  <si>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</si>
  <si>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</si>
  <si>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</si>
  <si>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</si>
  <si>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</si>
  <si>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</si>
  <si>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</si>
  <si>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</si>
  <si>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</si>
  <si>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</si>
  <si>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</si>
  <si>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</si>
  <si>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</si>
  <si>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</si>
  <si>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</si>
  <si>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</si>
  <si>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</si>
  <si>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</si>
  <si>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</si>
  <si>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</si>
  <si>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</si>
  <si>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</si>
  <si>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</si>
  <si>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</si>
  <si>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</si>
  <si>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</si>
  <si>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</si>
  <si>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</si>
  <si>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</si>
  <si>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</si>
  <si>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</si>
  <si>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</si>
  <si>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</si>
  <si>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</si>
  <si>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</si>
  <si>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</si>
  <si>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</si>
  <si>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</si>
  <si>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</si>
  <si>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</si>
  <si>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</si>
  <si>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</si>
  <si>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</si>
  <si>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</si>
  <si>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</si>
  <si>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</si>
  <si>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</si>
  <si>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</si>
  <si>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</si>
  <si>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</si>
  <si>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</si>
  <si>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</si>
  <si>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</si>
  <si>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</si>
  <si>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</si>
  <si>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</si>
  <si>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</si>
  <si>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</si>
  <si>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</si>
  <si>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</si>
  <si>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</si>
  <si>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</si>
  <si>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</si>
  <si>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</si>
  <si>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</si>
  <si>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</si>
  <si>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</si>
  <si>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</si>
  <si>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</si>
  <si>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</si>
  <si>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</si>
  <si>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</si>
  <si>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</si>
  <si>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</si>
  <si>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</si>
  <si>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</si>
  <si>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</si>
  <si>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</si>
  <si>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</si>
  <si>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</si>
  <si>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</si>
  <si>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</si>
  <si>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</si>
  <si>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</si>
  <si>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</si>
  <si>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</si>
  <si>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</si>
  <si>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</si>
  <si>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</si>
  <si>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</si>
  <si>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</si>
  <si>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</si>
  <si>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</si>
  <si>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</si>
  <si>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</si>
  <si>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</si>
  <si>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</si>
  <si>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</si>
  <si>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</si>
  <si>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</si>
  <si>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</si>
  <si>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</si>
  <si>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</si>
  <si>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</si>
  <si>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</si>
  <si>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</si>
  <si>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</si>
  <si>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</si>
  <si>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</si>
  <si>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</si>
  <si>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</si>
  <si>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</si>
  <si>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</si>
  <si>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</si>
  <si>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</si>
  <si>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</si>
  <si>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</si>
  <si>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</si>
  <si>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</si>
  <si>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</si>
  <si>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</si>
  <si>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</si>
  <si>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</si>
  <si>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</si>
  <si>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</si>
  <si>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</si>
  <si>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</si>
  <si>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</si>
  <si>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</si>
  <si>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</si>
  <si>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</si>
  <si>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</si>
  <si>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</si>
  <si>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</si>
  <si>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</si>
  <si>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</si>
  <si>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</si>
  <si>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</si>
  <si>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</si>
  <si>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</si>
  <si>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</si>
  <si>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</si>
  <si>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</si>
  <si>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</si>
  <si>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</si>
  <si>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</si>
  <si>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</si>
  <si>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</si>
  <si>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</si>
  <si>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</si>
  <si>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</si>
  <si>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</si>
  <si>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</si>
  <si>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</si>
  <si>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</si>
  <si>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</si>
  <si>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</si>
  <si>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</si>
  <si>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</si>
  <si>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</si>
  <si>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</si>
  <si>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</si>
  <si>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</si>
  <si>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</si>
  <si>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</si>
  <si>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</si>
  <si>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</si>
  <si>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</si>
  <si>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</si>
  <si>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</si>
  <si>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</si>
  <si>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</si>
  <si>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</si>
  <si>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</si>
  <si>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</si>
  <si>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</si>
  <si>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</si>
  <si>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</si>
  <si>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</si>
  <si>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</si>
  <si>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</si>
  <si>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</si>
  <si>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</si>
  <si>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</si>
  <si>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</si>
  <si>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</si>
  <si>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</si>
  <si>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</si>
  <si>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</si>
  <si>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</si>
  <si>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</si>
  <si>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</si>
  <si>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</si>
  <si>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</si>
  <si>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</si>
  <si>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</si>
  <si>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</si>
  <si>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</si>
  <si>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</si>
  <si>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</si>
  <si>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</si>
  <si>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</si>
  <si>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</si>
  <si>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</si>
  <si>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</si>
  <si>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</si>
  <si>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</si>
  <si>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</si>
  <si>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</si>
  <si>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</si>
  <si>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</si>
  <si>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</si>
  <si>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</si>
  <si>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</si>
  <si>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</si>
  <si>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</si>
  <si>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</si>
  <si>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</si>
  <si>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</si>
  <si>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</si>
  <si>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</si>
  <si>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</si>
  <si>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</si>
  <si>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</si>
  <si>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</si>
  <si>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</si>
  <si>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</si>
  <si>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</si>
  <si>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</si>
  <si>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</si>
  <si>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</si>
  <si>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</si>
  <si>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</si>
  <si>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</si>
  <si>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</si>
  <si>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</si>
  <si>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</si>
  <si>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</si>
  <si>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</si>
  <si>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</si>
  <si>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</si>
  <si>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</si>
  <si>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</si>
  <si>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</si>
  <si>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</si>
  <si>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</si>
  <si>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</si>
  <si>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</si>
  <si>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</si>
  <si>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</si>
  <si>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</si>
  <si>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</si>
  <si>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</si>
  <si>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</si>
  <si>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</si>
  <si>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</si>
  <si>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</si>
  <si>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</si>
  <si>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</si>
  <si>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</si>
  <si>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</si>
  <si>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</si>
  <si>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</si>
  <si>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</si>
  <si>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</si>
  <si>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</si>
  <si>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</si>
  <si>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</si>
  <si>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</si>
  <si>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</si>
  <si>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</si>
  <si>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</si>
  <si>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</si>
  <si>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</si>
  <si>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</si>
  <si>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</si>
  <si>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</si>
  <si>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</si>
  <si>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</si>
  <si>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</si>
  <si>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</si>
  <si>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</si>
  <si>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</si>
  <si>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</si>
  <si>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</si>
  <si>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</si>
  <si>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</si>
  <si>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</si>
  <si>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</si>
  <si>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</si>
  <si>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</si>
  <si>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</si>
  <si>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</si>
  <si>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</si>
  <si>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</si>
  <si>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</si>
  <si>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</si>
  <si>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</si>
  <si>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</si>
  <si>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</si>
  <si>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</si>
  <si>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</si>
  <si>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</si>
  <si>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</si>
  <si>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</si>
  <si>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</si>
  <si>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</si>
  <si>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</si>
  <si>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</si>
  <si>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</si>
  <si>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</si>
  <si>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</si>
  <si>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</si>
  <si>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</si>
  <si>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</si>
  <si>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</si>
  <si>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</si>
  <si>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</si>
  <si>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</si>
  <si>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</si>
  <si>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</si>
  <si>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</si>
  <si>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</si>
  <si>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</si>
  <si>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</si>
  <si>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</si>
  <si>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</si>
  <si>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</si>
  <si>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</si>
  <si>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</si>
  <si>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</si>
  <si>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</si>
  <si>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</si>
  <si>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</si>
  <si>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</si>
  <si>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</si>
  <si>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</si>
  <si>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</si>
  <si>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</si>
  <si>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</si>
  <si>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</si>
  <si>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</si>
  <si>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</si>
  <si>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</si>
  <si>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</si>
  <si>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</si>
  <si>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</si>
  <si>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</si>
  <si>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</si>
  <si>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</si>
  <si>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</si>
  <si>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</si>
  <si>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</si>
  <si>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</si>
  <si>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</si>
  <si>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</si>
  <si>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</si>
  <si>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</si>
  <si>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</si>
  <si>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</si>
  <si>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</si>
  <si>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</si>
  <si>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</si>
  <si>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</si>
  <si>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</si>
  <si>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</si>
  <si>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</si>
  <si>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</si>
  <si>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</si>
  <si>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</si>
  <si>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</si>
  <si>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</si>
  <si>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</si>
  <si>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</si>
  <si>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</si>
  <si>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</si>
  <si>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</si>
  <si>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</si>
  <si>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</si>
  <si>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</si>
  <si>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</si>
  <si>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</si>
  <si>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</si>
  <si>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</si>
  <si>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</si>
  <si>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</si>
  <si>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</si>
  <si>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</si>
  <si>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</si>
  <si>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</si>
  <si>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</si>
  <si>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</si>
  <si>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</si>
  <si>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</si>
  <si>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</si>
  <si>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</si>
  <si>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</si>
  <si>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</si>
  <si>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</si>
  <si>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</si>
  <si>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</si>
  <si>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</si>
  <si>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</si>
  <si>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</si>
  <si>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</si>
  <si>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</si>
  <si>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</si>
  <si>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</si>
  <si>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</si>
  <si>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</si>
  <si>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</si>
  <si>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</si>
  <si>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</si>
  <si>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</si>
  <si>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</si>
  <si>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</si>
  <si>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</si>
  <si>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</si>
  <si>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</si>
  <si>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</si>
  <si>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</si>
  <si>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</si>
  <si>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</si>
  <si>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</si>
  <si>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</si>
  <si>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</si>
  <si>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</si>
  <si>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</si>
  <si>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</si>
  <si>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</si>
  <si>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</si>
  <si>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</si>
  <si>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</si>
  <si>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</si>
  <si>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</si>
  <si>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</si>
  <si>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</si>
  <si>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</si>
  <si>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</si>
  <si>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</si>
  <si>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</si>
  <si>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</si>
  <si>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</si>
  <si>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</si>
  <si>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</si>
  <si>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</si>
  <si>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</si>
  <si>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</si>
  <si>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</si>
  <si>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</si>
  <si>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</si>
  <si>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</si>
  <si>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</si>
  <si>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</si>
  <si>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</si>
  <si>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</si>
  <si>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</si>
  <si>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</si>
  <si>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</si>
  <si>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</si>
  <si>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</si>
  <si>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</si>
  <si>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</si>
  <si>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</si>
  <si>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</si>
  <si>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</si>
  <si>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</si>
  <si>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</si>
  <si>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</si>
  <si>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</si>
  <si>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</si>
  <si>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</si>
  <si>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</si>
  <si>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</si>
  <si>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</si>
  <si>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</si>
  <si>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</si>
  <si>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</si>
  <si>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</si>
  <si>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</si>
  <si>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</si>
  <si>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</si>
  <si>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</si>
  <si>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</si>
  <si>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</si>
  <si>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</si>
  <si>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</si>
  <si>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</si>
  <si>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</si>
  <si>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</si>
  <si>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</si>
  <si>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</si>
  <si>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</si>
  <si>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</si>
  <si>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</si>
  <si>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</si>
  <si>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</si>
  <si>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</si>
  <si>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</si>
  <si>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</si>
  <si>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</si>
  <si>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</si>
  <si>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</si>
  <si>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</si>
  <si>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</si>
  <si>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</si>
  <si>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</si>
  <si>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</si>
  <si>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</si>
  <si>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</si>
  <si>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</si>
  <si>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</si>
  <si>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</si>
  <si>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</si>
  <si>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</si>
  <si>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</si>
  <si>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</si>
  <si>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</si>
  <si>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</si>
  <si>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</si>
  <si>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</si>
  <si>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</si>
  <si>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</si>
  <si>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</si>
  <si>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</si>
  <si>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</si>
  <si>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</si>
  <si>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</si>
  <si>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</si>
  <si>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</si>
  <si>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</si>
  <si>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</si>
  <si>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</si>
  <si>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</si>
  <si>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</si>
  <si>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</si>
  <si>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</si>
  <si>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</si>
  <si>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</si>
  <si>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</si>
  <si>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</si>
  <si>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</si>
  <si>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</si>
  <si>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</si>
  <si>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</si>
  <si>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</si>
  <si>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</si>
  <si>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</si>
  <si>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</si>
  <si>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</si>
  <si>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</si>
  <si>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</si>
  <si>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</si>
  <si>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</si>
  <si>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</si>
  <si>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</si>
  <si>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</si>
  <si>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</si>
  <si>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</si>
  <si>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</si>
  <si>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</si>
  <si>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</si>
  <si>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</si>
  <si>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</si>
  <si>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</si>
  <si>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</si>
  <si>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</si>
  <si>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</si>
  <si>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</si>
  <si>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</si>
  <si>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</si>
  <si>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</si>
  <si>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</si>
  <si>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</si>
  <si>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</si>
  <si>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</si>
  <si>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</si>
  <si>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</si>
  <si>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</si>
  <si>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</si>
  <si>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</si>
  <si>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</si>
  <si>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</si>
  <si>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</si>
  <si>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</si>
  <si>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</si>
  <si>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</si>
  <si>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</si>
  <si>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</si>
  <si>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</si>
  <si>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</si>
  <si>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</si>
  <si>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</si>
  <si>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</si>
  <si>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</si>
  <si>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</si>
  <si>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</si>
  <si>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</si>
  <si>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</si>
  <si>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</si>
  <si>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</si>
  <si>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</si>
  <si>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</si>
  <si>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</si>
  <si>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</si>
  <si>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</si>
  <si>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</si>
  <si>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</si>
  <si>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</si>
  <si>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</si>
  <si>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</si>
  <si>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</si>
  <si>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</si>
  <si>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</si>
  <si>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</si>
  <si>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</si>
  <si>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</si>
  <si>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</si>
  <si>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</si>
  <si>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</si>
  <si>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</si>
  <si>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</si>
  <si>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</si>
  <si>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</si>
  <si>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</si>
  <si>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</si>
  <si>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</si>
  <si>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</si>
  <si>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</si>
  <si>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</si>
  <si>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</si>
  <si>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</si>
  <si>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</si>
  <si>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</si>
  <si>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</si>
  <si>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</si>
  <si>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</si>
  <si>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</si>
  <si>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</si>
  <si>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</si>
  <si>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</si>
  <si>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</si>
  <si>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</si>
  <si>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</si>
  <si>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</si>
  <si>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</si>
  <si>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</si>
  <si>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</si>
  <si>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</si>
  <si>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</si>
  <si>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</si>
  <si>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</si>
  <si>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</si>
  <si>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</si>
  <si>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</si>
  <si>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</si>
  <si>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</si>
  <si>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</si>
  <si>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</si>
  <si>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</si>
  <si>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</si>
  <si>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</si>
  <si>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</si>
  <si>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</si>
  <si>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</si>
  <si>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</si>
  <si>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</si>
  <si>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</si>
  <si>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</si>
  <si>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</si>
  <si>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</si>
  <si>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</si>
  <si>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</si>
  <si>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</si>
  <si>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</si>
  <si>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</si>
  <si>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</si>
  <si>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</si>
  <si>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</si>
  <si>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</si>
  <si>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</si>
  <si>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</si>
  <si>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</si>
  <si>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</si>
  <si>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</si>
  <si>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</si>
  <si>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</si>
  <si>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</si>
  <si>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</si>
  <si>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</si>
  <si>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</si>
  <si>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</si>
  <si>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</si>
  <si>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</si>
  <si>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</si>
  <si>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</si>
  <si>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</si>
  <si>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</si>
  <si>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</si>
  <si>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</si>
  <si>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</si>
  <si>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</si>
  <si>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</si>
  <si>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</si>
  <si>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</si>
  <si>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</si>
  <si>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</si>
  <si>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</si>
  <si>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</si>
  <si>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</si>
  <si>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</si>
  <si>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</si>
  <si>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</si>
  <si>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</si>
  <si>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</si>
  <si>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</si>
  <si>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</si>
  <si>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</si>
  <si>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</si>
  <si>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</si>
  <si>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</si>
  <si>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</si>
  <si>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</si>
  <si>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</si>
  <si>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</si>
  <si>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</si>
  <si>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</si>
  <si>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</si>
  <si>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</si>
  <si>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</si>
  <si>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</si>
  <si>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</si>
  <si>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</si>
  <si>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</si>
  <si>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</si>
  <si>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</si>
  <si>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</si>
  <si>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</si>
  <si>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</si>
  <si>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</si>
  <si>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</si>
  <si>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</si>
  <si>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</si>
  <si>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</si>
  <si>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</si>
  <si>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</si>
  <si>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</si>
  <si>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</si>
  <si>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</si>
  <si>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</si>
  <si>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</si>
  <si>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</si>
  <si>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</si>
  <si>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</si>
  <si>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</si>
  <si>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</si>
  <si>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</si>
  <si>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</si>
  <si>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</si>
  <si>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</si>
  <si>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</si>
  <si>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</si>
  <si>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</si>
  <si>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</si>
  <si>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</si>
  <si>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</si>
  <si>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</si>
  <si>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</si>
  <si>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</si>
  <si>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</si>
  <si>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</si>
  <si>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</si>
  <si>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</si>
  <si>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</si>
  <si>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</si>
  <si>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</si>
  <si>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</si>
  <si>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</si>
  <si>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</si>
  <si>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</si>
  <si>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</si>
  <si>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</si>
  <si>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</si>
  <si>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</si>
  <si>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</si>
  <si>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</si>
  <si>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</si>
  <si>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</si>
  <si>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</si>
  <si>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</si>
  <si>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</si>
  <si>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</si>
  <si>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</si>
  <si>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</si>
  <si>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</si>
  <si>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</si>
  <si>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</si>
  <si>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</si>
  <si>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</si>
  <si>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</si>
  <si>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</si>
  <si>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</si>
  <si>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</si>
  <si>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</si>
  <si>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</si>
  <si>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</si>
  <si>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</si>
  <si>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</si>
  <si>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</si>
  <si>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</si>
  <si>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</si>
  <si>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</si>
  <si>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</si>
  <si>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</si>
  <si>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</si>
  <si>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</si>
  <si>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</si>
  <si>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</si>
  <si>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</si>
  <si>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</si>
  <si>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</si>
  <si>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</si>
  <si>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</si>
  <si>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</si>
  <si>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</si>
  <si>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</si>
  <si>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</si>
  <si>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</si>
  <si>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</si>
  <si>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</si>
  <si>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</si>
  <si>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</si>
  <si>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</si>
  <si>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</si>
  <si>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</si>
  <si>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</si>
  <si>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</si>
  <si>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</si>
  <si>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</si>
  <si>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</si>
  <si>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</si>
  <si>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</si>
  <si>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</si>
  <si>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</si>
  <si>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</si>
  <si>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</si>
  <si>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</si>
  <si>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</si>
  <si>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</si>
  <si>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</si>
  <si>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</si>
  <si>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</si>
  <si>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</si>
  <si>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</si>
  <si>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</si>
  <si>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</si>
  <si>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</si>
  <si>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</si>
  <si>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</si>
  <si>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</si>
  <si>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</si>
  <si>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</si>
  <si>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</si>
  <si>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</si>
  <si>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</si>
  <si>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</si>
  <si>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</si>
  <si>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</si>
  <si>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</si>
  <si>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</si>
  <si>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</si>
  <si>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</si>
  <si>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</si>
  <si>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</si>
  <si>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</si>
  <si>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</si>
  <si>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</si>
  <si>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</si>
  <si>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</si>
  <si>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</si>
  <si>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</si>
  <si>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</si>
  <si>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</si>
  <si>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</si>
  <si>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</si>
  <si>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</si>
  <si>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</si>
  <si>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</si>
  <si>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</si>
  <si>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</si>
  <si>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</si>
  <si>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</si>
  <si>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</si>
  <si>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</si>
  <si>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</si>
  <si>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</si>
  <si>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</si>
  <si>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</si>
  <si>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</si>
  <si>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</si>
  <si>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</si>
  <si>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</si>
  <si>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</si>
  <si>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</si>
  <si>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</si>
  <si>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</si>
  <si>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</si>
  <si>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</si>
  <si>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</si>
  <si>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</si>
  <si>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</si>
  <si>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</si>
  <si>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</si>
  <si>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</si>
  <si>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</si>
  <si>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</si>
  <si>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</si>
  <si>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</si>
  <si>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</si>
  <si>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</si>
  <si>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</si>
  <si>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</si>
  <si>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</si>
  <si>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</si>
  <si>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</si>
  <si>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</si>
  <si>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</si>
  <si>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</si>
  <si>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</si>
  <si>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</si>
  <si>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</si>
  <si>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</si>
  <si>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</si>
  <si>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</si>
  <si>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</si>
  <si>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</si>
  <si>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</si>
  <si>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</si>
  <si>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</si>
  <si>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</si>
  <si>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</si>
  <si>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</si>
  <si>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</si>
  <si>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</si>
  <si>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</si>
  <si>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</si>
  <si>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</si>
  <si>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</si>
  <si>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</si>
  <si>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</si>
  <si>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</si>
  <si>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</si>
  <si>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</si>
  <si>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</si>
  <si>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</si>
  <si>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</si>
  <si>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</si>
  <si>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</si>
  <si>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</si>
  <si>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</si>
  <si>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</si>
  <si>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</si>
  <si>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</si>
  <si>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</si>
  <si>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</si>
  <si>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</si>
  <si>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</si>
  <si>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</si>
  <si>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</si>
  <si>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</si>
  <si>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</si>
  <si>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</si>
  <si>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</si>
  <si>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</si>
  <si>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</si>
  <si>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</si>
  <si>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</si>
  <si>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</si>
  <si>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</si>
  <si>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</si>
  <si>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</si>
  <si>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</si>
  <si>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</si>
  <si>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</si>
  <si>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</si>
  <si>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</si>
  <si>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</si>
  <si>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</si>
  <si>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</si>
  <si>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</si>
  <si>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</si>
  <si>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</si>
  <si>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</si>
  <si>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</si>
  <si>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</si>
  <si>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</si>
  <si>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</si>
  <si>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</si>
  <si>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</si>
  <si>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</si>
  <si>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</si>
  <si>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</si>
  <si>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</si>
  <si>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</si>
  <si>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</si>
  <si>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</si>
  <si>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</si>
  <si>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</si>
  <si>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</si>
  <si>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</si>
  <si>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</si>
  <si>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</si>
  <si>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</si>
  <si>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</si>
  <si>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</si>
  <si>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</si>
  <si>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</si>
  <si>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</si>
  <si>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</si>
  <si>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</si>
  <si>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</si>
  <si>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</si>
  <si>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</si>
  <si>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</si>
  <si>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</si>
  <si>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</si>
  <si>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</si>
  <si>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</si>
  <si>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</si>
  <si>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</si>
  <si>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</si>
  <si>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</si>
  <si>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</si>
  <si>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</si>
  <si>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</si>
  <si>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</si>
  <si>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</si>
  <si>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</si>
  <si>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</si>
  <si>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</si>
  <si>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</si>
  <si>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</si>
  <si>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</si>
  <si>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</si>
  <si>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</si>
  <si>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</si>
  <si>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</si>
  <si>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</si>
  <si>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</si>
  <si>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</si>
  <si>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</si>
  <si>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</si>
  <si>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</si>
  <si>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</si>
  <si>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</si>
  <si>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</si>
  <si>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</si>
  <si>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</si>
  <si>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</si>
  <si>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</si>
  <si>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</si>
  <si>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</si>
  <si>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</si>
  <si>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</si>
  <si>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</si>
  <si>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</si>
  <si>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</si>
  <si>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</si>
  <si>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</si>
  <si>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</si>
  <si>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</si>
  <si>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</si>
  <si>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</si>
  <si>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</si>
  <si>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</si>
  <si>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</si>
  <si>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</si>
  <si>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</si>
  <si>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</si>
  <si>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</si>
  <si>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</si>
  <si>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</si>
  <si>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</si>
  <si>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</si>
  <si>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</si>
  <si>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</si>
  <si>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</si>
  <si>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</si>
  <si>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</si>
  <si>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</si>
  <si>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</si>
  <si>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</si>
  <si>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</si>
  <si>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</si>
  <si>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</si>
  <si>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</si>
  <si>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</si>
  <si>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</si>
  <si>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</si>
  <si>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</si>
  <si>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</si>
  <si>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</si>
  <si>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</si>
  <si>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</si>
  <si>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</si>
  <si>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</si>
  <si>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</si>
  <si>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</si>
  <si>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</si>
  <si>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</si>
  <si>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</si>
  <si>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</si>
  <si>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</si>
  <si>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</si>
  <si>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</si>
  <si>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</si>
  <si>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</si>
  <si>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</si>
  <si>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</si>
  <si>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</si>
  <si>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</si>
  <si>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</si>
  <si>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</si>
  <si>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</si>
  <si>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</si>
  <si>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</si>
  <si>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</si>
  <si>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</si>
  <si>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</si>
  <si>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</si>
  <si>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</si>
  <si>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</si>
  <si>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</si>
  <si>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</si>
  <si>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</si>
  <si>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</si>
  <si>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</si>
  <si>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</si>
  <si>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</si>
  <si>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</si>
  <si>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</si>
  <si>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</si>
  <si>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</si>
  <si>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</si>
  <si>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</si>
  <si>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</si>
  <si>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</si>
  <si>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</si>
  <si>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</si>
  <si>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</si>
  <si>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</si>
  <si>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</si>
  <si>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</si>
  <si>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</si>
  <si>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</si>
  <si>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</si>
  <si>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</si>
  <si>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</si>
  <si>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</si>
  <si>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</si>
  <si>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</si>
  <si>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</si>
  <si>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</si>
  <si>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</si>
  <si>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</si>
  <si>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</si>
  <si>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</si>
  <si>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</si>
  <si>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</si>
  <si>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</si>
  <si>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</si>
  <si>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</si>
  <si>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</si>
  <si>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</si>
  <si>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</si>
  <si>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</si>
  <si>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</si>
  <si>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</si>
  <si>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</si>
  <si>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</si>
  <si>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</si>
  <si>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</si>
  <si>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</si>
  <si>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</si>
  <si>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</si>
  <si>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</si>
  <si>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</si>
  <si>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</si>
  <si>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</si>
  <si>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</si>
  <si>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</si>
  <si>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</si>
  <si>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</si>
  <si>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</si>
  <si>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</si>
  <si>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</si>
  <si>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</si>
  <si>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</si>
  <si>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</si>
  <si>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</si>
  <si>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</si>
  <si>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</si>
  <si>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</si>
  <si>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</si>
  <si>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</si>
  <si>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</si>
  <si>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</si>
  <si>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</si>
  <si>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</si>
  <si>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</si>
  <si>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</si>
  <si>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</si>
  <si>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</si>
  <si>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</si>
  <si>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</si>
  <si>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</si>
  <si>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</si>
  <si>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</si>
  <si>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</si>
  <si>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</si>
  <si>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</si>
  <si>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</si>
  <si>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</si>
  <si>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</si>
  <si>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</si>
  <si>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</si>
  <si>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</si>
  <si>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</si>
  <si>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</si>
  <si>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</si>
  <si>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</si>
  <si>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</si>
  <si>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</si>
  <si>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</si>
  <si>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</si>
  <si>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</si>
  <si>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</si>
  <si>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</si>
  <si>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</si>
  <si>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</si>
  <si>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</si>
  <si>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</si>
  <si>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</si>
  <si>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</si>
  <si>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</si>
  <si>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</si>
  <si>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</si>
  <si>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</si>
  <si>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</si>
  <si>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</si>
  <si>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</si>
  <si>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</si>
  <si>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</si>
  <si>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</si>
  <si>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</si>
  <si>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</si>
  <si>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</si>
  <si>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</si>
  <si>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</si>
  <si>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</si>
  <si>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</si>
  <si>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</si>
  <si>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</si>
  <si>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</si>
  <si>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</si>
  <si>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</si>
  <si>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</si>
  <si>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</si>
  <si>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</si>
  <si>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</si>
  <si>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</si>
  <si>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</si>
  <si>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</si>
  <si>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</si>
  <si>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</si>
  <si>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</si>
  <si>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</si>
  <si>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</si>
  <si>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</si>
  <si>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</si>
  <si>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</si>
  <si>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</si>
  <si>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</si>
  <si>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</si>
  <si>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</si>
  <si>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</si>
  <si>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</si>
  <si>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</si>
  <si>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</si>
  <si>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</si>
  <si>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</si>
  <si>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</si>
  <si>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</si>
  <si>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</si>
  <si>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</si>
  <si>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</si>
  <si>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</si>
  <si>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</si>
  <si>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</si>
  <si>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</si>
  <si>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</si>
  <si>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</si>
  <si>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</si>
  <si>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</si>
  <si>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</si>
  <si>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</si>
  <si>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</si>
  <si>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</si>
  <si>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</si>
  <si>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</si>
  <si>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</si>
  <si>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</si>
  <si>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</si>
  <si>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</si>
  <si>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</si>
  <si>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</si>
  <si>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</si>
  <si>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</si>
  <si>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</si>
  <si>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</si>
  <si>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</si>
  <si>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</si>
  <si>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</si>
  <si>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</si>
  <si>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</si>
  <si>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</si>
  <si>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</si>
  <si>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</si>
  <si>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</si>
  <si>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</si>
  <si>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</si>
  <si>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</si>
  <si>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</si>
  <si>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</si>
  <si>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</si>
  <si>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</si>
  <si>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</si>
  <si>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</si>
  <si>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</si>
  <si>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</si>
  <si>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</si>
  <si>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</si>
  <si>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</si>
  <si>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</si>
  <si>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</si>
  <si>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</si>
  <si>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</si>
  <si>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</si>
  <si>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</si>
  <si>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</si>
  <si>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</si>
  <si>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</si>
  <si>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</si>
  <si>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</si>
  <si>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</si>
  <si>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</si>
  <si>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</si>
  <si>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</si>
  <si>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</si>
  <si>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</si>
  <si>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</si>
  <si>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</si>
  <si>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</si>
  <si>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</si>
  <si>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</si>
  <si>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</si>
  <si>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</si>
  <si>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</si>
  <si>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</si>
  <si>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</si>
  <si>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</si>
  <si>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</si>
  <si>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</si>
  <si>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</si>
  <si>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</si>
  <si>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</si>
  <si>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</si>
  <si>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</si>
  <si>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</si>
  <si>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</si>
  <si>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</si>
  <si>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</si>
  <si>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</si>
  <si>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</si>
  <si>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</si>
  <si>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</si>
  <si>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</si>
  <si>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</si>
  <si>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</si>
  <si>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</si>
  <si>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</si>
  <si>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</si>
  <si>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</si>
  <si>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</si>
  <si>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</si>
  <si>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</si>
  <si>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</si>
  <si>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</si>
  <si>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</si>
  <si>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</si>
  <si>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</si>
  <si>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</si>
  <si>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</si>
  <si>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</si>
  <si>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</si>
  <si>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</si>
  <si>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</si>
  <si>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</si>
  <si>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</si>
  <si>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</si>
  <si>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</si>
  <si>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</si>
  <si>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</si>
  <si>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</si>
  <si>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</si>
  <si>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</si>
  <si>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</si>
  <si>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</si>
  <si>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</si>
  <si>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</si>
  <si>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</si>
  <si>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</si>
  <si>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</si>
  <si>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</si>
  <si>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</si>
  <si>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</si>
  <si>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</si>
  <si>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</si>
  <si>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</si>
  <si>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</si>
  <si>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</si>
  <si>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</si>
  <si>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</si>
  <si>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</si>
  <si>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</si>
  <si>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</si>
  <si>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</si>
  <si>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</si>
  <si>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</si>
  <si>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</si>
  <si>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</si>
  <si>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</si>
  <si>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</si>
  <si>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</si>
  <si>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</si>
  <si>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</si>
  <si>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</si>
  <si>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</si>
  <si>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</si>
  <si>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</si>
  <si>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</si>
  <si>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</si>
  <si>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</si>
  <si>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</si>
  <si>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</si>
  <si>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</si>
  <si>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</si>
  <si>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</si>
  <si>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</si>
  <si>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</si>
  <si>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</si>
  <si>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</si>
  <si>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</si>
  <si>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</si>
  <si>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</si>
  <si>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</si>
  <si>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</si>
  <si>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</si>
  <si>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</si>
  <si>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</si>
  <si>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</si>
  <si>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</si>
  <si>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</si>
  <si>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</si>
  <si>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</si>
  <si>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</si>
  <si>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</si>
  <si>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</si>
  <si>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</si>
  <si>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</si>
  <si>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</si>
  <si>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</si>
  <si>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</si>
  <si>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</si>
  <si>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</si>
  <si>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</si>
  <si>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</si>
  <si>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</si>
  <si>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</si>
  <si>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</si>
  <si>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</si>
  <si>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</si>
  <si>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</si>
  <si>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</si>
  <si>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</si>
  <si>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</si>
  <si>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</si>
  <si>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</si>
  <si>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</si>
  <si>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</si>
  <si>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</si>
  <si>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</si>
  <si>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</si>
  <si>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</si>
  <si>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</si>
  <si>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</si>
  <si>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</si>
  <si>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</si>
  <si>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</si>
  <si>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</si>
  <si>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</si>
  <si>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</si>
  <si>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</si>
  <si>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</si>
  <si>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</si>
  <si>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</si>
  <si>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</si>
  <si>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</si>
  <si>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</si>
  <si>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</si>
  <si>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</si>
  <si>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</si>
  <si>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</si>
  <si>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</si>
  <si>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</si>
  <si>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</si>
  <si>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</si>
  <si>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</si>
  <si>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</si>
  <si>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</si>
  <si>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</si>
  <si>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</si>
  <si>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</si>
  <si>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</si>
  <si>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</si>
  <si>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</si>
  <si>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</si>
  <si>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</si>
  <si>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</si>
  <si>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</si>
  <si>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</si>
  <si>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</si>
  <si>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</si>
  <si>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</si>
  <si>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</si>
  <si>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</si>
  <si>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</si>
  <si>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</si>
  <si>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</si>
  <si>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</si>
  <si>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</si>
  <si>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</si>
  <si>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</si>
  <si>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</si>
  <si>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</si>
  <si>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</si>
  <si>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</si>
  <si>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</si>
  <si>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</si>
  <si>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</si>
  <si>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</si>
  <si>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</si>
  <si>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</si>
  <si>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</si>
  <si>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</si>
  <si>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</si>
  <si>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</si>
  <si>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</si>
  <si>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</si>
  <si>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</si>
  <si>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</si>
  <si>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</si>
  <si>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</si>
  <si>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</si>
  <si>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</si>
  <si>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</si>
  <si>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</si>
  <si>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</si>
  <si>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</si>
  <si>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</si>
  <si>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</si>
  <si>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</si>
  <si>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</si>
  <si>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</si>
  <si>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</si>
  <si>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</si>
  <si>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</si>
  <si>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</si>
  <si>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</si>
  <si>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</si>
  <si>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</si>
  <si>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</si>
  <si>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</si>
  <si>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</si>
  <si>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</si>
  <si>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</si>
  <si>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</si>
  <si>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</si>
  <si>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</si>
  <si>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</si>
  <si>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</si>
  <si>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</si>
  <si>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</si>
  <si>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</si>
  <si>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</si>
  <si>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</si>
  <si>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</si>
  <si>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</si>
  <si>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</si>
  <si>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</si>
  <si>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</si>
  <si>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</si>
  <si>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</si>
  <si>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</si>
  <si>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</si>
  <si>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</si>
  <si>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</si>
  <si>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</si>
  <si>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</si>
  <si>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</si>
  <si>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</si>
  <si>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</si>
  <si>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</si>
  <si>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</si>
  <si>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</si>
  <si>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</si>
  <si>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</si>
  <si>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</si>
  <si>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</si>
  <si>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</si>
  <si>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</si>
  <si>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</si>
  <si>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</si>
  <si>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</si>
  <si>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</si>
  <si>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</si>
  <si>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</si>
  <si>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</si>
  <si>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</si>
  <si>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</si>
  <si>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</si>
  <si>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</si>
  <si>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</si>
  <si>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</si>
  <si>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</si>
  <si>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</si>
  <si>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</si>
  <si>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</si>
  <si>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</si>
  <si>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</si>
  <si>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</si>
  <si>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</si>
  <si>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</si>
  <si>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</si>
  <si>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</si>
  <si>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</si>
  <si>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</si>
  <si>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</si>
  <si>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</si>
  <si>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</si>
  <si>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</si>
  <si>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</si>
  <si>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</si>
  <si>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</si>
  <si>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</si>
  <si>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</si>
  <si>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</si>
  <si>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</si>
  <si>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</si>
  <si>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</si>
  <si>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</si>
  <si>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</si>
  <si>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</si>
  <si>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</si>
  <si>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</si>
  <si>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</si>
  <si>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</si>
  <si>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</si>
  <si>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</si>
  <si>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</si>
  <si>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</si>
  <si>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</si>
  <si>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</si>
  <si>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</si>
  <si>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</si>
  <si>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</si>
  <si>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</si>
  <si>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</si>
  <si>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</si>
  <si>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</si>
  <si>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</si>
  <si>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</si>
  <si>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</si>
  <si>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</si>
  <si>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</si>
  <si>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</si>
  <si>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</si>
  <si>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</si>
  <si>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</si>
  <si>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</si>
  <si>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</si>
  <si>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</si>
  <si>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</si>
  <si>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</si>
  <si>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</si>
  <si>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</si>
  <si>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</si>
  <si>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</si>
  <si>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</si>
  <si>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</si>
  <si>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</si>
  <si>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</si>
  <si>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</si>
  <si>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</si>
  <si>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</si>
  <si>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</si>
  <si>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</si>
  <si>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</si>
  <si>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</si>
  <si>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</si>
  <si>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</si>
  <si>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</si>
  <si>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</si>
  <si>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</si>
  <si>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</si>
  <si>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</si>
  <si>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</si>
  <si>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</si>
  <si>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</si>
  <si>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</si>
  <si>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</si>
  <si>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</si>
  <si>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</si>
  <si>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</si>
  <si>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</si>
  <si>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</si>
  <si>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</si>
  <si>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</si>
  <si>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</si>
  <si>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</si>
  <si>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</si>
  <si>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</si>
  <si>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</si>
  <si>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</si>
  <si>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</si>
  <si>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</si>
  <si>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</si>
  <si>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</si>
  <si>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</si>
  <si>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</si>
  <si>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</si>
  <si>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</si>
  <si>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</si>
  <si>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</si>
  <si>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</si>
  <si>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</si>
  <si>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</si>
  <si>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</si>
  <si>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</si>
  <si>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</si>
  <si>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</si>
  <si>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</si>
  <si>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</si>
  <si>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</si>
  <si>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</si>
  <si>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</si>
  <si>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</si>
  <si>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</si>
  <si>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</si>
  <si>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</si>
  <si>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</si>
  <si>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</si>
  <si>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</si>
  <si>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</si>
  <si>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</si>
  <si>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</si>
  <si>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</si>
  <si>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</si>
  <si>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</si>
  <si>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</si>
  <si>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</si>
  <si>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</si>
  <si>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</si>
  <si>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</si>
  <si>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</si>
  <si>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</si>
  <si>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</si>
  <si>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</si>
  <si>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</si>
  <si>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</si>
  <si>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</si>
  <si>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</si>
  <si>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</si>
  <si>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</si>
  <si>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</si>
  <si>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</si>
  <si>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</si>
  <si>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</si>
  <si>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</si>
  <si>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</si>
  <si>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</si>
  <si>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</si>
  <si>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</si>
  <si>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</si>
  <si>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</si>
  <si>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</si>
  <si>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</si>
  <si>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</si>
  <si>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</si>
  <si>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</si>
  <si>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</si>
  <si>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</si>
  <si>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</si>
  <si>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</si>
  <si>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</si>
  <si>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</si>
  <si>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</si>
  <si>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</si>
  <si>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</si>
  <si>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</si>
  <si>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</si>
  <si>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</si>
  <si>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</si>
  <si>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</si>
  <si>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</si>
  <si>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</si>
  <si>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</si>
  <si>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</si>
  <si>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</si>
  <si>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</si>
  <si>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</si>
  <si>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</si>
  <si>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</si>
  <si>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</si>
  <si>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</si>
  <si>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</si>
  <si>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</si>
  <si>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</si>
  <si>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</si>
  <si>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</si>
  <si>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</si>
  <si>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</si>
  <si>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</si>
  <si>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</si>
  <si>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</si>
  <si>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</si>
  <si>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</si>
  <si>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</si>
  <si>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</si>
  <si>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</si>
  <si>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</si>
  <si>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</si>
  <si>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</si>
  <si>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</si>
  <si>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</si>
  <si>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</si>
  <si>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</si>
  <si>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</si>
  <si>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</si>
  <si>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</si>
  <si>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</si>
  <si>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</si>
  <si>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</si>
  <si>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</si>
  <si>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</si>
  <si>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</si>
  <si>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</si>
  <si>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</si>
  <si>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</si>
  <si>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</si>
  <si>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</si>
  <si>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</si>
  <si>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</si>
  <si>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</si>
  <si>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</si>
  <si>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</si>
  <si>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</si>
  <si>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</si>
  <si>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</si>
  <si>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</si>
  <si>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</si>
  <si>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</si>
  <si>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</si>
  <si>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</si>
  <si>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</si>
  <si>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</si>
  <si>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</si>
  <si>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</si>
  <si>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</si>
  <si>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</si>
  <si>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</si>
  <si>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</si>
  <si>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</si>
  <si>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</si>
  <si>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</si>
  <si>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</si>
  <si>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</si>
  <si>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</si>
  <si>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</si>
  <si>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</si>
  <si>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</si>
  <si>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</si>
  <si>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</si>
  <si>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</si>
  <si>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</si>
  <si>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</si>
  <si>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</si>
  <si>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</si>
  <si>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</si>
  <si>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</si>
  <si>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</si>
  <si>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</si>
  <si>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</si>
  <si>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</si>
  <si>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</si>
  <si>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</si>
  <si>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</si>
  <si>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</si>
  <si>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</si>
  <si>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</si>
  <si>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</si>
  <si>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</si>
  <si>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</si>
  <si>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</si>
  <si>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</si>
  <si>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</si>
  <si>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</si>
  <si>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</si>
  <si>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</si>
  <si>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</si>
  <si>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</si>
  <si>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</si>
  <si>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</si>
  <si>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</si>
  <si>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</si>
  <si>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</si>
  <si>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</si>
  <si>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</si>
  <si>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</si>
  <si>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</si>
  <si>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</si>
  <si>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</si>
  <si>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</si>
  <si>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</si>
  <si>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</si>
  <si>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</si>
  <si>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</si>
  <si>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</si>
  <si>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</si>
  <si>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</si>
  <si>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</si>
  <si>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</si>
  <si>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</si>
  <si>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</si>
  <si>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</si>
  <si>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</si>
  <si>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</si>
  <si>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</si>
  <si>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</si>
  <si>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</si>
  <si>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</si>
  <si>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</si>
  <si>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</si>
  <si>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</si>
  <si>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</si>
  <si>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</si>
  <si>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</si>
  <si>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</si>
  <si>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</si>
  <si>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</si>
  <si>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</si>
  <si>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</si>
  <si>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</si>
  <si>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</si>
  <si>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</si>
  <si>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</si>
  <si>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</si>
  <si>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</si>
  <si>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</si>
  <si>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</si>
  <si>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</si>
  <si>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</si>
  <si>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</si>
  <si>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</si>
  <si>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</si>
  <si>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</si>
  <si>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</si>
  <si>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</si>
  <si>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</si>
  <si>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</si>
  <si>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</si>
  <si>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</si>
  <si>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</si>
  <si>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</si>
  <si>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</si>
  <si>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</si>
  <si>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</si>
  <si>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</si>
  <si>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</si>
  <si>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</si>
  <si>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</si>
  <si>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</si>
  <si>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</si>
  <si>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</si>
  <si>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</si>
  <si>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</si>
  <si>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</si>
  <si>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</si>
  <si>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</si>
  <si>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</si>
  <si>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</si>
  <si>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</si>
  <si>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</si>
  <si>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</si>
  <si>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</si>
  <si>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</si>
  <si>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</si>
  <si>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</si>
  <si>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</si>
  <si>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</si>
  <si>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</si>
  <si>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</si>
  <si>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</si>
  <si>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</si>
  <si>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</si>
  <si>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</si>
  <si>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</si>
  <si>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</si>
  <si>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</si>
  <si>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</si>
  <si>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</si>
  <si>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</si>
  <si>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</si>
  <si>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</si>
  <si>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</si>
  <si>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</si>
  <si>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</si>
  <si>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</si>
  <si>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</si>
  <si>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</si>
  <si>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</si>
  <si>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</si>
  <si>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</si>
  <si>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</si>
  <si>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</si>
  <si>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</si>
  <si>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</si>
  <si>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</si>
  <si>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</si>
  <si>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</si>
  <si>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</si>
  <si>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</si>
  <si>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</si>
  <si>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</si>
  <si>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</si>
  <si>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</si>
  <si>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</si>
  <si>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</si>
  <si>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</si>
  <si>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</si>
  <si>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</si>
  <si>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</si>
  <si>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</si>
  <si>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</si>
  <si>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</si>
  <si>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</si>
  <si>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</si>
  <si>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</si>
  <si>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</si>
  <si>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</si>
  <si>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</si>
  <si>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</si>
  <si>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</si>
  <si>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</si>
  <si>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</si>
  <si>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</si>
  <si>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</si>
  <si>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</si>
  <si>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</si>
  <si>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</si>
  <si>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</si>
  <si>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</si>
  <si>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</si>
  <si>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</si>
  <si>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</si>
  <si>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</si>
  <si>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</si>
  <si>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</si>
  <si>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</si>
  <si>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</si>
  <si>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</si>
  <si>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</si>
  <si>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</si>
  <si>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</si>
  <si>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</si>
  <si>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</si>
  <si>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</si>
  <si>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</si>
  <si>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</si>
  <si>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</si>
  <si>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</si>
  <si>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</si>
  <si>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</si>
  <si>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</si>
  <si>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</si>
  <si>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</si>
  <si>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</si>
  <si>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</si>
  <si>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</si>
  <si>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</si>
  <si>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</si>
  <si>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</si>
  <si>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</si>
  <si>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</si>
  <si>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</si>
  <si>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</si>
  <si>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</si>
  <si>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</si>
  <si>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</si>
  <si>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</si>
  <si>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</si>
  <si>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</si>
  <si>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</si>
  <si>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</si>
  <si>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</si>
  <si>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</si>
  <si>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</si>
  <si>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</si>
  <si>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</si>
  <si>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</si>
  <si>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</si>
  <si>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</si>
  <si>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</si>
  <si>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</si>
  <si>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</si>
  <si>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</si>
  <si>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</si>
  <si>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</si>
  <si>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</si>
  <si>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</si>
  <si>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</si>
  <si>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</si>
  <si>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</si>
  <si>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</si>
  <si>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</si>
  <si>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</si>
  <si>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</si>
  <si>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</si>
  <si>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</si>
  <si>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</si>
  <si>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</si>
  <si>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</si>
  <si>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</si>
  <si>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</si>
  <si>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</si>
  <si>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</si>
  <si>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</si>
  <si>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</si>
  <si>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</si>
  <si>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</si>
  <si>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</si>
  <si>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</si>
  <si>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</si>
  <si>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</si>
  <si>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</si>
  <si>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</si>
  <si>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</si>
  <si>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</si>
  <si>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</si>
  <si>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</si>
  <si>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</si>
  <si>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</si>
  <si>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</si>
  <si>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</si>
  <si>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</si>
  <si>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</si>
  <si>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</si>
  <si>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</si>
  <si>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</si>
  <si>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</si>
  <si>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</si>
  <si>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</si>
  <si>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</si>
  <si>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</si>
  <si>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</si>
  <si>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</si>
  <si>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</si>
  <si>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</si>
  <si>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</si>
  <si>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</si>
  <si>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</si>
  <si>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</si>
  <si>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</si>
  <si>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</si>
  <si>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</si>
  <si>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</si>
  <si>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</si>
  <si>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</si>
  <si>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</si>
  <si>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</si>
  <si>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</si>
  <si>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</si>
  <si>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</si>
  <si>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</si>
  <si>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</si>
  <si>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</si>
  <si>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</si>
  <si>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</si>
  <si>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</si>
  <si>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</si>
  <si>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</si>
  <si>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</si>
  <si>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</si>
  <si>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</si>
  <si>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</si>
  <si>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</si>
  <si>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</si>
  <si>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</si>
  <si>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</si>
  <si>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</si>
  <si>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</si>
  <si>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</si>
  <si>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</si>
  <si>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</si>
  <si>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</si>
  <si>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</si>
  <si>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</si>
  <si>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</si>
  <si>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</si>
  <si>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</si>
  <si>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</si>
  <si>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</si>
  <si>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</si>
  <si>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</si>
  <si>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</si>
  <si>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</si>
  <si>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</si>
  <si>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</si>
  <si>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</si>
  <si>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</si>
  <si>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</si>
  <si>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</si>
  <si>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</si>
  <si>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</si>
  <si>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</si>
  <si>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</si>
  <si>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</si>
  <si>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</si>
  <si>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</si>
  <si>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</si>
  <si>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</si>
  <si>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</si>
  <si>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</si>
  <si>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</si>
  <si>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</si>
  <si>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</si>
  <si>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</si>
  <si>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</si>
  <si>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</si>
  <si>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</si>
  <si>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</si>
  <si>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</si>
  <si>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</si>
  <si>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</si>
  <si>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</si>
  <si>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</si>
  <si>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</si>
  <si>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</si>
  <si>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</si>
  <si>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</si>
  <si>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</si>
  <si>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</si>
  <si>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</si>
  <si>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</si>
  <si>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</si>
  <si>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</si>
  <si>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</si>
  <si>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</si>
  <si>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</si>
  <si>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</si>
  <si>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</si>
  <si>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</si>
  <si>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</si>
  <si>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</si>
  <si>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</si>
  <si>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</si>
  <si>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</si>
  <si>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</si>
  <si>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</si>
  <si>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</si>
  <si>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</si>
  <si>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</si>
  <si>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</si>
  <si>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</si>
  <si>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</si>
  <si>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</si>
  <si>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</si>
  <si>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</si>
  <si>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</si>
  <si>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</si>
  <si>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</si>
  <si>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</si>
  <si>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</si>
  <si>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</si>
  <si>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</si>
  <si>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</si>
  <si>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</si>
  <si>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</si>
  <si>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</si>
  <si>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</si>
  <si>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</si>
  <si>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</si>
  <si>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</si>
  <si>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</si>
  <si>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</si>
  <si>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</si>
  <si>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</si>
  <si>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</si>
  <si>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</si>
  <si>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</si>
  <si>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</si>
  <si>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</si>
  <si>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</si>
  <si>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</si>
  <si>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</si>
  <si>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</si>
  <si>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</si>
  <si>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</si>
  <si>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</si>
  <si>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</si>
  <si>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</si>
  <si>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</si>
  <si>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</si>
  <si>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</si>
  <si>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</si>
  <si>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</si>
  <si>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</si>
  <si>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</si>
  <si>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</si>
  <si>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</si>
  <si>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</si>
  <si>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</si>
  <si>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</si>
  <si>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</si>
  <si>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</si>
  <si>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</si>
  <si>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</si>
  <si>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</si>
  <si>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</si>
  <si>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</si>
  <si>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</si>
  <si>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</si>
  <si>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</si>
  <si>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</si>
  <si>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</si>
  <si>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</si>
  <si>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</si>
  <si>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</si>
  <si>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</si>
  <si>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</si>
  <si>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</si>
  <si>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</si>
  <si>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</si>
  <si>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</si>
  <si>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</si>
  <si>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</si>
  <si>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</si>
  <si>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</si>
  <si>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</si>
  <si>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</si>
  <si>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</si>
  <si>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</si>
  <si>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</si>
  <si>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</si>
  <si>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</si>
  <si>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</si>
  <si>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</si>
  <si>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</si>
  <si>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</si>
  <si>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</si>
  <si>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</si>
  <si>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</si>
  <si>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</si>
  <si>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</si>
  <si>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</si>
  <si>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</si>
  <si>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</si>
  <si>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</si>
  <si>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</si>
  <si>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</si>
  <si>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</si>
  <si>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</si>
  <si>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</si>
  <si>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</si>
  <si>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</si>
  <si>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</si>
  <si>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</si>
  <si>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</si>
  <si>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</si>
  <si>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</si>
  <si>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</si>
  <si>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</si>
  <si>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</si>
  <si>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</si>
  <si>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</si>
  <si>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</si>
  <si>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</si>
  <si>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</si>
  <si>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</si>
  <si>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</si>
  <si>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</si>
  <si>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</si>
  <si>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</si>
  <si>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</si>
  <si>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</si>
  <si>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</si>
  <si>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</si>
  <si>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</si>
  <si>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</si>
  <si>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</si>
  <si>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</si>
  <si>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</si>
  <si>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</si>
  <si>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</si>
  <si>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</si>
  <si>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</si>
  <si>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</si>
  <si>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</si>
  <si>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</si>
  <si>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</si>
  <si>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</si>
  <si>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</si>
  <si>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</si>
  <si>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</si>
  <si>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</si>
  <si>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</si>
  <si>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</si>
  <si>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</si>
  <si>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</si>
  <si>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</si>
  <si>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</si>
  <si>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</si>
  <si>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</si>
  <si>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</si>
  <si>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</si>
  <si>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</si>
  <si>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</si>
  <si>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</si>
  <si>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</si>
  <si>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</si>
  <si>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</si>
  <si>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</si>
  <si>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</si>
  <si>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</si>
  <si>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</si>
  <si>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</si>
  <si>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</si>
  <si>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</si>
  <si>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</si>
  <si>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</si>
  <si>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</si>
  <si>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</si>
  <si>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</si>
  <si>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</si>
  <si>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</si>
  <si>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</si>
  <si>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</si>
  <si>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</si>
  <si>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</si>
  <si>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</si>
  <si>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</si>
  <si>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</si>
  <si>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</si>
  <si>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</si>
  <si>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</si>
  <si>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</si>
  <si>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</si>
  <si>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</si>
  <si>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</si>
  <si>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</si>
  <si>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</si>
  <si>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</si>
  <si>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</si>
  <si>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</si>
  <si>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</si>
  <si>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</si>
  <si>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</si>
  <si>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</si>
  <si>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</si>
  <si>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</si>
  <si>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</si>
  <si>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</si>
  <si>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</si>
  <si>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</si>
  <si>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</si>
  <si>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</si>
  <si>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</si>
  <si>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</si>
  <si>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</si>
  <si>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</si>
  <si>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</si>
  <si>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</si>
  <si>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</si>
  <si>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</si>
  <si>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</si>
  <si>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</si>
  <si>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</si>
  <si>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</si>
  <si>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</si>
  <si>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</si>
  <si>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</si>
  <si>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</si>
  <si>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</si>
  <si>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</si>
  <si>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</si>
  <si>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</si>
  <si>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</si>
  <si>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</si>
  <si>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</si>
  <si>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</si>
  <si>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</si>
  <si>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</si>
  <si>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</si>
  <si>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</si>
  <si>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</si>
  <si>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</si>
  <si>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</si>
  <si>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</si>
  <si>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</si>
  <si>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</si>
  <si>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</si>
  <si>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</si>
  <si>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</si>
  <si>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</si>
  <si>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</si>
  <si>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</si>
  <si>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</si>
  <si>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</si>
  <si>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</si>
  <si>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</si>
  <si>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</si>
  <si>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</si>
  <si>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</si>
  <si>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</si>
  <si>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</si>
  <si>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</si>
  <si>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</si>
  <si>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</si>
  <si>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</si>
  <si>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</si>
  <si>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</si>
  <si>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</si>
  <si>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</si>
  <si>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</si>
  <si>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</si>
  <si>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</si>
  <si>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</si>
  <si>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</si>
  <si>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</si>
  <si>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</si>
  <si>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</si>
  <si>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</si>
  <si>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</si>
  <si>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</si>
  <si>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</si>
  <si>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</si>
  <si>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</si>
  <si>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</si>
  <si>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</si>
  <si>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</si>
  <si>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</si>
  <si>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</si>
  <si>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</si>
  <si>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</si>
  <si>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</si>
  <si>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</si>
  <si>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</si>
  <si>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</si>
  <si>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</si>
  <si>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</si>
  <si>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</si>
  <si>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</si>
  <si>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</si>
  <si>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</si>
  <si>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</si>
  <si>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</si>
  <si>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</si>
  <si>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</si>
  <si>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</si>
  <si>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</si>
  <si>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</si>
  <si>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</si>
  <si>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</si>
  <si>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</si>
  <si>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</si>
  <si>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</si>
  <si>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</si>
  <si>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</si>
  <si>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</si>
  <si>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</si>
  <si>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</si>
  <si>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</si>
  <si>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</si>
  <si>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</si>
  <si>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</si>
  <si>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</si>
  <si>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</si>
  <si>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</si>
  <si>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</si>
  <si>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</si>
  <si>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</si>
  <si>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</si>
  <si>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</si>
  <si>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</si>
  <si>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</si>
  <si>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</si>
  <si>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</si>
  <si>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</si>
  <si>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</si>
  <si>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</si>
  <si>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</si>
  <si>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</si>
  <si>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</si>
  <si>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</si>
  <si>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</si>
  <si>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</si>
  <si>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</si>
  <si>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</si>
  <si>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</si>
  <si>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</si>
  <si>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</si>
  <si>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</si>
  <si>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</si>
  <si>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</si>
  <si>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</si>
  <si>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</si>
  <si>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</si>
  <si>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</si>
  <si>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</si>
  <si>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</si>
  <si>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</si>
  <si>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</si>
  <si>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</si>
  <si>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</si>
  <si>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</si>
  <si>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</si>
  <si>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</si>
  <si>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</si>
  <si>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</si>
  <si>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</si>
  <si>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</si>
  <si>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</si>
  <si>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</si>
  <si>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</si>
  <si>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</si>
  <si>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</si>
  <si>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</si>
  <si>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</si>
  <si>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</si>
  <si>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</si>
  <si>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</si>
  <si>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</si>
  <si>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</si>
  <si>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</si>
  <si>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</si>
  <si>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</si>
  <si>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</si>
  <si>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</si>
  <si>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</si>
  <si>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</si>
  <si>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</si>
  <si>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</si>
  <si>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</si>
  <si>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</si>
  <si>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</si>
  <si>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</si>
  <si>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</si>
  <si>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</si>
  <si>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</si>
  <si>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</si>
  <si>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</si>
  <si>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</si>
  <si>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</si>
  <si>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</si>
  <si>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</si>
  <si>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</si>
  <si>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</si>
  <si>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</si>
  <si>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</si>
  <si>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</si>
  <si>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</si>
  <si>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</si>
  <si>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</si>
  <si>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</si>
  <si>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</si>
  <si>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</si>
  <si>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</si>
  <si>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</si>
  <si>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</si>
  <si>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</si>
  <si>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</si>
  <si>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</si>
  <si>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</si>
  <si>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</si>
  <si>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</si>
  <si>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</si>
  <si>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</si>
  <si>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</si>
  <si>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</si>
  <si>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</si>
  <si>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</si>
  <si>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</si>
  <si>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</si>
  <si>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</si>
  <si>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</si>
  <si>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</si>
  <si>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</si>
  <si>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</si>
  <si>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</si>
  <si>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</si>
  <si>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</si>
  <si>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</si>
  <si>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</si>
  <si>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</si>
  <si>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</si>
  <si>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</si>
  <si>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</si>
  <si>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</si>
  <si>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</si>
  <si>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</si>
  <si>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</si>
  <si>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</si>
  <si>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</si>
  <si>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</si>
  <si>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</si>
  <si>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</si>
  <si>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</si>
  <si>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</si>
  <si>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</si>
  <si>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</si>
  <si>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</si>
  <si>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</si>
  <si>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</si>
  <si>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</si>
  <si>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</si>
  <si>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</si>
  <si>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</si>
  <si>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</si>
  <si>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</si>
  <si>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</si>
  <si>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</si>
  <si>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</si>
  <si>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</si>
  <si>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</si>
  <si>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</si>
  <si>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</si>
  <si>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</si>
  <si>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</si>
  <si>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</si>
  <si>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</si>
  <si>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</si>
  <si>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</si>
  <si>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</si>
  <si>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</si>
  <si>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</si>
  <si>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</si>
  <si>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</si>
  <si>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</si>
  <si>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</si>
  <si>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</si>
  <si>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</si>
  <si>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</si>
  <si>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</si>
  <si>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</si>
  <si>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</si>
  <si>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</si>
  <si>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</si>
  <si>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</si>
  <si>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</si>
  <si>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</si>
  <si>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</si>
  <si>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</si>
  <si>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</si>
  <si>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</si>
  <si>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</si>
  <si>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</si>
  <si>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</si>
  <si>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</si>
  <si>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</si>
  <si>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</si>
  <si>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</si>
  <si>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</si>
  <si>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</si>
  <si>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</si>
  <si>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</si>
  <si>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</si>
  <si>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</si>
  <si>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</si>
  <si>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</si>
  <si>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</si>
  <si>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</si>
  <si>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</si>
  <si>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</si>
  <si>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</si>
  <si>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</si>
  <si>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</si>
  <si>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</si>
  <si>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</si>
  <si>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</si>
  <si>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</si>
  <si>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</si>
  <si>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</si>
  <si>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</si>
  <si>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</si>
  <si>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</si>
  <si>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</si>
  <si>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</si>
  <si>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</si>
  <si>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</si>
  <si>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</si>
  <si>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</si>
  <si>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</si>
  <si>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</si>
  <si>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</si>
  <si>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</si>
  <si>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</si>
  <si>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</si>
  <si>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</si>
  <si>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</si>
  <si>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</si>
  <si>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</si>
  <si>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</si>
  <si>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</si>
  <si>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</si>
  <si>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</si>
  <si>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</si>
  <si>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</si>
  <si>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</si>
  <si>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</si>
  <si>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</si>
  <si>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</si>
  <si>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</si>
  <si>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</si>
  <si>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</si>
  <si>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</si>
  <si>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</si>
  <si>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</si>
  <si>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</si>
  <si>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</si>
  <si>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</si>
  <si>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</si>
  <si>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</si>
  <si>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</si>
  <si>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</si>
  <si>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</si>
  <si>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</si>
  <si>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</si>
  <si>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</si>
  <si>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</si>
  <si>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</si>
  <si>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</si>
  <si>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</si>
  <si>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</si>
  <si>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</si>
  <si>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</si>
  <si>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</si>
  <si>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</si>
  <si>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</si>
  <si>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</si>
  <si>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</si>
  <si>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</si>
  <si>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</si>
  <si>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</si>
  <si>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</si>
  <si>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</si>
  <si>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</si>
  <si>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</si>
  <si>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</si>
  <si>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</si>
  <si>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</si>
  <si>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</si>
  <si>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</si>
  <si>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</si>
  <si>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</si>
  <si>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</si>
  <si>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</si>
  <si>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</si>
  <si>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</si>
  <si>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</si>
  <si>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</si>
  <si>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</si>
  <si>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</si>
  <si>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</si>
  <si>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</si>
  <si>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</si>
  <si>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</si>
  <si>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</si>
  <si>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</si>
  <si>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</si>
  <si>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</si>
  <si>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</si>
  <si>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</si>
  <si>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</si>
  <si>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</si>
  <si>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</si>
  <si>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</si>
  <si>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</si>
  <si>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</si>
  <si>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</si>
  <si>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</si>
  <si>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</si>
  <si>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</si>
  <si>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</si>
  <si>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</si>
  <si>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</si>
  <si>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</si>
  <si>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</si>
  <si>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</si>
  <si>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</si>
  <si>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</si>
  <si>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</si>
  <si>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</si>
  <si>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</si>
  <si>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</si>
  <si>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</si>
  <si>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</si>
  <si>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</si>
  <si>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</si>
  <si>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</si>
  <si>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</si>
  <si>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</si>
  <si>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</si>
  <si>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</si>
  <si>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</si>
  <si>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</si>
  <si>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</si>
  <si>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</si>
  <si>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</si>
  <si>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</si>
  <si>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</si>
  <si>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</si>
  <si>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</si>
  <si>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</si>
  <si>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</si>
  <si>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</si>
  <si>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</si>
  <si>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</si>
  <si>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</si>
  <si>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</si>
  <si>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</si>
  <si>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</si>
  <si>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</si>
  <si>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</si>
  <si>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</si>
  <si>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</si>
  <si>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</si>
  <si>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</si>
  <si>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</si>
  <si>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</si>
  <si>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</si>
  <si>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</si>
  <si>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</si>
  <si>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</si>
  <si>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</si>
  <si>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</si>
  <si>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</si>
  <si>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</si>
  <si>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</si>
  <si>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</si>
  <si>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</si>
  <si>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</si>
  <si>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</si>
  <si>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</si>
  <si>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</si>
  <si>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</si>
  <si>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</si>
  <si>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</si>
  <si>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</si>
  <si>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</si>
  <si>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</si>
  <si>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</si>
  <si>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</si>
  <si>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</si>
  <si>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</si>
  <si>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</si>
  <si>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</si>
  <si>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</si>
  <si>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</si>
  <si>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</si>
  <si>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</si>
  <si>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</si>
  <si>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</si>
  <si>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</si>
  <si>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</si>
  <si>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</si>
  <si>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</si>
  <si>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</si>
  <si>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</si>
  <si>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</si>
  <si>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</si>
  <si>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</si>
  <si>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</si>
  <si>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</si>
  <si>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</si>
  <si>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</si>
  <si>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</si>
  <si>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</si>
  <si>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</si>
  <si>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</si>
  <si>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</si>
  <si>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</si>
  <si>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</si>
  <si>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</si>
  <si>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</si>
  <si>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</si>
  <si>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</si>
  <si>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</si>
  <si>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</si>
  <si>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</si>
  <si>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</si>
  <si>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</si>
  <si>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</si>
  <si>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</si>
  <si>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</si>
  <si>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</si>
  <si>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</si>
  <si>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</si>
  <si>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</si>
  <si>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</si>
  <si>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</si>
  <si>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</si>
  <si>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</si>
  <si>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</si>
  <si>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</si>
  <si>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</si>
  <si>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</si>
  <si>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</si>
  <si>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</si>
  <si>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</si>
  <si>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</si>
  <si>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</si>
  <si>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</si>
  <si>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</si>
  <si>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</si>
  <si>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</si>
  <si>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</si>
  <si>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</si>
  <si>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</si>
  <si>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</si>
  <si>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</si>
  <si>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</si>
  <si>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</si>
  <si>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</si>
  <si>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</si>
  <si>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</si>
  <si>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</si>
  <si>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</si>
  <si>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</si>
  <si>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</si>
  <si>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</si>
  <si>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</si>
  <si>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</si>
  <si>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</si>
  <si>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</si>
  <si>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</si>
  <si>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</si>
  <si>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</si>
  <si>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</si>
  <si>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</si>
  <si>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</si>
  <si>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</si>
  <si>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</si>
  <si>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</si>
  <si>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</si>
  <si>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</si>
  <si>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</si>
  <si>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</si>
  <si>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</si>
  <si>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</si>
  <si>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</si>
  <si>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</si>
  <si>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</si>
  <si>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</si>
  <si>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</si>
  <si>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</si>
  <si>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</si>
  <si>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</si>
  <si>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</si>
  <si>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</si>
  <si>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</si>
  <si>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</si>
  <si>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</si>
  <si>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</si>
  <si>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</si>
  <si>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</si>
  <si>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</si>
  <si>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</si>
  <si>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</si>
  <si>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</si>
  <si>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</si>
  <si>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</si>
  <si>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</si>
  <si>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</si>
  <si>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</si>
  <si>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</si>
  <si>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</si>
  <si>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</si>
  <si>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</si>
  <si>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</si>
  <si>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</si>
  <si>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</si>
  <si>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</si>
  <si>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</si>
  <si>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</si>
  <si>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</si>
  <si>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</si>
  <si>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</si>
  <si>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</si>
  <si>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</si>
  <si>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</si>
  <si>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</si>
  <si>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</si>
  <si>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</si>
  <si>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</si>
  <si>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</si>
  <si>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</si>
  <si>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</si>
  <si>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</si>
  <si>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</si>
  <si>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</si>
  <si>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</si>
  <si>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</si>
  <si>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</si>
  <si>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</si>
  <si>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</si>
  <si>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</si>
  <si>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</si>
  <si>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</si>
  <si>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</si>
  <si>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</si>
  <si>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</si>
  <si>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</si>
  <si>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</si>
  <si>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</si>
  <si>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</si>
  <si>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</si>
  <si>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</si>
  <si>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</si>
  <si>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</si>
  <si>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</si>
  <si>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</si>
  <si>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</si>
  <si>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</si>
  <si>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</si>
  <si>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</si>
  <si>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</si>
  <si>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</si>
  <si>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</si>
  <si>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</si>
  <si>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</si>
  <si>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</si>
  <si>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</si>
  <si>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</si>
  <si>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</si>
  <si>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</si>
  <si>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</si>
  <si>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</si>
  <si>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</si>
  <si>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</si>
  <si>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</si>
  <si>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</si>
  <si>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</si>
  <si>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</si>
  <si>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</si>
  <si>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</si>
  <si>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</si>
  <si>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</si>
  <si>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</si>
  <si>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</si>
  <si>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</si>
  <si>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</si>
  <si>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</si>
  <si>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</si>
  <si>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</si>
  <si>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</si>
  <si>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</si>
  <si>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</si>
  <si>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</si>
  <si>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</si>
  <si>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</si>
  <si>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</si>
  <si>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</si>
  <si>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</si>
  <si>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</si>
  <si>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</si>
  <si>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</si>
  <si>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</si>
  <si>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</si>
  <si>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</si>
  <si>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</si>
  <si>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</si>
  <si>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</si>
  <si>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</si>
  <si>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</si>
  <si>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</si>
  <si>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</si>
  <si>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</si>
  <si>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</si>
  <si>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</si>
  <si>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</si>
  <si>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</si>
  <si>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</si>
  <si>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</si>
  <si>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</si>
  <si>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</si>
  <si>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</si>
  <si>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</si>
  <si>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</si>
  <si>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</si>
  <si>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</si>
  <si>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</si>
  <si>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</si>
  <si>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</si>
  <si>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</si>
  <si>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</si>
  <si>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</si>
  <si>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</si>
  <si>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</si>
  <si>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</si>
  <si>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</si>
  <si>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</si>
  <si>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</si>
  <si>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</si>
  <si>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</si>
  <si>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</si>
  <si>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</si>
  <si>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</si>
  <si>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</si>
  <si>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</si>
  <si>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</si>
  <si>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</si>
  <si>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</si>
  <si>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</si>
  <si>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</si>
  <si>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</si>
  <si>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</si>
  <si>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</si>
  <si>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</si>
  <si>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</si>
  <si>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</si>
  <si>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</si>
  <si>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</si>
  <si>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</si>
  <si>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</si>
  <si>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</si>
  <si>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</si>
  <si>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</si>
  <si>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</si>
  <si>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</si>
  <si>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</si>
  <si>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</si>
  <si>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</si>
  <si>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</si>
  <si>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</si>
  <si>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</si>
  <si>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</si>
  <si>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</si>
  <si>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</si>
  <si>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</si>
  <si>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</si>
  <si>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</si>
  <si>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</si>
  <si>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</si>
  <si>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</si>
  <si>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</si>
  <si>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</si>
  <si>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</si>
  <si>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</si>
  <si>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</si>
  <si>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</si>
  <si>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</si>
  <si>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</si>
  <si>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</si>
  <si>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</si>
  <si>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</si>
  <si>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</si>
  <si>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</si>
  <si>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</si>
  <si>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</si>
  <si>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</si>
  <si>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</si>
  <si>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</si>
  <si>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</si>
  <si>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</si>
  <si>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</si>
  <si>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</si>
  <si>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</si>
  <si>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</si>
  <si>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</si>
  <si>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</si>
  <si>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</si>
  <si>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</si>
  <si>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</si>
  <si>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</si>
  <si>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</si>
  <si>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</si>
  <si>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</si>
  <si>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</si>
  <si>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</si>
  <si>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</si>
  <si>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</si>
  <si>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</si>
  <si>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</si>
  <si>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</si>
  <si>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</si>
  <si>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</si>
  <si>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</si>
  <si>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</si>
  <si>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</si>
  <si>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</si>
  <si>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</si>
  <si>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</si>
  <si>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</si>
  <si>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</si>
  <si>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</si>
  <si>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</si>
  <si>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</si>
  <si>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</si>
  <si>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</si>
  <si>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</si>
  <si>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</si>
  <si>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</si>
  <si>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</si>
  <si>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</si>
  <si>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</si>
  <si>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</si>
  <si>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</si>
  <si>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</si>
  <si>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</si>
  <si>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</si>
  <si>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</si>
  <si>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</si>
  <si>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</si>
  <si>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</si>
  <si>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</si>
  <si>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</si>
  <si>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</si>
  <si>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</si>
  <si>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</si>
  <si>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</si>
  <si>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</si>
  <si>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</si>
  <si>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</si>
  <si>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</si>
  <si>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</si>
  <si>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</si>
  <si>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</si>
  <si>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</si>
  <si>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</si>
  <si>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</si>
  <si>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</si>
  <si>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</si>
  <si>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</si>
  <si>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</si>
  <si>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</si>
  <si>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</si>
  <si>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</si>
  <si>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</si>
  <si>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</si>
  <si>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</si>
  <si>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</si>
  <si>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</si>
  <si>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</si>
  <si>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</si>
  <si>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</si>
  <si>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</si>
  <si>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</si>
  <si>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</si>
  <si>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</si>
  <si>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</si>
  <si>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</si>
  <si>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</si>
  <si>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</si>
  <si>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</si>
  <si>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</si>
  <si>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</si>
  <si>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</si>
  <si>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</si>
  <si>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</si>
  <si>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</si>
  <si>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</si>
  <si>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</si>
  <si>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</si>
  <si>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</si>
  <si>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</si>
  <si>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</si>
  <si>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</si>
  <si>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</si>
  <si>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</si>
  <si>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</si>
  <si>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</si>
  <si>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</si>
  <si>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</si>
  <si>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</si>
  <si>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</si>
  <si>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</si>
  <si>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</si>
  <si>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</si>
  <si>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</si>
  <si>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</si>
  <si>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</si>
  <si>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</si>
  <si>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</si>
  <si>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</si>
  <si>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</si>
  <si>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</si>
  <si>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</si>
  <si>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</si>
  <si>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</si>
  <si>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</si>
  <si>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</si>
  <si>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</si>
  <si>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</si>
  <si>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</si>
  <si>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</si>
  <si>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</si>
  <si>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</si>
  <si>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</si>
  <si>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</si>
  <si>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</si>
  <si>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</si>
  <si>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</si>
  <si>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</si>
  <si>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</si>
  <si>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</si>
  <si>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</si>
  <si>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</si>
  <si>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</si>
  <si>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</si>
  <si>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</si>
  <si>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</si>
  <si>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</si>
  <si>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</si>
  <si>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</si>
  <si>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</si>
  <si>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</si>
  <si>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</si>
  <si>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</si>
  <si>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</si>
  <si>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</si>
  <si>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</si>
  <si>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</si>
  <si>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</si>
  <si>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</si>
  <si>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</si>
  <si>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</si>
  <si>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</si>
  <si>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</si>
  <si>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</si>
  <si>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</si>
  <si>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</si>
  <si>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</si>
  <si>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</si>
  <si>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</si>
  <si>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</si>
  <si>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</si>
  <si>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</si>
  <si>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</si>
  <si>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</si>
  <si>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</si>
  <si>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</si>
  <si>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</si>
  <si>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</si>
  <si>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</si>
  <si>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</si>
  <si>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</si>
  <si>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</si>
  <si>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</si>
  <si>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</si>
  <si>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</si>
  <si>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</si>
  <si>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</si>
  <si>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</si>
  <si>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</si>
  <si>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</si>
  <si>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</si>
  <si>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</si>
  <si>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</si>
  <si>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</si>
  <si>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</si>
  <si>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</si>
  <si>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</si>
  <si>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</si>
  <si>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</si>
  <si>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</si>
  <si>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</si>
  <si>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</si>
  <si>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</si>
  <si>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</si>
  <si>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</si>
  <si>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</si>
  <si>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</si>
  <si>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</si>
  <si>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</si>
  <si>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</si>
  <si>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</si>
  <si>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</si>
  <si>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</si>
  <si>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</si>
  <si>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</si>
  <si>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</si>
  <si>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</si>
  <si>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</si>
  <si>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</si>
  <si>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</si>
  <si>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</si>
  <si>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</si>
  <si>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</si>
  <si>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</si>
  <si>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</si>
  <si>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</si>
  <si>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</si>
  <si>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</si>
  <si>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</si>
  <si>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</si>
  <si>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</si>
  <si>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</si>
  <si>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</si>
  <si>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</si>
  <si>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</si>
  <si>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</si>
  <si>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</si>
  <si>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</si>
  <si>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</si>
  <si>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</si>
  <si>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</si>
  <si>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</si>
  <si>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</si>
  <si>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</si>
  <si>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</si>
  <si>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</si>
  <si>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</si>
  <si>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</si>
  <si>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</si>
  <si>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</si>
  <si>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</si>
  <si>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</si>
  <si>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</si>
  <si>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</si>
  <si>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</si>
  <si>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</si>
  <si>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</si>
  <si>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</si>
  <si>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</si>
  <si>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</si>
  <si>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</si>
  <si>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</si>
  <si>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</si>
  <si>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</si>
  <si>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</si>
  <si>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</si>
  <si>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</si>
  <si>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</si>
  <si>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</si>
  <si>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</si>
  <si>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</si>
  <si>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</si>
  <si>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</si>
  <si>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</si>
  <si>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</si>
  <si>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</si>
  <si>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</si>
  <si>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</si>
  <si>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</si>
  <si>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</si>
  <si>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</si>
  <si>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</si>
  <si>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</si>
  <si>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</si>
  <si>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</si>
  <si>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</si>
  <si>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</si>
  <si>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</si>
  <si>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</si>
  <si>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</si>
  <si>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</si>
  <si>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</si>
  <si>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</si>
  <si>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</si>
  <si>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</si>
  <si>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</si>
  <si>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</si>
  <si>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</si>
  <si>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</si>
  <si>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</si>
  <si>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</si>
  <si>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</si>
  <si>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</si>
  <si>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</si>
  <si>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</si>
  <si>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</si>
  <si>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</si>
  <si>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</si>
  <si>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</si>
  <si>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</si>
  <si>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</si>
  <si>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</si>
  <si>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</si>
  <si>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</si>
  <si>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</si>
  <si>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</si>
  <si>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</si>
  <si>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</si>
  <si>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</si>
  <si>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</si>
  <si>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</si>
  <si>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</si>
  <si>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</si>
  <si>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</si>
  <si>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</si>
  <si>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</si>
  <si>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</si>
  <si>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</si>
  <si>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</si>
  <si>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</si>
  <si>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</si>
  <si>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</si>
  <si>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</si>
  <si>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</si>
  <si>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</si>
  <si>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</si>
  <si>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</si>
  <si>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</si>
  <si>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</si>
  <si>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</si>
  <si>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</si>
  <si>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</si>
  <si>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</si>
  <si>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</si>
  <si>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</si>
  <si>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</si>
  <si>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</si>
  <si>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</si>
  <si>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</si>
  <si>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</si>
  <si>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</si>
  <si>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</si>
  <si>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</si>
  <si>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</si>
  <si>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</si>
  <si>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</si>
  <si>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</si>
  <si>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</si>
  <si>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</si>
  <si>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</si>
  <si>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</si>
  <si>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</si>
  <si>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</si>
  <si>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</si>
  <si>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</si>
  <si>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</si>
  <si>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</si>
  <si>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</si>
  <si>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</si>
  <si>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</si>
  <si>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</si>
  <si>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</si>
  <si>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</si>
  <si>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</si>
  <si>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</si>
  <si>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</si>
  <si>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</si>
  <si>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</si>
  <si>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</si>
  <si>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</si>
  <si>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</si>
  <si>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</si>
  <si>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</si>
  <si>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</si>
  <si>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</si>
  <si>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</si>
  <si>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</si>
  <si>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</si>
  <si>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</si>
  <si>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</si>
  <si>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</si>
  <si>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</si>
  <si>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</si>
  <si>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</si>
  <si>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</si>
  <si>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</si>
  <si>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</si>
  <si>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</si>
  <si>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</si>
  <si>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</si>
  <si>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</si>
  <si>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</si>
  <si>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</si>
  <si>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</si>
  <si>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</si>
  <si>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</si>
  <si>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</si>
  <si>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</si>
  <si>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</si>
  <si>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</si>
  <si>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</si>
  <si>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</si>
  <si>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</si>
  <si>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</si>
  <si>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</si>
  <si>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</si>
  <si>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</si>
  <si>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</si>
  <si>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</si>
  <si>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</si>
  <si>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</si>
  <si>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</si>
  <si>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</si>
  <si>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</si>
  <si>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</si>
  <si>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</si>
  <si>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</si>
  <si>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</si>
  <si>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</si>
  <si>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</si>
  <si>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</si>
  <si>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</si>
  <si>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</si>
  <si>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</si>
  <si>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</si>
  <si>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</si>
  <si>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</si>
  <si>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</si>
  <si>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</si>
  <si>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</si>
  <si>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</si>
  <si>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</si>
  <si>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</si>
  <si>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</si>
  <si>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</si>
  <si>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</si>
  <si>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</si>
  <si>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</si>
  <si>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</si>
  <si>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</si>
  <si>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</si>
  <si>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</si>
  <si>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</si>
  <si>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</si>
  <si>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</si>
  <si>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</si>
  <si>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</si>
  <si>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</si>
  <si>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</si>
  <si>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</si>
  <si>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</si>
  <si>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</si>
  <si>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</si>
  <si>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</si>
  <si>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</si>
  <si>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</si>
  <si>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</si>
  <si>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</si>
  <si>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</si>
  <si>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</si>
  <si>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</si>
  <si>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</si>
  <si>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</si>
  <si>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</si>
  <si>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</si>
  <si>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</si>
  <si>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</si>
  <si>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</si>
  <si>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</si>
  <si>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</si>
  <si>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</si>
  <si>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</si>
  <si>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</si>
  <si>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</si>
  <si>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</si>
  <si>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</si>
  <si>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</si>
  <si>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</si>
  <si>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</si>
  <si>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</si>
  <si>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</si>
  <si>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</si>
  <si>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</si>
  <si>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</si>
  <si>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</si>
  <si>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</si>
  <si>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</si>
  <si>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</si>
  <si>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</si>
  <si>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</si>
  <si>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</si>
  <si>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</si>
  <si>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</si>
  <si>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</si>
  <si>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</si>
  <si>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</si>
  <si>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</si>
  <si>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</si>
  <si>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</si>
  <si>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</si>
  <si>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</si>
  <si>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</si>
  <si>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</si>
  <si>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</si>
  <si>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</si>
  <si>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</si>
  <si>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</si>
  <si>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</si>
  <si>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</si>
  <si>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</si>
  <si>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</si>
  <si>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</si>
  <si>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</si>
  <si>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</si>
  <si>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</si>
  <si>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</si>
  <si>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</si>
  <si>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</si>
  <si>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</si>
  <si>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</si>
  <si>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</si>
  <si>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</si>
  <si>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</si>
  <si>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</si>
  <si>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</si>
  <si>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</si>
  <si>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</si>
  <si>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</si>
  <si>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</si>
  <si>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</si>
  <si>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</si>
  <si>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</si>
  <si>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</si>
  <si>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</si>
  <si>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</si>
  <si>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</si>
  <si>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</si>
  <si>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</si>
  <si>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</si>
  <si>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</si>
  <si>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</si>
  <si>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</si>
  <si>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</si>
  <si>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</si>
  <si>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</si>
  <si>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</si>
  <si>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</si>
  <si>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</si>
  <si>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</si>
  <si>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</si>
  <si>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</si>
  <si>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</si>
  <si>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</si>
  <si>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</si>
  <si>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</si>
  <si>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</si>
  <si>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</si>
  <si>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</si>
  <si>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</si>
  <si>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</si>
  <si>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</si>
  <si>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</si>
  <si>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</si>
  <si>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</si>
  <si>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</si>
  <si>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</si>
  <si>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</si>
  <si>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</si>
  <si>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</si>
  <si>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</si>
  <si>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</si>
  <si>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</si>
  <si>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</si>
  <si>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</si>
  <si>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</si>
  <si>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</si>
  <si>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</si>
  <si>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</si>
  <si>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</si>
  <si>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</si>
  <si>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</si>
  <si>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</si>
  <si>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</si>
  <si>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</si>
  <si>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</si>
  <si>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</si>
  <si>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</si>
  <si>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</si>
  <si>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</si>
  <si>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</si>
  <si>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</si>
  <si>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</si>
  <si>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</si>
  <si>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</si>
  <si>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</si>
  <si>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</si>
  <si>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</si>
  <si>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</si>
  <si>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</si>
  <si>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</si>
  <si>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</si>
  <si>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</si>
  <si>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</si>
  <si>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</si>
  <si>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</si>
  <si>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</si>
  <si>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</si>
  <si>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</si>
  <si>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</si>
  <si>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</si>
  <si>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</si>
  <si>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</si>
  <si>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</si>
  <si>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</si>
  <si>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</si>
  <si>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</si>
  <si>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</si>
  <si>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</si>
  <si>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</si>
  <si>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</si>
  <si>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</si>
  <si>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</si>
  <si>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</si>
  <si>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</si>
  <si>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</si>
  <si>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</si>
  <si>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</si>
  <si>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</si>
  <si>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</si>
  <si>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</si>
  <si>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</si>
  <si>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</si>
  <si>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</si>
  <si>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</si>
  <si>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</si>
  <si>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</si>
  <si>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</si>
  <si>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</si>
  <si>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</si>
  <si>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</si>
  <si>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</si>
  <si>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</si>
  <si>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</si>
  <si>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</si>
  <si>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</si>
  <si>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</si>
  <si>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</si>
  <si>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</si>
  <si>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</si>
  <si>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</si>
  <si>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</si>
  <si>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</si>
  <si>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</si>
  <si>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</si>
  <si>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</si>
  <si>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</si>
  <si>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</si>
  <si>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</si>
  <si>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</si>
  <si>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</si>
  <si>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</si>
  <si>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</si>
  <si>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</si>
  <si>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</si>
  <si>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</si>
  <si>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</si>
  <si>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</si>
  <si>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</si>
  <si>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</si>
  <si>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</si>
  <si>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</si>
  <si>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</si>
  <si>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</si>
  <si>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</si>
  <si>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</si>
  <si>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</si>
  <si>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</si>
  <si>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</si>
  <si>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</si>
  <si>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</si>
  <si>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</si>
  <si>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</si>
  <si>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</si>
  <si>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</si>
  <si>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</si>
  <si>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</si>
  <si>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</si>
  <si>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</si>
  <si>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</si>
  <si>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</si>
  <si>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</si>
  <si>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</si>
  <si>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</si>
  <si>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</si>
  <si>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</si>
  <si>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</si>
  <si>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</si>
  <si>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</si>
  <si>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</si>
  <si>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</si>
  <si>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</si>
  <si>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</si>
  <si>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</si>
  <si>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</si>
  <si>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</si>
  <si>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</si>
  <si>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</si>
  <si>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</si>
  <si>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</si>
  <si>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</si>
  <si>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</si>
  <si>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</si>
  <si>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</si>
  <si>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</si>
  <si>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</si>
  <si>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</si>
  <si>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</si>
  <si>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</si>
  <si>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</si>
  <si>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</si>
  <si>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</si>
  <si>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</si>
  <si>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</si>
  <si>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</si>
  <si>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</si>
  <si>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</si>
  <si>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</si>
  <si>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</si>
  <si>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</si>
  <si>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</si>
  <si>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</si>
  <si>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</si>
  <si>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</si>
  <si>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</si>
  <si>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</si>
  <si>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</si>
  <si>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</si>
  <si>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</si>
  <si>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</si>
  <si>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</si>
  <si>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</si>
  <si>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</si>
  <si>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</si>
  <si>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</si>
  <si>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</si>
  <si>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</si>
  <si>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</si>
  <si>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</si>
  <si>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</si>
  <si>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</si>
  <si>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</si>
  <si>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</si>
  <si>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</si>
  <si>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</si>
  <si>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</si>
  <si>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</si>
  <si>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</si>
  <si>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</si>
  <si>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</si>
  <si>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</si>
  <si>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</si>
  <si>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</si>
  <si>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</si>
  <si>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</si>
  <si>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</si>
  <si>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</si>
  <si>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</si>
  <si>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</si>
  <si>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</si>
  <si>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</si>
  <si>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</si>
  <si>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</si>
  <si>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</si>
  <si>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</si>
  <si>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</si>
  <si>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</si>
  <si>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</si>
  <si>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</si>
  <si>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</si>
  <si>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</si>
  <si>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</si>
  <si>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</si>
  <si>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</si>
  <si>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</si>
  <si>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</si>
  <si>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</si>
  <si>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</si>
  <si>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</si>
  <si>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</si>
  <si>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</si>
  <si>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</si>
  <si>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</si>
  <si>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</si>
  <si>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</si>
  <si>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</si>
  <si>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</si>
  <si>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</si>
  <si>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</si>
  <si>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</si>
  <si>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</si>
  <si>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</si>
  <si>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</si>
  <si>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</si>
  <si>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</si>
  <si>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</si>
  <si>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</si>
  <si>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</si>
  <si>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</si>
  <si>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</si>
  <si>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</si>
  <si>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</si>
  <si>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</si>
  <si>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</si>
  <si>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</si>
  <si>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</si>
  <si>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</si>
  <si>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</si>
  <si>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</si>
  <si>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</si>
  <si>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</si>
  <si>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</si>
  <si>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</si>
  <si>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</si>
  <si>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</si>
  <si>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</si>
  <si>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</si>
  <si>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</si>
  <si>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</si>
  <si>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</si>
  <si>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</si>
  <si>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</si>
  <si>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</si>
  <si>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</si>
  <si>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</si>
  <si>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</si>
  <si>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</si>
  <si>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</si>
  <si>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</si>
  <si>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</si>
  <si>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</si>
  <si>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</si>
  <si>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</si>
  <si>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</si>
  <si>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</si>
  <si>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</si>
  <si>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</si>
  <si>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</si>
  <si>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</si>
  <si>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</si>
  <si>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</si>
  <si>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</si>
  <si>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</si>
  <si>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</si>
  <si>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</si>
  <si>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</si>
  <si>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</si>
  <si>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</si>
  <si>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</si>
  <si>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</si>
  <si>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</si>
  <si>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</si>
  <si>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</si>
  <si>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</si>
  <si>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</si>
  <si>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</si>
  <si>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</si>
  <si>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</si>
  <si>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</si>
  <si>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</si>
  <si>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</si>
  <si>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</si>
  <si>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</si>
  <si>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</si>
  <si>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</si>
  <si>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</si>
  <si>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</si>
  <si>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</si>
  <si>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</si>
  <si>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</si>
  <si>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</si>
  <si>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</si>
  <si>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</si>
  <si>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</si>
  <si>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</si>
  <si>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</si>
  <si>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</si>
  <si>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</si>
  <si>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</si>
  <si>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</si>
  <si>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</si>
  <si>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</si>
  <si>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</si>
  <si>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</si>
  <si>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</si>
  <si>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</si>
  <si>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</si>
  <si>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</si>
  <si>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</si>
  <si>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</si>
  <si>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</si>
  <si>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</si>
  <si>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</si>
  <si>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</si>
  <si>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</si>
  <si>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</si>
  <si>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</si>
  <si>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</si>
  <si>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</si>
  <si>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</si>
  <si>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</si>
  <si>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</si>
  <si>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</si>
  <si>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</si>
  <si>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</si>
  <si>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</si>
  <si>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</si>
  <si>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</si>
  <si>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</si>
  <si>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</si>
  <si>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</si>
  <si>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</si>
  <si>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</si>
  <si>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</si>
  <si>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</si>
  <si>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</si>
  <si>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</si>
  <si>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</si>
  <si>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</si>
  <si>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</si>
  <si>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</si>
  <si>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</si>
  <si>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</si>
  <si>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</si>
  <si>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</si>
  <si>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</si>
  <si>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</si>
  <si>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</si>
  <si>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</si>
  <si>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</si>
  <si>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</si>
  <si>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</si>
  <si>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</si>
  <si>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</si>
  <si>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</si>
  <si>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</si>
  <si>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</si>
  <si>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</si>
  <si>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</si>
  <si>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</si>
  <si>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</si>
  <si>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</si>
  <si>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</si>
  <si>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</si>
  <si>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</si>
  <si>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</si>
  <si>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</si>
  <si>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</si>
  <si>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</si>
  <si>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</si>
  <si>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</si>
  <si>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</si>
  <si>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</si>
  <si>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</si>
  <si>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</si>
  <si>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</si>
  <si>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</si>
  <si>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</si>
  <si>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</si>
  <si>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</si>
  <si>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</si>
  <si>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</si>
  <si>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</si>
  <si>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</si>
  <si>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</si>
  <si>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</si>
  <si>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</si>
  <si>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</si>
  <si>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</si>
  <si>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</si>
  <si>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</si>
  <si>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</si>
  <si>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</si>
  <si>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</si>
  <si>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</si>
  <si>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</si>
  <si>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</si>
  <si>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</si>
  <si>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</si>
  <si>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</si>
  <si>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</si>
  <si>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</si>
  <si>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</si>
  <si>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</si>
  <si>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</si>
  <si>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</si>
  <si>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</si>
  <si>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</si>
  <si>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</si>
  <si>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</si>
  <si>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</si>
  <si>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</si>
  <si>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</si>
  <si>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</si>
  <si>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</si>
  <si>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</si>
  <si>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</si>
  <si>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</si>
  <si>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</si>
  <si>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</si>
  <si>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</si>
  <si>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</si>
  <si>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</si>
  <si>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</si>
  <si>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</si>
  <si>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</si>
  <si>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</si>
  <si>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</si>
  <si>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</si>
  <si>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</si>
  <si>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</si>
  <si>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</si>
  <si>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</si>
  <si>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</si>
  <si>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</si>
  <si>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</si>
  <si>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</si>
  <si>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</si>
  <si>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</si>
  <si>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</si>
  <si>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</si>
  <si>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</si>
  <si>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</si>
  <si>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</si>
  <si>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</si>
  <si>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</si>
  <si>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</si>
  <si>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</si>
  <si>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</si>
  <si>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</si>
  <si>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</si>
  <si>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</si>
  <si>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</si>
  <si>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</si>
  <si>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</si>
  <si>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</si>
  <si>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</si>
  <si>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</si>
  <si>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</si>
  <si>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</si>
  <si>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</si>
  <si>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</si>
  <si>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</si>
  <si>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</si>
  <si>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</si>
  <si>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</si>
  <si>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</si>
  <si>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</si>
  <si>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</si>
  <si>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</si>
  <si>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</si>
  <si>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</si>
  <si>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</si>
  <si>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</si>
  <si>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</si>
  <si>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</si>
  <si>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</si>
  <si>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</si>
  <si>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</si>
  <si>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</si>
  <si>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</si>
  <si>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</si>
  <si>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</si>
  <si>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</si>
  <si>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</si>
  <si>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</si>
  <si>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</si>
  <si>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</si>
  <si>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</si>
  <si>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</si>
  <si>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</si>
  <si>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</si>
  <si>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</si>
  <si>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</si>
  <si>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</si>
  <si>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</si>
  <si>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</si>
  <si>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</si>
  <si>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</si>
  <si>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</si>
  <si>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</si>
  <si>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</si>
  <si>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</si>
  <si>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</si>
  <si>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</si>
  <si>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</si>
  <si>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</si>
  <si>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</si>
  <si>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</si>
  <si>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</si>
  <si>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</si>
  <si>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</si>
  <si>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</si>
  <si>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</si>
  <si>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</si>
  <si>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</si>
  <si>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</si>
  <si>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</si>
  <si>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</si>
  <si>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</si>
  <si>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</si>
  <si>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</si>
  <si>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</si>
  <si>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</si>
  <si>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</si>
  <si>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</si>
  <si>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</si>
  <si>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</si>
  <si>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</si>
  <si>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</si>
  <si>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</si>
  <si>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</si>
  <si>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</si>
  <si>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</si>
  <si>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</si>
  <si>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</si>
  <si>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</si>
  <si>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</si>
  <si>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</si>
  <si>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</si>
  <si>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</si>
  <si>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</si>
  <si>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</si>
  <si>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</si>
  <si>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</si>
  <si>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</si>
  <si>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</si>
  <si>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</si>
  <si>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</si>
  <si>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</si>
  <si>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</si>
  <si>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</si>
  <si>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</si>
  <si>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</si>
  <si>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</si>
  <si>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</si>
  <si>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</si>
  <si>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</si>
  <si>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</si>
  <si>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</si>
  <si>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</si>
  <si>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</si>
  <si>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</si>
  <si>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</si>
  <si>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</si>
  <si>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</si>
  <si>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</si>
  <si>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</si>
  <si>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</si>
  <si>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</si>
  <si>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</si>
  <si>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</si>
  <si>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</si>
  <si>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</si>
  <si>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</si>
  <si>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</si>
  <si>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</si>
  <si>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</si>
  <si>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</si>
  <si>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</si>
  <si>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</si>
  <si>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</si>
  <si>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</si>
  <si>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</si>
  <si>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</si>
  <si>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</si>
  <si>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</si>
  <si>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</si>
  <si>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</si>
  <si>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</si>
  <si>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</si>
  <si>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</si>
  <si>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</si>
  <si>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</si>
  <si>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</si>
  <si>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</si>
  <si>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</si>
  <si>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</si>
  <si>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</si>
  <si>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</si>
  <si>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</si>
  <si>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</si>
  <si>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</si>
  <si>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</si>
  <si>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</si>
  <si>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</si>
  <si>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</si>
  <si>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</si>
  <si>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</si>
  <si>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</si>
  <si>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</si>
  <si>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</si>
  <si>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</si>
  <si>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</si>
  <si>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</si>
  <si>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</si>
  <si>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</si>
  <si>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</si>
  <si>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</si>
  <si>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</si>
  <si>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</si>
  <si>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</si>
  <si>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</si>
  <si>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</si>
  <si>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</si>
  <si>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</si>
  <si>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</si>
  <si>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</si>
  <si>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</si>
  <si>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</si>
  <si>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</si>
  <si>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</si>
  <si>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</si>
  <si>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</si>
  <si>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</si>
  <si>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</si>
  <si>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</si>
  <si>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</si>
  <si>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</si>
  <si>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</si>
  <si>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</si>
  <si>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</si>
  <si>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</si>
  <si>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</si>
  <si>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</si>
  <si>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</si>
  <si>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</si>
  <si>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</si>
  <si>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</si>
  <si>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</si>
  <si>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</si>
  <si>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</si>
  <si>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</si>
  <si>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</si>
  <si>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</si>
  <si>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</si>
  <si>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</si>
  <si>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</si>
  <si>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</si>
  <si>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</si>
  <si>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</si>
  <si>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</si>
  <si>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</si>
  <si>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</si>
  <si>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</si>
  <si>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</si>
  <si>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</si>
  <si>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</si>
  <si>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</si>
  <si>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</si>
  <si>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</si>
  <si>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</si>
  <si>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</si>
  <si>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</si>
  <si>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</si>
  <si>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</si>
  <si>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</si>
  <si>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</si>
  <si>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</si>
  <si>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</si>
  <si>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</si>
  <si>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</si>
  <si>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</si>
  <si>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</si>
  <si>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</si>
  <si>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</si>
  <si>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</si>
  <si>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</si>
  <si>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</si>
  <si>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</si>
  <si>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</si>
  <si>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</si>
  <si>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</si>
  <si>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</si>
  <si>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</si>
  <si>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</si>
  <si>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</si>
  <si>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</si>
  <si>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</si>
  <si>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</si>
  <si>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</si>
  <si>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</si>
  <si>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</si>
  <si>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</si>
  <si>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</si>
  <si>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</si>
  <si>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</si>
  <si>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</si>
  <si>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</si>
  <si>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</si>
  <si>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</si>
  <si>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</si>
  <si>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</si>
  <si>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</si>
  <si>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</si>
  <si>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</si>
  <si>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</si>
  <si>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</si>
  <si>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</si>
  <si>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</si>
  <si>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</si>
  <si>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</si>
  <si>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</si>
  <si>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</si>
  <si>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</si>
  <si>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</si>
  <si>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</si>
  <si>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</si>
  <si>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</si>
  <si>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</si>
  <si>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</si>
  <si>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</si>
  <si>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</si>
  <si>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</si>
  <si>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</si>
  <si>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</si>
  <si>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</si>
  <si>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</si>
  <si>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</si>
  <si>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</si>
  <si>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</si>
  <si>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</si>
  <si>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</si>
  <si>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</si>
  <si>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</si>
  <si>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</si>
  <si>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</si>
  <si>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</si>
  <si>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</si>
  <si>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</si>
  <si>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</si>
  <si>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</si>
  <si>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</si>
  <si>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</si>
  <si>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</si>
  <si>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</si>
  <si>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</si>
  <si>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</si>
  <si>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</si>
  <si>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</si>
  <si>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</si>
  <si>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</si>
  <si>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</si>
  <si>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</si>
  <si>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</si>
  <si>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</si>
  <si>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</si>
  <si>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</si>
  <si>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</si>
  <si>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</si>
  <si>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</si>
  <si>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</si>
  <si>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</si>
  <si>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</si>
  <si>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</si>
  <si>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</si>
  <si>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</si>
  <si>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</si>
  <si>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</si>
  <si>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</si>
  <si>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</si>
  <si>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</si>
  <si>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</si>
  <si>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</si>
  <si>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</si>
  <si>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</si>
  <si>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</si>
  <si>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</si>
  <si>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</si>
  <si>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</si>
  <si>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</si>
  <si>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</si>
  <si>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</si>
  <si>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</si>
  <si>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</si>
  <si>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</si>
  <si>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</si>
  <si>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</si>
  <si>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</si>
  <si>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</si>
  <si>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</si>
  <si>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</si>
  <si>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</si>
  <si>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</si>
  <si>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</si>
  <si>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</si>
  <si>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</si>
  <si>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</si>
  <si>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</si>
  <si>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</si>
  <si>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</si>
  <si>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</si>
  <si>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</si>
  <si>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</si>
  <si>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</si>
  <si>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</si>
  <si>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</si>
  <si>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</si>
  <si>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</si>
  <si>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</si>
  <si>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</si>
  <si>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</si>
  <si>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</si>
  <si>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</si>
  <si>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</si>
  <si>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</si>
  <si>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</si>
  <si>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</si>
  <si>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</si>
  <si>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</si>
  <si>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</si>
  <si>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</si>
  <si>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</si>
  <si>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</si>
  <si>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</si>
  <si>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</si>
  <si>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</si>
  <si>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</si>
  <si>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</si>
  <si>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</si>
  <si>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</si>
  <si>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</si>
  <si>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</si>
  <si>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</si>
  <si>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</si>
  <si>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</si>
  <si>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</si>
  <si>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</si>
  <si>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</si>
  <si>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</si>
  <si>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</si>
  <si>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</si>
  <si>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</si>
  <si>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</si>
  <si>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</si>
  <si>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</si>
  <si>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</si>
  <si>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</si>
  <si>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</si>
  <si>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</si>
  <si>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</si>
  <si>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</si>
  <si>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</si>
  <si>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</si>
  <si>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</si>
  <si>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</si>
  <si>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</si>
  <si>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</si>
  <si>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</si>
  <si>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</si>
  <si>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</si>
  <si>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</si>
  <si>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</si>
  <si>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</si>
  <si>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</si>
  <si>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</si>
  <si>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</si>
  <si>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</si>
  <si>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</si>
  <si>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</si>
  <si>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</si>
  <si>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</si>
  <si>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</si>
  <si>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</si>
  <si>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</si>
  <si>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</si>
  <si>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</si>
  <si>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</si>
  <si>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</si>
  <si>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</si>
  <si>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</si>
  <si>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</si>
  <si>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</si>
  <si>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</si>
  <si>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</si>
  <si>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</si>
  <si>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</si>
  <si>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</si>
  <si>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</si>
  <si>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</si>
  <si>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</si>
  <si>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</si>
  <si>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</si>
  <si>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</si>
  <si>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</si>
  <si>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</si>
  <si>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</si>
  <si>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</si>
  <si>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</si>
  <si>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</si>
  <si>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</si>
  <si>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</si>
  <si>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</si>
  <si>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</si>
  <si>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</si>
  <si>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</si>
  <si>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</si>
  <si>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</si>
  <si>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</si>
  <si>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</si>
  <si>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</si>
  <si>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</si>
  <si>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</si>
  <si>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</si>
  <si>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</si>
  <si>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</si>
  <si>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</si>
  <si>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</si>
  <si>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</si>
  <si>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</si>
  <si>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</si>
  <si>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</si>
  <si>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</si>
  <si>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</si>
  <si>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</si>
  <si>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</si>
  <si>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</si>
  <si>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</si>
  <si>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</si>
  <si>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</si>
  <si>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</si>
  <si>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</si>
  <si>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</si>
  <si>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</si>
  <si>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</si>
  <si>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</si>
  <si>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</si>
  <si>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</si>
  <si>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</si>
  <si>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</si>
  <si>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</si>
  <si>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</si>
  <si>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</si>
  <si>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</si>
  <si>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</si>
  <si>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</si>
  <si>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</si>
  <si>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</si>
  <si>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</si>
  <si>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</si>
  <si>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</si>
  <si>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</si>
  <si>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</si>
  <si>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</si>
  <si>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</si>
  <si>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</si>
  <si>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</si>
  <si>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</si>
  <si>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</si>
  <si>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</si>
  <si>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</si>
  <si>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</si>
  <si>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</si>
  <si>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</si>
  <si>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</si>
  <si>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</si>
  <si>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</si>
  <si>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</si>
  <si>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</si>
  <si>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</si>
  <si>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</si>
  <si>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</si>
  <si>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</si>
  <si>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</si>
  <si>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</si>
  <si>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</si>
  <si>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</si>
  <si>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</si>
  <si>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</si>
  <si>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</si>
  <si>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</si>
  <si>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</si>
  <si>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</si>
  <si>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</si>
  <si>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</si>
  <si>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</si>
  <si>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</si>
  <si>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</si>
  <si>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</si>
  <si>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</si>
  <si>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</si>
  <si>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</si>
  <si>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</si>
  <si>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</si>
  <si>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</si>
  <si>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</si>
  <si>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</si>
  <si>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</si>
  <si>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</si>
  <si>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</si>
  <si>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</si>
  <si>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</si>
  <si>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</si>
  <si>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</si>
  <si>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</si>
  <si>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</si>
  <si>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</si>
  <si>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</si>
  <si>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</si>
  <si>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</si>
  <si>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</si>
  <si>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</si>
  <si>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</si>
  <si>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</si>
  <si>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</si>
  <si>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</si>
  <si>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</si>
  <si>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</si>
  <si>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</si>
  <si>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</si>
  <si>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</si>
  <si>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</si>
  <si>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</si>
  <si>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</si>
  <si>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</si>
  <si>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</si>
  <si>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</si>
  <si>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</si>
  <si>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</si>
  <si>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</si>
  <si>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</si>
  <si>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</si>
  <si>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</si>
  <si>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</si>
  <si>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</si>
  <si>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</si>
  <si>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</si>
  <si>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</si>
  <si>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</si>
  <si>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</si>
  <si>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</si>
  <si>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</si>
  <si>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</si>
  <si>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</si>
  <si>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</si>
  <si>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</si>
  <si>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</si>
  <si>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</si>
  <si>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</si>
  <si>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</si>
  <si>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</si>
  <si>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</si>
  <si>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</si>
  <si>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</si>
  <si>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</si>
  <si>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</si>
  <si>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</si>
  <si>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</si>
  <si>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</si>
  <si>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</si>
  <si>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</si>
  <si>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</si>
  <si>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</si>
  <si>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</si>
  <si>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</si>
  <si>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</si>
  <si>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</si>
  <si>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</si>
  <si>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</si>
  <si>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</si>
  <si>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</si>
  <si>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</si>
  <si>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</si>
  <si>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</si>
  <si>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</si>
  <si>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</si>
  <si>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</si>
  <si>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</si>
  <si>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</si>
  <si>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</si>
  <si>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</si>
  <si>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</si>
  <si>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</si>
  <si>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</si>
  <si>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</si>
  <si>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</si>
  <si>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</si>
  <si>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</si>
  <si>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</si>
  <si>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</si>
  <si>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</si>
  <si>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</si>
  <si>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</si>
  <si>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</si>
  <si>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</si>
  <si>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</si>
  <si>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</si>
  <si>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</si>
  <si>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</si>
  <si>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</si>
  <si>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</si>
  <si>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</si>
  <si>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</si>
  <si>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</si>
  <si>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</si>
  <si>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</si>
  <si>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</si>
  <si>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</si>
  <si>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</si>
  <si>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</si>
  <si>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</si>
  <si>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</si>
  <si>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</si>
  <si>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</si>
  <si>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</si>
  <si>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</si>
  <si>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</si>
  <si>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</si>
  <si>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</si>
  <si>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</si>
  <si>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</si>
  <si>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</si>
  <si>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</si>
  <si>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</si>
  <si>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</si>
  <si>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</si>
  <si>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</si>
  <si>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</si>
  <si>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</si>
  <si>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</si>
  <si>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</si>
  <si>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</si>
  <si>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</si>
  <si>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</si>
  <si>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</si>
  <si>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</si>
  <si>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</si>
  <si>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</si>
  <si>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</si>
  <si>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</si>
  <si>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</si>
  <si>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</si>
  <si>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</si>
  <si>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</si>
  <si>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</si>
  <si>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</si>
  <si>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</si>
  <si>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</si>
  <si>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</si>
  <si>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</si>
  <si>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</si>
  <si>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</si>
  <si>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</si>
  <si>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</si>
  <si>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</si>
  <si>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</si>
  <si>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</si>
  <si>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</si>
  <si>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</si>
  <si>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</si>
  <si>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</si>
  <si>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</si>
  <si>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</si>
  <si>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</si>
  <si>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</si>
  <si>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</si>
  <si>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</si>
  <si>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</si>
  <si>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</si>
  <si>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</si>
  <si>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</si>
  <si>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</si>
  <si>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</si>
  <si>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</si>
  <si>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</si>
  <si>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</si>
  <si>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</si>
  <si>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</si>
  <si>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</si>
  <si>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</si>
  <si>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</si>
  <si>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</si>
  <si>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</si>
  <si>
    <t>Scheme drawings</t>
  </si>
  <si>
    <t>Google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</si>
</sst>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5">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0" fillId="2" borderId="60" xfId="0" applyFill="1" applyBorder="1" applyAlignment="1">
      <alignment horizontal="center" vertical="center" wrapText="1"/>
    </xf>
    <xf numFmtId="0" fontId="0" fillId="2" borderId="59" xfId="0" applyFill="1" applyBorder="1" applyAlignment="1">
      <alignment horizontal="center" vertical="center" wrapText="1"/>
    </xf>
    <xf numFmtId="0" fontId="0" fillId="2" borderId="49" xfId="0" applyFill="1" applyBorder="1" applyAlignment="1">
      <alignment horizontal="center" vertical="center" wrapText="1"/>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62.572573848467478</c:v>
                </c:pt>
                <c:pt idx="1">
                  <c:v>613.51996709288323</c:v>
                </c:pt>
                <c:pt idx="2">
                  <c:v>101.31581212415674</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25" zoomScale="80" zoomScaleNormal="80" workbookViewId="0">
      <selection activeCell="F48" sqref="F48"/>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440</v>
      </c>
      <c r="G33" s="41" t="s">
        <v>16311</v>
      </c>
      <c r="H33" s="311" t="s">
        <v>16758</v>
      </c>
    </row>
    <row r="34" spans="1:69">
      <c r="A34" s="41"/>
      <c r="D34" s="146" t="s">
        <v>16312</v>
      </c>
      <c r="F34" s="383">
        <f>ROUND(F33*1.25,0)</f>
        <v>550</v>
      </c>
      <c r="G34" s="41" t="s">
        <v>16311</v>
      </c>
      <c r="H34" s="311" t="s">
        <v>16759</v>
      </c>
    </row>
    <row r="35" spans="1:69" ht="30.75" thickBot="1">
      <c r="A35" s="41"/>
      <c r="D35" s="146" t="s">
        <v>16313</v>
      </c>
      <c r="F35" s="384">
        <f>0.58/5.14</f>
        <v>0.11284046692607004</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16546</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33</v>
      </c>
      <c r="G46" s="41" t="s">
        <v>16311</v>
      </c>
      <c r="H46" s="311"/>
    </row>
    <row r="47" spans="1:69">
      <c r="A47" s="41"/>
      <c r="D47" s="146" t="s">
        <v>16312</v>
      </c>
      <c r="F47" s="536">
        <f>ROUND(F46*1.1,0)</f>
        <v>36</v>
      </c>
      <c r="G47" s="41" t="s">
        <v>16311</v>
      </c>
      <c r="H47" s="311"/>
    </row>
    <row r="48" spans="1:69" ht="15.75" thickBot="1">
      <c r="A48" s="41"/>
      <c r="D48" s="146" t="s">
        <v>16320</v>
      </c>
      <c r="F48" s="537">
        <f>0.58/1.1</f>
        <v>0.52727272727272723</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613" t="s">
        <v>16763</v>
      </c>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614"/>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614"/>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614"/>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614"/>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614"/>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615"/>
    </row>
    <row r="58" spans="1:69">
      <c r="A58" s="41"/>
      <c r="G58" s="108"/>
    </row>
    <row r="59" spans="1:69" ht="16.5" thickBot="1">
      <c r="A59" s="41"/>
      <c r="C59" s="105" t="s">
        <v>16330</v>
      </c>
      <c r="D59" s="313"/>
      <c r="E59" s="313"/>
      <c r="F59" s="245"/>
      <c r="G59" s="108"/>
    </row>
    <row r="60" spans="1:69">
      <c r="A60" s="41"/>
      <c r="D60" s="473" t="s">
        <v>16323</v>
      </c>
      <c r="E60" s="314"/>
      <c r="F60" s="538" t="s">
        <v>54</v>
      </c>
      <c r="G60" s="108"/>
      <c r="H60" s="613" t="s">
        <v>16762</v>
      </c>
    </row>
    <row r="61" spans="1:69">
      <c r="A61" s="41"/>
      <c r="D61" s="473" t="s">
        <v>16324</v>
      </c>
      <c r="E61" s="314"/>
      <c r="F61" s="539" t="s">
        <v>48</v>
      </c>
      <c r="G61" s="108"/>
      <c r="H61" s="614"/>
    </row>
    <row r="62" spans="1:69">
      <c r="A62" s="41"/>
      <c r="D62" s="473" t="s">
        <v>16325</v>
      </c>
      <c r="E62" s="314"/>
      <c r="F62" s="539" t="s">
        <v>54</v>
      </c>
      <c r="G62" s="108"/>
      <c r="H62" s="614"/>
    </row>
    <row r="63" spans="1:69">
      <c r="A63" s="41"/>
      <c r="D63" s="473" t="s">
        <v>16326</v>
      </c>
      <c r="E63" s="314"/>
      <c r="F63" s="539" t="s">
        <v>48</v>
      </c>
      <c r="G63" s="108"/>
      <c r="H63" s="614"/>
    </row>
    <row r="64" spans="1:69">
      <c r="A64" s="41"/>
      <c r="D64" s="473" t="s">
        <v>16327</v>
      </c>
      <c r="E64" s="314"/>
      <c r="F64" s="539" t="s">
        <v>54</v>
      </c>
      <c r="G64" s="108"/>
      <c r="H64" s="614"/>
    </row>
    <row r="65" spans="1:69">
      <c r="A65" s="41"/>
      <c r="D65" s="473" t="s">
        <v>16328</v>
      </c>
      <c r="E65" s="314"/>
      <c r="F65" s="539" t="s">
        <v>54</v>
      </c>
      <c r="G65" s="108"/>
      <c r="H65" s="614"/>
    </row>
    <row r="66" spans="1:69" ht="15.75" thickBot="1">
      <c r="A66" s="41"/>
      <c r="D66" s="473" t="s">
        <v>16329</v>
      </c>
      <c r="E66" s="314"/>
      <c r="F66" s="540" t="s">
        <v>48</v>
      </c>
      <c r="H66" s="615"/>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mergeCells count="2">
    <mergeCell ref="H60:H66"/>
    <mergeCell ref="H51:H57"/>
  </mergeCells>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9" t="s">
        <v>16376</v>
      </c>
      <c r="D14" s="622" t="s">
        <v>16377</v>
      </c>
      <c r="E14" s="622" t="s">
        <v>16378</v>
      </c>
      <c r="F14" s="616" t="s">
        <v>16379</v>
      </c>
      <c r="G14" s="101"/>
      <c r="H14" s="577"/>
      <c r="I14" s="114"/>
      <c r="J14" s="114"/>
      <c r="K14" s="108"/>
    </row>
    <row r="15" spans="3:13" ht="15" customHeight="1">
      <c r="C15" s="620"/>
      <c r="D15" s="623"/>
      <c r="E15" s="625"/>
      <c r="F15" s="617"/>
      <c r="G15" s="101"/>
      <c r="H15" s="578"/>
      <c r="I15" s="578"/>
      <c r="J15" s="578"/>
      <c r="K15" s="578"/>
      <c r="L15" s="578"/>
      <c r="M15" s="578"/>
    </row>
    <row r="16" spans="3:13" ht="19.899999999999999" customHeight="1">
      <c r="C16" s="621"/>
      <c r="D16" s="624"/>
      <c r="E16" s="626"/>
      <c r="F16" s="618"/>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440</v>
      </c>
      <c r="E28" s="108" t="s">
        <v>16311</v>
      </c>
    </row>
    <row r="29" spans="2:8">
      <c r="C29" s="108" t="s">
        <v>16409</v>
      </c>
      <c r="D29" s="367">
        <f>'User Interface Intervention'!F34</f>
        <v>550</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0.11284046692607004</v>
      </c>
    </row>
    <row r="38" spans="2:8">
      <c r="C38" s="108" t="s">
        <v>16419</v>
      </c>
      <c r="D38" s="452">
        <f>'User Interface Intervention'!F85</f>
        <v>0.56399999999999995</v>
      </c>
    </row>
    <row r="39" spans="2:8" ht="15.75">
      <c r="B39" s="241" t="s">
        <v>16420</v>
      </c>
      <c r="D39" s="242"/>
    </row>
    <row r="41" spans="2:8">
      <c r="C41" s="108" t="s">
        <v>16421</v>
      </c>
      <c r="D41" s="367" t="str">
        <f>'User Interface Intervention'!F38</f>
        <v>On-road segregated cycle lane</v>
      </c>
      <c r="E41" s="108">
        <f>IFERROR(VLOOKUP('Input Summary'!D41,JQQQ,2, FALSE), 0)</f>
        <v>2.99</v>
      </c>
    </row>
    <row r="42" spans="2:8">
      <c r="C42" s="108" t="s">
        <v>16422</v>
      </c>
      <c r="D42" s="367" t="str">
        <f>'User Interface Intervention'!F37</f>
        <v>No provision</v>
      </c>
      <c r="E42" s="108">
        <f>IFERROR(VLOOKUP('Input Summary'!D42,JQQQ,2, FALSE),0)</f>
        <v>0</v>
      </c>
    </row>
    <row r="43" spans="2:8">
      <c r="C43" s="108" t="s">
        <v>16423</v>
      </c>
      <c r="D43" s="205">
        <f>E41-E42</f>
        <v>2.99</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33</v>
      </c>
      <c r="E50" s="242" t="s">
        <v>16311</v>
      </c>
    </row>
    <row r="51" spans="2:6">
      <c r="C51" s="108" t="s">
        <v>16409</v>
      </c>
      <c r="D51" s="367">
        <f>'User Interface Intervention'!F47</f>
        <v>36</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0.52727272727272723</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1</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32" t="s">
        <v>16456</v>
      </c>
      <c r="E4" s="632"/>
      <c r="F4" s="632"/>
      <c r="G4" s="632"/>
      <c r="H4" s="632"/>
      <c r="I4" s="632"/>
      <c r="J4" s="632"/>
      <c r="K4" s="632"/>
      <c r="L4" s="632"/>
      <c r="M4" s="632"/>
      <c r="N4" s="632"/>
      <c r="O4" s="632"/>
      <c r="P4" s="632"/>
      <c r="Q4" s="632"/>
      <c r="R4" s="632"/>
      <c r="S4" s="632"/>
      <c r="T4" s="632"/>
      <c r="U4" s="632"/>
      <c r="V4" s="632"/>
      <c r="W4" s="632"/>
      <c r="X4" s="630" t="s">
        <v>16457</v>
      </c>
      <c r="Y4" s="630"/>
      <c r="Z4" s="630"/>
      <c r="AA4" s="631"/>
      <c r="AB4" s="633"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7" t="s">
        <v>16463</v>
      </c>
      <c r="R5" s="628"/>
      <c r="S5" s="629"/>
      <c r="T5" s="264" t="s">
        <v>16464</v>
      </c>
      <c r="U5" s="271"/>
      <c r="V5" s="271"/>
      <c r="W5" s="272"/>
      <c r="X5" s="264" t="s">
        <v>16465</v>
      </c>
      <c r="Y5" s="271"/>
      <c r="Z5" s="271"/>
      <c r="AA5" s="272"/>
      <c r="AB5" s="633"/>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3"/>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3"/>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3"/>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3"/>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6" t="s">
        <v>16513</v>
      </c>
      <c r="D6" s="638" t="s">
        <v>103</v>
      </c>
      <c r="E6" s="639"/>
      <c r="F6" s="640"/>
      <c r="G6" s="638" t="s">
        <v>16514</v>
      </c>
      <c r="H6" s="639"/>
      <c r="I6" s="640"/>
      <c r="J6" s="638" t="s">
        <v>5086</v>
      </c>
      <c r="K6" s="639"/>
      <c r="L6" s="640"/>
      <c r="M6" s="638" t="s">
        <v>5164</v>
      </c>
      <c r="N6" s="639"/>
      <c r="O6" s="640"/>
      <c r="P6" s="643" t="s">
        <v>16515</v>
      </c>
    </row>
    <row r="7" spans="1:16" ht="26.25" thickBot="1">
      <c r="A7" s="344" t="s">
        <v>16516</v>
      </c>
      <c r="B7" s="345"/>
      <c r="C7" s="637"/>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4"/>
    </row>
    <row r="8" spans="1:16" ht="15.75" thickTop="1">
      <c r="A8" s="634"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5"/>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5"/>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5"/>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5"/>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5"/>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6" t="s">
        <v>16513</v>
      </c>
      <c r="D23" s="638" t="s">
        <v>103</v>
      </c>
      <c r="E23" s="639"/>
      <c r="F23" s="640"/>
      <c r="G23" s="638" t="s">
        <v>16524</v>
      </c>
      <c r="H23" s="639"/>
      <c r="I23" s="640" t="s">
        <v>16525</v>
      </c>
      <c r="J23" s="638" t="s">
        <v>5086</v>
      </c>
      <c r="K23" s="639"/>
      <c r="L23" s="640" t="s">
        <v>16526</v>
      </c>
      <c r="M23" s="638" t="s">
        <v>5164</v>
      </c>
      <c r="N23" s="639"/>
      <c r="O23" s="640" t="s">
        <v>16527</v>
      </c>
      <c r="P23" s="641" t="s">
        <v>16515</v>
      </c>
    </row>
    <row r="24" spans="1:16" ht="26.25" thickBot="1">
      <c r="A24" s="344" t="s">
        <v>16516</v>
      </c>
      <c r="B24" s="345"/>
      <c r="C24" s="637"/>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2"/>
    </row>
    <row r="25" spans="1:16" ht="15.75" thickTop="1">
      <c r="A25" s="634"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5"/>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5"/>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5"/>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5"/>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5"/>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6" t="s">
        <v>16513</v>
      </c>
      <c r="D40" s="638" t="s">
        <v>103</v>
      </c>
      <c r="E40" s="639"/>
      <c r="F40" s="640"/>
      <c r="G40" s="551" t="s">
        <v>16524</v>
      </c>
      <c r="H40" s="552"/>
      <c r="I40" s="553" t="s">
        <v>16525</v>
      </c>
      <c r="J40" s="551" t="s">
        <v>5086</v>
      </c>
      <c r="K40" s="552"/>
      <c r="L40" s="553" t="s">
        <v>16526</v>
      </c>
      <c r="M40" s="551" t="s">
        <v>5164</v>
      </c>
      <c r="N40" s="552"/>
      <c r="O40" s="553" t="s">
        <v>16527</v>
      </c>
      <c r="P40" s="641" t="s">
        <v>16515</v>
      </c>
    </row>
    <row r="41" spans="1:16" ht="26.25" thickBot="1">
      <c r="A41" s="344" t="s">
        <v>16516</v>
      </c>
      <c r="B41" s="345"/>
      <c r="C41" s="637"/>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2"/>
    </row>
    <row r="42" spans="1:16" ht="15.75" thickTop="1">
      <c r="A42" s="634"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5"/>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5"/>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5"/>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5"/>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5"/>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6" t="s">
        <v>16513</v>
      </c>
      <c r="D57" s="638" t="s">
        <v>103</v>
      </c>
      <c r="E57" s="639"/>
      <c r="F57" s="640"/>
      <c r="G57" s="551" t="s">
        <v>16524</v>
      </c>
      <c r="H57" s="552"/>
      <c r="I57" s="553" t="s">
        <v>16525</v>
      </c>
      <c r="J57" s="551" t="s">
        <v>5086</v>
      </c>
      <c r="K57" s="552"/>
      <c r="L57" s="553" t="s">
        <v>16526</v>
      </c>
      <c r="M57" s="551" t="s">
        <v>5164</v>
      </c>
      <c r="N57" s="552"/>
      <c r="O57" s="553" t="s">
        <v>16527</v>
      </c>
      <c r="P57" s="641" t="s">
        <v>16515</v>
      </c>
    </row>
    <row r="58" spans="1:16" ht="26.25" thickBot="1">
      <c r="A58" s="344" t="s">
        <v>16516</v>
      </c>
      <c r="B58" s="345"/>
      <c r="C58" s="637"/>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2"/>
    </row>
    <row r="59" spans="1:16" ht="15.75" thickTop="1">
      <c r="A59" s="634"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5"/>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5"/>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5"/>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5"/>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5"/>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6" t="s">
        <v>16513</v>
      </c>
      <c r="D74" s="638" t="s">
        <v>103</v>
      </c>
      <c r="E74" s="639"/>
      <c r="F74" s="640"/>
      <c r="G74" s="638" t="s">
        <v>16524</v>
      </c>
      <c r="H74" s="639"/>
      <c r="I74" s="640" t="s">
        <v>16525</v>
      </c>
      <c r="J74" s="638" t="s">
        <v>5086</v>
      </c>
      <c r="K74" s="639"/>
      <c r="L74" s="640" t="s">
        <v>16526</v>
      </c>
      <c r="M74" s="638" t="s">
        <v>5164</v>
      </c>
      <c r="N74" s="639"/>
      <c r="O74" s="640" t="s">
        <v>16527</v>
      </c>
      <c r="P74" s="641" t="s">
        <v>16515</v>
      </c>
    </row>
    <row r="75" spans="1:16" ht="26.25" thickBot="1">
      <c r="A75" s="344" t="s">
        <v>16516</v>
      </c>
      <c r="B75" s="345"/>
      <c r="C75" s="637"/>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2"/>
    </row>
    <row r="76" spans="1:16" ht="15.75" thickTop="1">
      <c r="A76" s="634"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5"/>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5"/>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5"/>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5"/>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5"/>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6" t="s">
        <v>16513</v>
      </c>
      <c r="D91" s="638" t="s">
        <v>103</v>
      </c>
      <c r="E91" s="639"/>
      <c r="F91" s="640"/>
      <c r="G91" s="551" t="s">
        <v>16524</v>
      </c>
      <c r="H91" s="552"/>
      <c r="I91" s="553" t="s">
        <v>16525</v>
      </c>
      <c r="J91" s="551" t="s">
        <v>5086</v>
      </c>
      <c r="K91" s="552"/>
      <c r="L91" s="553" t="s">
        <v>16526</v>
      </c>
      <c r="M91" s="638" t="s">
        <v>5164</v>
      </c>
      <c r="N91" s="639"/>
      <c r="O91" s="640" t="s">
        <v>16527</v>
      </c>
      <c r="P91" s="641" t="s">
        <v>16515</v>
      </c>
    </row>
    <row r="92" spans="1:16" ht="26.25" thickBot="1">
      <c r="A92" s="344" t="s">
        <v>16516</v>
      </c>
      <c r="B92" s="345"/>
      <c r="C92" s="637"/>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2"/>
    </row>
    <row r="93" spans="1:16" ht="15.75" thickTop="1">
      <c r="A93" s="634"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5"/>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5"/>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5"/>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5"/>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5"/>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6" t="s">
        <v>16513</v>
      </c>
      <c r="D108" s="638" t="s">
        <v>103</v>
      </c>
      <c r="E108" s="639"/>
      <c r="F108" s="640"/>
      <c r="G108" s="638" t="s">
        <v>16524</v>
      </c>
      <c r="H108" s="639"/>
      <c r="I108" s="640" t="s">
        <v>16525</v>
      </c>
      <c r="J108" s="638" t="s">
        <v>5086</v>
      </c>
      <c r="K108" s="639"/>
      <c r="L108" s="640" t="s">
        <v>16526</v>
      </c>
      <c r="M108" s="638" t="s">
        <v>5164</v>
      </c>
      <c r="N108" s="639"/>
      <c r="O108" s="640" t="s">
        <v>16527</v>
      </c>
      <c r="P108" s="641" t="s">
        <v>16515</v>
      </c>
    </row>
    <row r="109" spans="1:16" ht="26.25" thickBot="1">
      <c r="A109" s="344" t="s">
        <v>16516</v>
      </c>
      <c r="B109" s="345"/>
      <c r="C109" s="637"/>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2"/>
    </row>
    <row r="110" spans="1:16" ht="15.75" thickTop="1">
      <c r="A110" s="634"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5"/>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5"/>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5"/>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5"/>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5"/>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6" t="s">
        <v>16513</v>
      </c>
      <c r="D125" s="638" t="s">
        <v>103</v>
      </c>
      <c r="E125" s="639"/>
      <c r="F125" s="640"/>
      <c r="G125" s="638" t="s">
        <v>16524</v>
      </c>
      <c r="H125" s="639"/>
      <c r="I125" s="640" t="s">
        <v>16525</v>
      </c>
      <c r="J125" s="638" t="s">
        <v>5086</v>
      </c>
      <c r="K125" s="639"/>
      <c r="L125" s="640" t="s">
        <v>16526</v>
      </c>
      <c r="M125" s="638" t="s">
        <v>5164</v>
      </c>
      <c r="N125" s="639"/>
      <c r="O125" s="640" t="s">
        <v>16527</v>
      </c>
      <c r="P125" s="641" t="s">
        <v>16515</v>
      </c>
    </row>
    <row r="126" spans="1:16" ht="26.25" thickBot="1">
      <c r="A126" s="344" t="s">
        <v>16516</v>
      </c>
      <c r="B126" s="345"/>
      <c r="C126" s="637"/>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2"/>
    </row>
    <row r="127" spans="1:16" ht="15.75" thickTop="1">
      <c r="A127" s="634"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5"/>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5"/>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5"/>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5"/>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5"/>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1" t="s">
        <v>16323</v>
      </c>
      <c r="C5" s="652"/>
      <c r="D5" s="653"/>
      <c r="E5" s="59">
        <v>3.7310066730958975</v>
      </c>
      <c r="F5" s="65" t="s">
        <v>16540</v>
      </c>
      <c r="I5" s="548" t="s">
        <v>16323</v>
      </c>
      <c r="J5" s="111">
        <v>3.7310066730958975</v>
      </c>
      <c r="K5" s="544"/>
    </row>
    <row r="6" spans="1:11">
      <c r="B6" s="645" t="s">
        <v>16324</v>
      </c>
      <c r="C6" s="646"/>
      <c r="D6" s="647"/>
      <c r="E6" s="60">
        <v>2.6336517692441621</v>
      </c>
      <c r="F6" s="65" t="s">
        <v>16540</v>
      </c>
      <c r="I6" s="546" t="s">
        <v>16324</v>
      </c>
      <c r="J6" s="112">
        <v>2.6336517692441621</v>
      </c>
      <c r="K6" s="544"/>
    </row>
    <row r="7" spans="1:11">
      <c r="B7" s="645" t="s">
        <v>16325</v>
      </c>
      <c r="C7" s="646"/>
      <c r="D7" s="647"/>
      <c r="E7" s="60">
        <v>1.8655033365479488</v>
      </c>
      <c r="F7" s="65" t="s">
        <v>16540</v>
      </c>
      <c r="I7" s="546" t="s">
        <v>16325</v>
      </c>
      <c r="J7" s="112">
        <v>1.8655033365479488</v>
      </c>
      <c r="K7" s="544"/>
    </row>
    <row r="8" spans="1:11">
      <c r="B8" s="645" t="s">
        <v>16326</v>
      </c>
      <c r="C8" s="646"/>
      <c r="D8" s="647"/>
      <c r="E8" s="60">
        <v>0.87788392308138752</v>
      </c>
      <c r="F8" s="65" t="s">
        <v>16540</v>
      </c>
      <c r="I8" s="546" t="s">
        <v>16326</v>
      </c>
      <c r="J8" s="112">
        <v>0.87788392308138752</v>
      </c>
      <c r="K8" s="544"/>
    </row>
    <row r="9" spans="1:11">
      <c r="B9" s="645" t="s">
        <v>16327</v>
      </c>
      <c r="C9" s="646"/>
      <c r="D9" s="647"/>
      <c r="E9" s="60">
        <v>0.87788392308138752</v>
      </c>
      <c r="F9" s="65" t="s">
        <v>16540</v>
      </c>
      <c r="I9" s="546" t="s">
        <v>16327</v>
      </c>
      <c r="J9" s="112">
        <v>0.87788392308138752</v>
      </c>
      <c r="K9" s="544"/>
    </row>
    <row r="10" spans="1:11">
      <c r="B10" s="645" t="s">
        <v>16328</v>
      </c>
      <c r="C10" s="646"/>
      <c r="D10" s="647"/>
      <c r="E10" s="60">
        <v>0.54867745192586725</v>
      </c>
      <c r="F10" s="65" t="s">
        <v>16540</v>
      </c>
      <c r="I10" s="546" t="s">
        <v>16328</v>
      </c>
      <c r="J10" s="112">
        <v>0.54867745192586725</v>
      </c>
      <c r="K10" s="544"/>
    </row>
    <row r="11" spans="1:11" ht="15.75" thickBot="1">
      <c r="B11" s="648" t="s">
        <v>16329</v>
      </c>
      <c r="C11" s="649"/>
      <c r="D11" s="650"/>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4" t="s">
        <v>16544</v>
      </c>
      <c r="C18" s="655"/>
      <c r="D18" s="656"/>
      <c r="E18" s="84">
        <v>7.03</v>
      </c>
      <c r="F18" s="52" t="s">
        <v>16545</v>
      </c>
      <c r="G18" s="56"/>
      <c r="I18" s="102" t="s">
        <v>16544</v>
      </c>
      <c r="J18" s="103">
        <v>7.03</v>
      </c>
    </row>
    <row r="19" spans="2:10">
      <c r="B19" s="657" t="s">
        <v>16546</v>
      </c>
      <c r="C19" s="658"/>
      <c r="D19" s="659"/>
      <c r="E19" s="85">
        <v>2.99</v>
      </c>
      <c r="F19" s="52" t="s">
        <v>16545</v>
      </c>
      <c r="G19" s="56"/>
      <c r="I19" s="102" t="s">
        <v>16546</v>
      </c>
      <c r="J19" s="103">
        <v>2.99</v>
      </c>
    </row>
    <row r="20" spans="2:10" ht="25.5">
      <c r="B20" s="657" t="s">
        <v>16547</v>
      </c>
      <c r="C20" s="658"/>
      <c r="D20" s="659"/>
      <c r="E20" s="85">
        <v>2.97</v>
      </c>
      <c r="F20" s="52" t="s">
        <v>16548</v>
      </c>
      <c r="G20" s="56"/>
      <c r="I20" s="102" t="s">
        <v>16547</v>
      </c>
      <c r="J20" s="103">
        <v>2.97</v>
      </c>
    </row>
    <row r="21" spans="2:10">
      <c r="B21" s="657" t="s">
        <v>16549</v>
      </c>
      <c r="C21" s="658"/>
      <c r="D21" s="659"/>
      <c r="E21" s="85">
        <v>1.81</v>
      </c>
      <c r="F21" s="52" t="s">
        <v>16545</v>
      </c>
      <c r="G21" s="56"/>
      <c r="I21" s="102" t="s">
        <v>16549</v>
      </c>
      <c r="J21" s="103">
        <v>1.81</v>
      </c>
    </row>
    <row r="22" spans="2:10" ht="15.75" thickBot="1">
      <c r="B22" s="660" t="s">
        <v>16550</v>
      </c>
      <c r="C22" s="661"/>
      <c r="D22" s="662"/>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6" t="s">
        <v>16566</v>
      </c>
      <c r="J9" s="667"/>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8" t="s">
        <v>16579</v>
      </c>
      <c r="C24" s="520" t="s">
        <v>16414</v>
      </c>
      <c r="D24" s="41" t="s">
        <v>16580</v>
      </c>
      <c r="E24" s="179" t="s">
        <v>16581</v>
      </c>
      <c r="F24" s="182" t="s">
        <v>16580</v>
      </c>
      <c r="G24" s="179" t="s">
        <v>16581</v>
      </c>
      <c r="I24" s="204">
        <f t="shared" si="1"/>
        <v>13</v>
      </c>
      <c r="J24" s="203">
        <f t="shared" si="0"/>
        <v>0.82402701664571065</v>
      </c>
    </row>
    <row r="25" spans="1:15">
      <c r="B25" s="669"/>
      <c r="C25" s="179" t="s">
        <v>16582</v>
      </c>
      <c r="D25" s="211">
        <v>0.16</v>
      </c>
      <c r="E25" s="212">
        <v>0.04</v>
      </c>
      <c r="F25" s="211">
        <v>0.15</v>
      </c>
      <c r="G25" s="212">
        <v>0.15</v>
      </c>
      <c r="I25" s="204">
        <f t="shared" si="1"/>
        <v>14</v>
      </c>
      <c r="J25" s="203">
        <f t="shared" si="0"/>
        <v>0.81184927748345892</v>
      </c>
    </row>
    <row r="26" spans="1:15">
      <c r="B26" s="670"/>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71" t="s">
        <v>16587</v>
      </c>
      <c r="C33" s="520" t="s">
        <v>16414</v>
      </c>
      <c r="D33" s="125" t="s">
        <v>16580</v>
      </c>
      <c r="E33" s="156" t="s">
        <v>16581</v>
      </c>
      <c r="F33" s="126" t="s">
        <v>16580</v>
      </c>
      <c r="G33" s="156" t="s">
        <v>16581</v>
      </c>
      <c r="I33" s="204">
        <f t="shared" si="1"/>
        <v>22</v>
      </c>
      <c r="J33" s="203">
        <f t="shared" si="0"/>
        <v>0.72068763447186091</v>
      </c>
    </row>
    <row r="34" spans="2:10">
      <c r="B34" s="672"/>
      <c r="C34" s="487" t="s">
        <v>16582</v>
      </c>
      <c r="D34" s="216">
        <v>1.81</v>
      </c>
      <c r="E34" s="485">
        <v>1.55</v>
      </c>
      <c r="F34" s="487">
        <v>0.68</v>
      </c>
      <c r="G34" s="485">
        <v>0.64</v>
      </c>
      <c r="I34" s="204">
        <f t="shared" si="1"/>
        <v>23</v>
      </c>
      <c r="J34" s="203">
        <f t="shared" si="0"/>
        <v>0.71003707829740004</v>
      </c>
    </row>
    <row r="35" spans="2:10">
      <c r="B35" s="673"/>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71" t="s">
        <v>16588</v>
      </c>
      <c r="C41" s="520" t="s">
        <v>16414</v>
      </c>
      <c r="D41" s="125" t="s">
        <v>16580</v>
      </c>
      <c r="E41" s="156" t="s">
        <v>16581</v>
      </c>
      <c r="F41" s="126" t="s">
        <v>16580</v>
      </c>
      <c r="G41" s="156" t="s">
        <v>16581</v>
      </c>
      <c r="I41" s="591">
        <f t="shared" si="2"/>
        <v>30</v>
      </c>
      <c r="J41" s="592">
        <f>((1/(1+$C$5))^(I41))</f>
        <v>0.68077385124959755</v>
      </c>
    </row>
    <row r="42" spans="2:10">
      <c r="B42" s="672"/>
      <c r="C42" s="487" t="s">
        <v>16582</v>
      </c>
      <c r="D42" s="464">
        <f>D34*$D$20</f>
        <v>1.81</v>
      </c>
      <c r="E42" s="488">
        <f>E34*$D$20</f>
        <v>1.55</v>
      </c>
      <c r="F42" s="489">
        <f>F34*$F$20</f>
        <v>0.68</v>
      </c>
      <c r="G42" s="488">
        <f>G34*$F$20</f>
        <v>0.64</v>
      </c>
      <c r="I42" s="204">
        <f t="shared" si="2"/>
        <v>31</v>
      </c>
      <c r="J42" s="203">
        <f t="shared" ref="J42:J105" si="3">((1/(1+$C$5))^(I42))</f>
        <v>0.67210371334741592</v>
      </c>
    </row>
    <row r="43" spans="2:10">
      <c r="B43" s="673"/>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71" t="s">
        <v>16589</v>
      </c>
      <c r="C49" s="519" t="s">
        <v>16414</v>
      </c>
      <c r="D49" s="125" t="s">
        <v>16580</v>
      </c>
      <c r="E49" s="126" t="s">
        <v>16581</v>
      </c>
      <c r="F49" s="125" t="s">
        <v>16580</v>
      </c>
      <c r="G49" s="156" t="s">
        <v>16581</v>
      </c>
      <c r="I49" s="204">
        <f t="shared" si="6"/>
        <v>38</v>
      </c>
      <c r="J49" s="203">
        <f t="shared" si="3"/>
        <v>0.61442700724925392</v>
      </c>
    </row>
    <row r="50" spans="1:10">
      <c r="B50" s="672"/>
      <c r="C50" s="485" t="s">
        <v>16582</v>
      </c>
      <c r="D50" s="216">
        <v>6.12</v>
      </c>
      <c r="E50" s="485">
        <v>4.45</v>
      </c>
      <c r="F50" s="216">
        <v>2.5499999999999998</v>
      </c>
      <c r="G50" s="485">
        <v>2.5299999999999998</v>
      </c>
      <c r="I50" s="204">
        <f t="shared" si="6"/>
        <v>39</v>
      </c>
      <c r="J50" s="203">
        <f t="shared" si="3"/>
        <v>0.6066018434685102</v>
      </c>
    </row>
    <row r="51" spans="1:10">
      <c r="B51" s="673"/>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4" t="s">
        <v>16591</v>
      </c>
      <c r="C58" s="126" t="s">
        <v>16414</v>
      </c>
      <c r="D58" s="126" t="s">
        <v>16580</v>
      </c>
      <c r="E58" s="156" t="s">
        <v>16581</v>
      </c>
      <c r="I58" s="204">
        <f t="shared" si="6"/>
        <v>47</v>
      </c>
      <c r="J58" s="203">
        <f t="shared" si="3"/>
        <v>0.54748365347773409</v>
      </c>
    </row>
    <row r="59" spans="1:10">
      <c r="B59" s="672"/>
      <c r="C59" s="485" t="s">
        <v>16582</v>
      </c>
      <c r="D59" s="296">
        <v>4.1948717173378899E-4</v>
      </c>
      <c r="E59" s="296">
        <v>3.1919321122592001E-4</v>
      </c>
      <c r="I59" s="204">
        <f t="shared" si="6"/>
        <v>48</v>
      </c>
      <c r="J59" s="203">
        <f t="shared" si="3"/>
        <v>0.54051106079349798</v>
      </c>
    </row>
    <row r="60" spans="1:10">
      <c r="B60" s="672"/>
      <c r="C60" s="179" t="s">
        <v>16583</v>
      </c>
      <c r="D60" s="297">
        <v>1.18334298674454E-3</v>
      </c>
      <c r="E60" s="297">
        <v>7.1164006327974899E-4</v>
      </c>
      <c r="I60" s="204">
        <f t="shared" si="6"/>
        <v>49</v>
      </c>
      <c r="J60" s="203">
        <f t="shared" si="3"/>
        <v>0.53362726902310009</v>
      </c>
    </row>
    <row r="61" spans="1:10">
      <c r="B61" s="673"/>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3" t="s">
        <v>16592</v>
      </c>
      <c r="C66" s="126" t="s">
        <v>16414</v>
      </c>
      <c r="D66" s="126" t="s">
        <v>16580</v>
      </c>
      <c r="E66" s="156" t="s">
        <v>16581</v>
      </c>
      <c r="I66" s="204">
        <f t="shared" si="6"/>
        <v>55</v>
      </c>
      <c r="J66" s="203">
        <f t="shared" si="3"/>
        <v>0.49412700283178007</v>
      </c>
    </row>
    <row r="67" spans="2:10">
      <c r="B67" s="664"/>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3" t="s">
        <v>16593</v>
      </c>
      <c r="C75" s="126" t="s">
        <v>16414</v>
      </c>
      <c r="D75" s="217" t="s">
        <v>16580</v>
      </c>
      <c r="E75" s="218" t="s">
        <v>16581</v>
      </c>
      <c r="F75" s="208"/>
      <c r="G75" s="208"/>
      <c r="I75" s="204">
        <f t="shared" si="6"/>
        <v>64</v>
      </c>
      <c r="J75" s="203">
        <f t="shared" si="3"/>
        <v>0.44029063436432159</v>
      </c>
    </row>
    <row r="76" spans="2:10">
      <c r="B76" s="665"/>
      <c r="C76" s="485" t="s">
        <v>16582</v>
      </c>
      <c r="D76" s="219">
        <v>81.658210084358899</v>
      </c>
      <c r="E76" s="490">
        <v>82.812420791846293</v>
      </c>
      <c r="F76" s="220"/>
      <c r="G76" s="220"/>
      <c r="I76" s="204">
        <f t="shared" si="6"/>
        <v>65</v>
      </c>
      <c r="J76" s="203">
        <f t="shared" si="3"/>
        <v>0.43468322081579785</v>
      </c>
    </row>
    <row r="77" spans="2:10">
      <c r="B77" s="665"/>
      <c r="C77" s="179" t="s">
        <v>16583</v>
      </c>
      <c r="D77" s="221">
        <v>47.237508970106497</v>
      </c>
      <c r="E77" s="203">
        <v>45.877104151250698</v>
      </c>
      <c r="F77" s="220"/>
      <c r="G77" s="220"/>
      <c r="I77" s="204">
        <f t="shared" ref="I77:I111" si="8">I76+1</f>
        <v>66</v>
      </c>
      <c r="J77" s="203">
        <f t="shared" si="3"/>
        <v>0.42914722165642993</v>
      </c>
    </row>
    <row r="78" spans="2:10">
      <c r="B78" s="664"/>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440</v>
      </c>
      <c r="E4" s="120">
        <f>useP</f>
        <v>33</v>
      </c>
      <c r="F4" s="108"/>
    </row>
    <row r="5" spans="1:6">
      <c r="C5" s="120" t="s">
        <v>16598</v>
      </c>
      <c r="D5" s="122">
        <f>use_new</f>
        <v>550</v>
      </c>
      <c r="E5" s="122">
        <f>use_newP</f>
        <v>36</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110</v>
      </c>
      <c r="E12" s="123">
        <f>use_newP-useP</f>
        <v>3</v>
      </c>
    </row>
    <row r="13" spans="1:6">
      <c r="C13" s="123" t="s">
        <v>16603</v>
      </c>
      <c r="D13" s="167">
        <f>D12/(1+return)</f>
        <v>57.894736842105267</v>
      </c>
      <c r="E13" s="167">
        <f>E12/(1+return)</f>
        <v>1.5789473684210527</v>
      </c>
    </row>
    <row r="14" spans="1:6">
      <c r="C14" s="123" t="s">
        <v>16604</v>
      </c>
      <c r="D14" s="123">
        <f>use_new-D12</f>
        <v>440</v>
      </c>
      <c r="E14" s="123">
        <f>use_newP-E12</f>
        <v>33</v>
      </c>
    </row>
    <row r="15" spans="1:6">
      <c r="C15" s="123" t="s">
        <v>16605</v>
      </c>
      <c r="D15" s="123">
        <f>D14/(1+return)</f>
        <v>231.57894736842107</v>
      </c>
      <c r="E15" s="123">
        <f>E14/(1+return)</f>
        <v>17.368421052631579</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134697.19999999998</v>
      </c>
      <c r="E23" s="107">
        <f>E7*E12*scheme_days</f>
        <v>834.90000000000009</v>
      </c>
      <c r="F23" s="41" t="s">
        <v>16611</v>
      </c>
    </row>
    <row r="24" spans="2:6">
      <c r="C24" s="125" t="s">
        <v>16612</v>
      </c>
      <c r="D24" s="107">
        <f>D23*car_share</f>
        <v>32327.327999999994</v>
      </c>
      <c r="E24" s="107">
        <f>E23*car_shareP</f>
        <v>200.376</v>
      </c>
    </row>
    <row r="25" spans="2:6">
      <c r="C25" s="125" t="s">
        <v>16613</v>
      </c>
      <c r="D25" s="107">
        <f>D24/'Input Summary'!D86</f>
        <v>20204.579999999994</v>
      </c>
      <c r="E25" s="107">
        <f>E24/'Input Summary'!D86</f>
        <v>125.235</v>
      </c>
    </row>
    <row r="26" spans="2:6" ht="15.75">
      <c r="C26" s="123" t="s">
        <v>16614</v>
      </c>
      <c r="D26" s="167">
        <f>D23*'Input Summary'!D34</f>
        <v>8081.8319999999985</v>
      </c>
      <c r="E26" s="167">
        <f>E23*'Input Summary'!D56</f>
        <v>50.094000000000001</v>
      </c>
      <c r="F26" s="105"/>
    </row>
    <row r="27" spans="2:6">
      <c r="C27" s="123" t="s">
        <v>16615</v>
      </c>
      <c r="D27" s="167">
        <f>D26/'Input Summary'!D87</f>
        <v>3367.4299999999994</v>
      </c>
      <c r="E27" s="167">
        <f>E26/'Input Summary'!D87</f>
        <v>20.872500000000002</v>
      </c>
    </row>
    <row r="28" spans="2:6" ht="15.75">
      <c r="B28" s="105" t="s">
        <v>16616</v>
      </c>
      <c r="C28" s="125" t="s">
        <v>16617</v>
      </c>
      <c r="D28" s="126"/>
      <c r="E28" s="127">
        <f>SUM(D25:E25,D27:E27)</f>
        <v>23718.117499999997</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1</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On-road segregated cycle lane</v>
      </c>
      <c r="D44" s="496">
        <f>'Input Summary'!E41</f>
        <v>2.99</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57.894736842105267</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41.765726869041082</v>
      </c>
      <c r="E19" s="446">
        <f>E18*E4</f>
        <v>0.77663541698630134</v>
      </c>
      <c r="G19" s="301"/>
      <c r="H19" s="42"/>
    </row>
    <row r="20" spans="2:8">
      <c r="C20" s="134" t="s">
        <v>16638</v>
      </c>
      <c r="D20" s="140">
        <f>'TAG VoT'!F21*D10</f>
        <v>144.50209275358495</v>
      </c>
      <c r="E20" s="140">
        <f>'TAG VoT'!$F$21*E10</f>
        <v>144.50209275358495</v>
      </c>
    </row>
    <row r="21" spans="2:8">
      <c r="C21" s="134" t="s">
        <v>16639</v>
      </c>
      <c r="D21" s="141">
        <f>D19*D20</f>
        <v>6035.2349379510697</v>
      </c>
      <c r="E21" s="142">
        <f>E19*E20</f>
        <v>112.22544306107363</v>
      </c>
    </row>
    <row r="22" spans="2:8">
      <c r="C22" s="138"/>
      <c r="D22" s="149"/>
      <c r="E22" s="143"/>
    </row>
    <row r="23" spans="2:8" ht="15.75">
      <c r="C23" s="144" t="s">
        <v>16523</v>
      </c>
      <c r="D23" s="145">
        <f>D21+E21</f>
        <v>6147.4603810121434</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57.894736842105267</v>
      </c>
      <c r="E7" s="500">
        <f>'General Calculations'!E13</f>
        <v>1.5789473684210527</v>
      </c>
      <c r="F7" s="492"/>
    </row>
    <row r="8" spans="1:6">
      <c r="A8" s="492"/>
      <c r="B8" s="492"/>
      <c r="C8" s="109" t="s">
        <v>16644</v>
      </c>
      <c r="D8" s="499">
        <f>'General Calculations'!D15</f>
        <v>231.57894736842107</v>
      </c>
      <c r="E8" s="500">
        <f>'General Calculations'!E15</f>
        <v>17.368421052631579</v>
      </c>
      <c r="F8" s="492"/>
    </row>
    <row r="9" spans="1:6">
      <c r="A9" s="492"/>
      <c r="B9" s="492"/>
      <c r="C9" s="109" t="s">
        <v>16645</v>
      </c>
      <c r="D9" s="499">
        <f>'General Calculations'!D12</f>
        <v>110</v>
      </c>
      <c r="E9" s="500">
        <f>'General Calculations'!E12</f>
        <v>3</v>
      </c>
      <c r="F9" s="492"/>
    </row>
    <row r="10" spans="1:6">
      <c r="A10" s="492"/>
      <c r="B10" s="492"/>
      <c r="C10" s="151" t="s">
        <v>16646</v>
      </c>
      <c r="D10" s="502">
        <f>'General Calculations'!D14</f>
        <v>440</v>
      </c>
      <c r="E10" s="527">
        <f>'General Calculations'!E14</f>
        <v>33</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0.11284046692607004</v>
      </c>
      <c r="E13" s="503">
        <f>'Input Summary'!D58</f>
        <v>0.52727272727272723</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2.9900000000000003E-2</v>
      </c>
      <c r="E20" s="506">
        <f>SUMPRODUCT('General Calculations'!D35:D41,'General Calculations'!F35:F41)/100</f>
        <v>4.0602131442514171E-2</v>
      </c>
      <c r="F20" s="492"/>
      <c r="G20" s="492"/>
      <c r="H20" s="492"/>
    </row>
    <row r="21" spans="1:8">
      <c r="A21" s="492"/>
      <c r="B21" s="492"/>
      <c r="C21" s="505" t="s">
        <v>16652</v>
      </c>
      <c r="D21" s="499">
        <f>(D20-D19)</f>
        <v>2.9900000000000003E-2</v>
      </c>
      <c r="E21" s="506">
        <f>(E20-E19)</f>
        <v>5.4867745192586775E-3</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0.54614785992217896</v>
      </c>
      <c r="E25" s="508">
        <f>E5*E13</f>
        <v>0.57999999999999996</v>
      </c>
      <c r="F25" s="131" t="s">
        <v>16641</v>
      </c>
      <c r="G25" s="131"/>
      <c r="H25" s="131"/>
    </row>
    <row r="26" spans="1:8">
      <c r="A26" s="492"/>
      <c r="B26" s="492"/>
      <c r="C26" s="109" t="s">
        <v>16657</v>
      </c>
      <c r="D26" s="499">
        <f>60*D25/speed</f>
        <v>2.1845914396887158</v>
      </c>
      <c r="E26" s="499">
        <f>60*E25/speedP</f>
        <v>6.9599999999999991</v>
      </c>
      <c r="F26" s="492" t="s">
        <v>16658</v>
      </c>
      <c r="G26" s="131"/>
      <c r="H26" s="131"/>
    </row>
    <row r="27" spans="1:8">
      <c r="A27" s="492"/>
      <c r="B27" s="492"/>
      <c r="C27" s="151" t="s">
        <v>16659</v>
      </c>
      <c r="D27" s="502">
        <f>D26*scheme_days</f>
        <v>552.70163424124507</v>
      </c>
      <c r="E27" s="502">
        <f>E26*scheme_days</f>
        <v>1760.8799999999997</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16.52577886381323</v>
      </c>
      <c r="E30" s="510">
        <f>E21*E25*scheme_days</f>
        <v>0.80512929295601821</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908.91783750972763</v>
      </c>
      <c r="E35" s="514">
        <f>E9*E30/2</f>
        <v>1.2076939394340274</v>
      </c>
      <c r="F35" s="492"/>
      <c r="G35" s="511"/>
    </row>
    <row r="36" spans="2:7">
      <c r="B36" s="492"/>
      <c r="C36" s="515" t="s">
        <v>16665</v>
      </c>
      <c r="D36" s="516">
        <f>D34+D35</f>
        <v>908.91783750972763</v>
      </c>
      <c r="E36" s="531">
        <f>E35</f>
        <v>1.2076939394340274</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7271.3427000778211</v>
      </c>
      <c r="E41" s="514">
        <f>E30*E10</f>
        <v>26.5692666675486</v>
      </c>
      <c r="F41" s="492"/>
      <c r="G41" s="492"/>
    </row>
    <row r="42" spans="2:7">
      <c r="B42" s="492"/>
      <c r="C42" s="515" t="s">
        <v>16669</v>
      </c>
      <c r="D42" s="516">
        <f>D40+D41</f>
        <v>7271.3427000778211</v>
      </c>
      <c r="E42" s="531">
        <f>E41</f>
        <v>26.5692666675486</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910.12553144916171</v>
      </c>
      <c r="F45" s="492"/>
      <c r="G45" s="492"/>
    </row>
    <row r="46" spans="2:7" ht="15">
      <c r="B46" s="492"/>
      <c r="C46" s="499" t="s">
        <v>16671</v>
      </c>
      <c r="D46" s="492"/>
      <c r="E46" s="239">
        <f>D42+E42</f>
        <v>7297.9119667453697</v>
      </c>
      <c r="F46" s="492"/>
      <c r="G46" s="492"/>
    </row>
    <row r="47" spans="2:7" ht="15">
      <c r="B47" s="492"/>
      <c r="C47" s="499" t="s">
        <v>16672</v>
      </c>
      <c r="D47" s="154">
        <f>D36+D42</f>
        <v>8180.2605375875482</v>
      </c>
      <c r="E47" s="239">
        <f>E36+E42</f>
        <v>27.776960606982627</v>
      </c>
      <c r="F47" s="492"/>
      <c r="G47" s="492"/>
    </row>
    <row r="48" spans="2:7" ht="15">
      <c r="B48" s="492"/>
      <c r="C48" s="155" t="s">
        <v>16673</v>
      </c>
      <c r="D48" s="117"/>
      <c r="E48" s="237">
        <f>D47+E47</f>
        <v>8208.0374981945315</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57.894736842105267</v>
      </c>
      <c r="E3" s="94"/>
      <c r="F3" s="167">
        <f>'General Calculations'!E13</f>
        <v>1.5789473684210527</v>
      </c>
    </row>
    <row r="6" spans="1:7" ht="15.75">
      <c r="A6" s="105" t="s">
        <v>16600</v>
      </c>
    </row>
    <row r="7" spans="1:7" ht="15.75">
      <c r="C7" s="157"/>
      <c r="D7" s="158" t="s">
        <v>16308</v>
      </c>
      <c r="E7" s="158"/>
      <c r="F7" s="158" t="s">
        <v>16319</v>
      </c>
      <c r="G7" s="159"/>
    </row>
    <row r="8" spans="1:7" ht="15" customHeight="1">
      <c r="B8" s="675" t="s">
        <v>16675</v>
      </c>
      <c r="C8" s="125" t="s">
        <v>16414</v>
      </c>
      <c r="D8" s="123" t="s">
        <v>16580</v>
      </c>
      <c r="E8" s="125" t="s">
        <v>16581</v>
      </c>
      <c r="F8" s="156" t="s">
        <v>16580</v>
      </c>
      <c r="G8" s="123" t="s">
        <v>16581</v>
      </c>
    </row>
    <row r="9" spans="1:7">
      <c r="B9" s="675"/>
      <c r="C9" s="125" t="s">
        <v>16582</v>
      </c>
      <c r="D9" s="167">
        <f>'General Calculations'!$D$13*'Health Assumptions'!D25</f>
        <v>9.2631578947368425</v>
      </c>
      <c r="E9" s="299">
        <f>'General Calculations'!$D$13*'Health Assumptions'!E25</f>
        <v>2.3157894736842106</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22.578947368421055</v>
      </c>
      <c r="E10" s="299">
        <f>'General Calculations'!$D$13*'Health Assumptions'!E26</f>
        <v>9.2631578947368425</v>
      </c>
      <c r="F10" s="300">
        <f>'General Calculations'!$E$13*'Health Assumptions'!F26</f>
        <v>0.26842105263157895</v>
      </c>
      <c r="G10" s="167">
        <f>'General Calculations'!$E$13*'Health Assumptions'!G26</f>
        <v>0.37894736842105264</v>
      </c>
    </row>
    <row r="11" spans="1:7">
      <c r="C11" s="125" t="s">
        <v>16584</v>
      </c>
      <c r="D11" s="167">
        <f>'General Calculations'!$D$13*'Health Assumptions'!D27</f>
        <v>7.526315789473685</v>
      </c>
      <c r="E11" s="299">
        <f>'General Calculations'!$D$13*'Health Assumptions'!E27</f>
        <v>2.8947368421052637</v>
      </c>
      <c r="F11" s="300">
        <f>'General Calculations'!$E$13*'Health Assumptions'!F27</f>
        <v>0.11052631578947369</v>
      </c>
      <c r="G11" s="167">
        <f>'General Calculations'!$E$13*'Health Assumptions'!G27</f>
        <v>0.14210526315789473</v>
      </c>
    </row>
    <row r="12" spans="1:7">
      <c r="C12" s="125" t="s">
        <v>16585</v>
      </c>
      <c r="D12" s="167">
        <f>'General Calculations'!$D$13*'Health Assumptions'!D28</f>
        <v>2.8947368421052637</v>
      </c>
      <c r="E12" s="299">
        <f>'General Calculations'!$D$13*'Health Assumptions'!E28</f>
        <v>0.57894736842105265</v>
      </c>
      <c r="F12" s="300">
        <f>'General Calculations'!$E$13*'Health Assumptions'!F28</f>
        <v>7.8947368421052641E-2</v>
      </c>
      <c r="G12" s="167">
        <f>'General Calculations'!$E$13*'Health Assumptions'!G28</f>
        <v>7.8947368421052641E-2</v>
      </c>
    </row>
    <row r="13" spans="1:7">
      <c r="C13" s="125" t="s">
        <v>16586</v>
      </c>
      <c r="D13" s="167">
        <f>'General Calculations'!$D$13*'Health Assumptions'!D29</f>
        <v>0.57894736842105265</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42.842105263157904</v>
      </c>
      <c r="E14" s="299">
        <f>SUM(E9:E13)</f>
        <v>15.05263157894737</v>
      </c>
      <c r="F14" s="300">
        <f>SUM(F9:F13)</f>
        <v>0.71052631578947378</v>
      </c>
      <c r="G14" s="167">
        <f>SUM(G9:G13)</f>
        <v>0.85263157894736852</v>
      </c>
    </row>
    <row r="15" spans="1:7">
      <c r="D15" s="94"/>
      <c r="E15" s="94"/>
      <c r="F15" s="94"/>
      <c r="G15" s="94"/>
    </row>
    <row r="17" spans="2:11" ht="15" customHeight="1">
      <c r="B17" s="676" t="s">
        <v>16676</v>
      </c>
      <c r="C17" s="157"/>
      <c r="D17" s="158" t="s">
        <v>16308</v>
      </c>
      <c r="E17" s="158"/>
      <c r="F17" s="158" t="s">
        <v>16319</v>
      </c>
      <c r="G17" s="159"/>
      <c r="H17" s="235"/>
      <c r="I17" s="235"/>
      <c r="J17" s="235"/>
      <c r="K17" s="235"/>
    </row>
    <row r="18" spans="2:11">
      <c r="B18" s="676"/>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5.7035262225602493E-3</v>
      </c>
      <c r="E72" s="124">
        <f>E64*'Health Assumptions'!E60*E10</f>
        <v>1.2082852331309734E-3</v>
      </c>
      <c r="F72" s="162">
        <f>SUM(D72:E72)</f>
        <v>6.9118114556912229E-3</v>
      </c>
      <c r="G72" s="124">
        <f>F64*'Health Assumptions'!D60*F10</f>
        <v>2.3524747822603488E-5</v>
      </c>
      <c r="H72" s="124">
        <f>G64*'Health Assumptions'!E60*G10</f>
        <v>1.9090342759836842E-5</v>
      </c>
      <c r="I72" s="124">
        <f>SUM(G72:H72)</f>
        <v>4.261509058244033E-5</v>
      </c>
    </row>
    <row r="73" spans="2:12">
      <c r="C73" s="125" t="s">
        <v>16584</v>
      </c>
      <c r="D73" s="124">
        <f>D65*'Health Assumptions'!D61*D11</f>
        <v>1.0736848580163189E-2</v>
      </c>
      <c r="E73" s="124">
        <f>E65*'Health Assumptions'!E61*E11</f>
        <v>2.1330564692171291E-3</v>
      </c>
      <c r="F73" s="162">
        <f>SUM(D73:E73)</f>
        <v>1.2869905049380317E-2</v>
      </c>
      <c r="G73" s="124">
        <f>F65*'Health Assumptions'!D61*F11</f>
        <v>5.4944990455383828E-5</v>
      </c>
      <c r="H73" s="124">
        <f>G65*'Health Assumptions'!E61*G11</f>
        <v>4.7700308444925275E-5</v>
      </c>
      <c r="I73" s="124">
        <f>SUM(G73:H73)</f>
        <v>1.026452989003091E-4</v>
      </c>
    </row>
    <row r="74" spans="2:12">
      <c r="C74" s="125" t="s">
        <v>16585</v>
      </c>
      <c r="D74" s="124">
        <f>D66*'Health Assumptions'!D62*D12</f>
        <v>1.3999883836102636E-2</v>
      </c>
      <c r="E74" s="124">
        <f>E66*'Health Assumptions'!E62*E12</f>
        <v>1.4907151291685895E-3</v>
      </c>
      <c r="F74" s="162">
        <f>SUM(D74:E74)</f>
        <v>1.5490598965271225E-2</v>
      </c>
      <c r="G74" s="124">
        <f>F66*'Health Assumptions'!D62*F12</f>
        <v>1.5557924332934998E-4</v>
      </c>
      <c r="H74" s="124">
        <f>G66*'Health Assumptions'!E62*G12</f>
        <v>1.0425020471319693E-4</v>
      </c>
      <c r="I74" s="124">
        <f>SUM(G74:H74)</f>
        <v>2.5982944804254691E-4</v>
      </c>
    </row>
    <row r="75" spans="2:12">
      <c r="C75" s="125" t="s">
        <v>16586</v>
      </c>
      <c r="D75" s="124">
        <f>D67*'Health Assumptions'!D63*D13</f>
        <v>9.2444514881966592E-3</v>
      </c>
      <c r="E75" s="124">
        <f>E67*'Health Assumptions'!E63*E13</f>
        <v>0</v>
      </c>
      <c r="F75" s="162">
        <f>SUM(D75:E75)</f>
        <v>9.2444514881966592E-3</v>
      </c>
      <c r="G75" s="124">
        <f>F67*'Health Assumptions'!D63*F13</f>
        <v>1.4095138601901837E-4</v>
      </c>
      <c r="H75" s="124">
        <f>G67*'Health Assumptions'!E63*G13</f>
        <v>1.1207577002256147E-4</v>
      </c>
      <c r="I75" s="124">
        <f>SUM(G75:H75)</f>
        <v>2.5302715604157985E-4</v>
      </c>
    </row>
    <row r="76" spans="2:12">
      <c r="C76" s="125" t="s">
        <v>16683</v>
      </c>
      <c r="D76" s="124">
        <f t="shared" ref="D76:I76" si="2">SUM(D71:D75)</f>
        <v>3.9684710127022731E-2</v>
      </c>
      <c r="E76" s="124">
        <f t="shared" si="2"/>
        <v>4.8320568315166918E-3</v>
      </c>
      <c r="F76" s="162">
        <f t="shared" si="2"/>
        <v>4.4516766958539421E-2</v>
      </c>
      <c r="G76" s="124">
        <f t="shared" si="2"/>
        <v>3.7500036762635569E-4</v>
      </c>
      <c r="H76" s="124">
        <f t="shared" si="2"/>
        <v>2.8311662594052048E-4</v>
      </c>
      <c r="I76" s="124">
        <f t="shared" si="2"/>
        <v>6.5811699356687616E-4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0.19872191412749188</v>
      </c>
      <c r="E82" s="124">
        <f>E72*'Health Assumptions'!E93</f>
        <v>4.1428950707505525E-2</v>
      </c>
      <c r="F82" s="162">
        <f>SUM(D82:E82)</f>
        <v>0.2401508648349974</v>
      </c>
      <c r="G82" s="124">
        <f>G72*'Health Assumptions'!D68</f>
        <v>8.1964783438407849E-4</v>
      </c>
      <c r="H82" s="124">
        <f>H72*'Health Assumptions'!E68</f>
        <v>6.54558085707347E-4</v>
      </c>
      <c r="I82" s="124">
        <f>SUM(G82:H82)</f>
        <v>1.4742059200914255E-3</v>
      </c>
    </row>
    <row r="83" spans="3:11">
      <c r="C83" s="125" t="s">
        <v>16584</v>
      </c>
      <c r="D83" s="124">
        <f>D73*'Health Assumptions'!D94</f>
        <v>0.25475016461940303</v>
      </c>
      <c r="E83" s="124">
        <f>E73*'Health Assumptions'!E94</f>
        <v>5.0610426571489113E-2</v>
      </c>
      <c r="F83" s="162">
        <f>SUM(D83:E83)</f>
        <v>0.30536059119089215</v>
      </c>
      <c r="G83" s="124">
        <f>G73*'Health Assumptions'!D69</f>
        <v>1.303664223167038E-3</v>
      </c>
      <c r="H83" s="124">
        <f>H73*'Health Assumptions'!E69</f>
        <v>1.1317717054510534E-3</v>
      </c>
      <c r="I83" s="124">
        <f>SUM(G83:H83)</f>
        <v>2.4354359286180914E-3</v>
      </c>
    </row>
    <row r="84" spans="3:11">
      <c r="C84" s="125" t="s">
        <v>16585</v>
      </c>
      <c r="D84" s="124">
        <f>D74*'Health Assumptions'!D95</f>
        <v>0.21183593892805366</v>
      </c>
      <c r="E84" s="124">
        <f>E74*'Health Assumptions'!E95</f>
        <v>2.1381674443253319E-2</v>
      </c>
      <c r="F84" s="162">
        <f>SUM(D84:E84)</f>
        <v>0.23321761337130698</v>
      </c>
      <c r="G84" s="124">
        <f>G74*'Health Assumptions'!D70</f>
        <v>2.3541106107894541E-3</v>
      </c>
      <c r="H84" s="124">
        <f>H74*'Health Assumptions'!E70</f>
        <v>1.4952849771259014E-3</v>
      </c>
      <c r="I84" s="124">
        <f>SUM(G84:H84)</f>
        <v>3.8493955879153555E-3</v>
      </c>
    </row>
    <row r="85" spans="3:11">
      <c r="C85" s="125" t="s">
        <v>16586</v>
      </c>
      <c r="D85" s="124">
        <f>D75*'Health Assumptions'!D96</f>
        <v>5.3457380925968759E-2</v>
      </c>
      <c r="E85" s="124">
        <f>E75*'Health Assumptions'!E96</f>
        <v>0</v>
      </c>
      <c r="F85" s="162">
        <f>SUM(D85:E85)</f>
        <v>5.3457380925968759E-2</v>
      </c>
      <c r="G85" s="124">
        <f>G75*'Health Assumptions'!D71</f>
        <v>8.1507182379425135E-4</v>
      </c>
      <c r="H85" s="124">
        <f>H75*'Health Assumptions'!E71</f>
        <v>6.4809438811129223E-4</v>
      </c>
      <c r="I85" s="124">
        <f>SUM(G85:H85)</f>
        <v>1.4631662119055436E-3</v>
      </c>
    </row>
    <row r="86" spans="3:11">
      <c r="C86" s="125" t="s">
        <v>16683</v>
      </c>
      <c r="D86" s="124">
        <f t="shared" ref="D86:I86" si="3">SUM(D81:D85)</f>
        <v>0.71876539860091726</v>
      </c>
      <c r="E86" s="124">
        <f t="shared" si="3"/>
        <v>0.11342105172224795</v>
      </c>
      <c r="F86" s="162">
        <f t="shared" si="3"/>
        <v>0.83218645032316529</v>
      </c>
      <c r="G86" s="124">
        <f t="shared" si="3"/>
        <v>5.2924944921348216E-3</v>
      </c>
      <c r="H86" s="124">
        <f t="shared" si="3"/>
        <v>3.9297091563955944E-3</v>
      </c>
      <c r="I86" s="124">
        <f t="shared" si="3"/>
        <v>9.2222036485304151E-3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23.718117499999998</v>
      </c>
      <c r="H18" s="94">
        <f>IF(H4&lt;opening,0,'General Calculations'!$E$28/1000)</f>
        <v>23.718117499999998</v>
      </c>
      <c r="I18" s="94">
        <f>IF(I4&lt;opening,0,'General Calculations'!$E$28/1000)</f>
        <v>23.718117499999998</v>
      </c>
      <c r="J18" s="94">
        <f>IF(J4&lt;opening,0,'General Calculations'!$E$28/1000)</f>
        <v>23.718117499999998</v>
      </c>
      <c r="K18" s="94">
        <f>IF(K4&lt;opening,0,'General Calculations'!$E$28/1000)</f>
        <v>23.718117499999998</v>
      </c>
      <c r="L18" s="94">
        <f>IF(L4&lt;opening,0,'General Calculations'!$E$28/1000)</f>
        <v>23.718117499999998</v>
      </c>
      <c r="M18" s="94">
        <f>IF(M4&lt;opening,0,'General Calculations'!$E$28/1000)</f>
        <v>23.718117499999998</v>
      </c>
      <c r="N18" s="94">
        <f>IF(N4&lt;opening,0,'General Calculations'!$E$28/1000)</f>
        <v>23.718117499999998</v>
      </c>
      <c r="O18" s="94">
        <f>IF(O4&lt;opening,0,'General Calculations'!$E$28/1000)</f>
        <v>23.718117499999998</v>
      </c>
      <c r="P18" s="94">
        <f>IF(P4&lt;opening,0,'General Calculations'!$E$28/1000)</f>
        <v>23.718117499999998</v>
      </c>
      <c r="Q18" s="94">
        <f>IF(Q4&lt;opening,0,'General Calculations'!$E$28/1000)</f>
        <v>23.718117499999998</v>
      </c>
      <c r="R18" s="94">
        <f>IF(R4&lt;opening,0,'General Calculations'!$E$28/1000)</f>
        <v>23.718117499999998</v>
      </c>
      <c r="S18" s="94">
        <f>IF(S4&lt;opening,0,'General Calculations'!$E$28/1000)</f>
        <v>23.718117499999998</v>
      </c>
      <c r="T18" s="94">
        <f>IF(T4&lt;opening,0,'General Calculations'!$E$28/1000)</f>
        <v>23.718117499999998</v>
      </c>
      <c r="U18" s="94">
        <f>IF(U4&lt;opening,0,'General Calculations'!$E$28/1000)</f>
        <v>23.718117499999998</v>
      </c>
      <c r="V18" s="94">
        <f>IF(V4&lt;opening,0,'General Calculations'!$E$28/1000)</f>
        <v>23.718117499999998</v>
      </c>
      <c r="W18" s="94">
        <f>IF(W4&lt;opening,0,'General Calculations'!$E$28/1000)</f>
        <v>23.718117499999998</v>
      </c>
      <c r="X18" s="94">
        <f>IF(X4&lt;opening,0,'General Calculations'!$E$28/1000)</f>
        <v>23.718117499999998</v>
      </c>
      <c r="Y18" s="94">
        <f>IF(Y4&lt;opening,0,'General Calculations'!$E$28/1000)</f>
        <v>23.718117499999998</v>
      </c>
      <c r="Z18" s="94">
        <f>IF(Z4&lt;opening,0,'General Calculations'!$E$28/1000)</f>
        <v>23.718117499999998</v>
      </c>
      <c r="AA18" s="94">
        <f>IF(AA4&lt;opening,0,'General Calculations'!$E$28/1000)</f>
        <v>23.718117499999998</v>
      </c>
      <c r="AB18" s="94">
        <f>IF(AB4&lt;opening,0,'General Calculations'!$E$28/1000)</f>
        <v>23.718117499999998</v>
      </c>
      <c r="AC18" s="94">
        <f>IF(AC4&lt;opening,0,'General Calculations'!$E$28/1000)</f>
        <v>23.718117499999998</v>
      </c>
      <c r="AD18" s="94">
        <f>IF(AD4&lt;opening,0,'General Calculations'!$E$28/1000)</f>
        <v>23.718117499999998</v>
      </c>
      <c r="AE18" s="94">
        <f>IF(AE4&lt;opening,0,'General Calculations'!$E$28/1000)</f>
        <v>23.718117499999998</v>
      </c>
      <c r="AF18" s="94">
        <f>IF(AF4&lt;opening,0,'General Calculations'!$E$28/1000)</f>
        <v>23.718117499999998</v>
      </c>
      <c r="AG18" s="94">
        <f>IF(AG4&lt;opening,0,'General Calculations'!$E$28/1000)</f>
        <v>23.718117499999998</v>
      </c>
      <c r="AH18" s="94">
        <f>IF(AH4&lt;opening,0,'General Calculations'!$E$28/1000)</f>
        <v>23.718117499999998</v>
      </c>
      <c r="AI18" s="94">
        <f>IF(AI4&lt;opening,0,'General Calculations'!$E$28/1000)</f>
        <v>23.718117499999998</v>
      </c>
      <c r="AJ18" s="94">
        <f>IF(AJ4&lt;opening,0,'General Calculations'!$E$28/1000)</f>
        <v>23.718117499999998</v>
      </c>
      <c r="AK18" s="94">
        <f>IF(AK4&lt;opening,0,'General Calculations'!$E$28/1000)</f>
        <v>23.718117499999998</v>
      </c>
      <c r="AL18" s="94">
        <f>IF(AL4&lt;opening,0,'General Calculations'!$E$28/1000)</f>
        <v>23.718117499999998</v>
      </c>
      <c r="AM18" s="94">
        <f>IF(AM4&lt;opening,0,'General Calculations'!$E$28/1000)</f>
        <v>23.718117499999998</v>
      </c>
      <c r="AN18" s="94">
        <f>IF(AN4&lt;opening,0,'General Calculations'!$E$28/1000)</f>
        <v>23.718117499999998</v>
      </c>
      <c r="AO18" s="94">
        <f>IF(AO4&lt;opening,0,'General Calculations'!$E$28/1000)</f>
        <v>23.718117499999998</v>
      </c>
      <c r="AP18" s="94">
        <f>IF(AP4&lt;opening,0,'General Calculations'!$E$28/1000)</f>
        <v>23.718117499999998</v>
      </c>
      <c r="AQ18" s="94">
        <f>IF(AQ4&lt;opening,0,'General Calculations'!$E$28/1000)</f>
        <v>23.718117499999998</v>
      </c>
      <c r="AR18" s="94">
        <f>IF(AR4&lt;opening,0,'General Calculations'!$E$28/1000)</f>
        <v>23.718117499999998</v>
      </c>
      <c r="AS18" s="94">
        <f>IF(AS4&lt;opening,0,'General Calculations'!$E$28/1000)</f>
        <v>23.718117499999998</v>
      </c>
      <c r="AT18" s="94">
        <f>IF(AT4&lt;opening,0,'General Calculations'!$E$28/1000)</f>
        <v>23.718117499999998</v>
      </c>
      <c r="AU18" s="94">
        <f>IF(AU4&lt;opening,0,'General Calculations'!$E$28/1000)</f>
        <v>23.718117499999998</v>
      </c>
      <c r="AV18" s="94">
        <f>IF(AV4&lt;opening,0,'General Calculations'!$E$28/1000)</f>
        <v>23.718117499999998</v>
      </c>
      <c r="AW18" s="94">
        <f>IF(AW4&lt;opening,0,'General Calculations'!$E$28/1000)</f>
        <v>23.718117499999998</v>
      </c>
      <c r="AX18" s="94">
        <f>IF(AX4&lt;opening,0,'General Calculations'!$E$28/1000)</f>
        <v>23.718117499999998</v>
      </c>
      <c r="AY18" s="94">
        <f>IF(AY4&lt;opening,0,'General Calculations'!$E$28/1000)</f>
        <v>23.718117499999998</v>
      </c>
      <c r="AZ18" s="94">
        <f>IF(AZ4&lt;opening,0,'General Calculations'!$E$28/1000)</f>
        <v>23.718117499999998</v>
      </c>
      <c r="BA18" s="94">
        <f>IF(BA4&lt;opening,0,'General Calculations'!$E$28/1000)</f>
        <v>23.718117499999998</v>
      </c>
      <c r="BB18" s="94">
        <f>IF(BB4&lt;opening,0,'General Calculations'!$E$28/1000)</f>
        <v>23.718117499999998</v>
      </c>
      <c r="BC18" s="94">
        <f>IF(BC4&lt;opening,0,'General Calculations'!$E$28/1000)</f>
        <v>23.718117499999998</v>
      </c>
      <c r="BD18" s="94">
        <f>IF(BD4&lt;opening,0,'General Calculations'!$E$28/1000)</f>
        <v>23.718117499999998</v>
      </c>
      <c r="BE18" s="94">
        <f>IF(BE4&lt;opening,0,'General Calculations'!$E$28/1000)</f>
        <v>23.718117499999998</v>
      </c>
      <c r="BF18" s="94">
        <f>IF(BF4&lt;opening,0,'General Calculations'!$E$28/1000)</f>
        <v>23.718117499999998</v>
      </c>
      <c r="BG18" s="94">
        <f>IF(BG4&lt;opening,0,'General Calculations'!$E$28/1000)</f>
        <v>23.718117499999998</v>
      </c>
      <c r="BH18" s="94">
        <f>IF(BH4&lt;opening,0,'General Calculations'!$E$28/1000)</f>
        <v>23.718117499999998</v>
      </c>
      <c r="BI18" s="94">
        <f>IF(BI4&lt;opening,0,'General Calculations'!$E$28/1000)</f>
        <v>23.718117499999998</v>
      </c>
      <c r="BJ18" s="94">
        <f>IF(BJ4&lt;opening,0,'General Calculations'!$E$28/1000)</f>
        <v>23.718117499999998</v>
      </c>
      <c r="BK18" s="94">
        <f>IF(BK4&lt;opening,0,'General Calculations'!$E$28/1000)</f>
        <v>23.718117499999998</v>
      </c>
      <c r="BL18" s="94">
        <f>IF(BL4&lt;opening,0,'General Calculations'!$E$28/1000)</f>
        <v>23.718117499999998</v>
      </c>
      <c r="BM18" s="94">
        <f>IF(BM4&lt;opening,0,'General Calculations'!$E$28/1000)</f>
        <v>23.718117499999998</v>
      </c>
      <c r="BN18" s="376">
        <f>IF(BN4&lt;opening,0,'General Calculations'!$E$28/1000)</f>
        <v>23.718117499999998</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52.283117864696877</v>
      </c>
      <c r="C19" s="42">
        <f>IFERROR(C$18*HLOOKUP(C$4,mecc2,2)/100*C$7*C$9*C$11*C$12,0)</f>
        <v>0</v>
      </c>
      <c r="D19" s="42">
        <f t="shared" ref="D19:AH19" si="19">IFERROR(D$18*HLOOKUP(D$4,mecc2,2)/100*D$7*D$9*D$11*D$12,0)</f>
        <v>0</v>
      </c>
      <c r="E19" s="42">
        <f t="shared" si="19"/>
        <v>0</v>
      </c>
      <c r="F19" s="42">
        <f t="shared" si="19"/>
        <v>0</v>
      </c>
      <c r="G19" s="42">
        <f t="shared" si="19"/>
        <v>2.650010773234166</v>
      </c>
      <c r="H19" s="42">
        <f t="shared" si="19"/>
        <v>2.6418347240551245</v>
      </c>
      <c r="I19" s="42">
        <f t="shared" si="19"/>
        <v>2.6336839003509573</v>
      </c>
      <c r="J19" s="42">
        <f t="shared" si="19"/>
        <v>2.6255582242937847</v>
      </c>
      <c r="K19" s="42">
        <f t="shared" si="19"/>
        <v>2.6174576182958447</v>
      </c>
      <c r="L19" s="42">
        <f t="shared" si="19"/>
        <v>2.6504500689881683</v>
      </c>
      <c r="M19" s="42">
        <f t="shared" si="19"/>
        <v>2.6838583819260098</v>
      </c>
      <c r="N19" s="42">
        <f t="shared" si="19"/>
        <v>2.7176877989572303</v>
      </c>
      <c r="O19" s="42">
        <f t="shared" si="19"/>
        <v>2.7519436280019831</v>
      </c>
      <c r="P19" s="42">
        <f t="shared" si="19"/>
        <v>2.7866312438855312</v>
      </c>
      <c r="Q19" s="42">
        <f t="shared" si="19"/>
        <v>2.7323461599373826</v>
      </c>
      <c r="R19" s="42">
        <f t="shared" si="19"/>
        <v>2.6791185787879006</v>
      </c>
      <c r="S19" s="42">
        <f t="shared" si="19"/>
        <v>2.6269278997105516</v>
      </c>
      <c r="T19" s="42">
        <f t="shared" si="19"/>
        <v>2.5757539232920985</v>
      </c>
      <c r="U19" s="42">
        <f t="shared" si="19"/>
        <v>2.5255768436148043</v>
      </c>
      <c r="V19" s="42">
        <f t="shared" si="19"/>
        <v>2.5091954523647706</v>
      </c>
      <c r="W19" s="42">
        <f t="shared" si="19"/>
        <v>2.4929203140604606</v>
      </c>
      <c r="X19" s="42">
        <f t="shared" si="19"/>
        <v>2.476750739524241</v>
      </c>
      <c r="Y19" s="42">
        <f t="shared" si="19"/>
        <v>2.4606860440486176</v>
      </c>
      <c r="Z19" s="42">
        <f t="shared" si="19"/>
        <v>2.4447255473672471</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0.28687522156218803</v>
      </c>
      <c r="C20" s="42">
        <f t="shared" ref="C20:AH20" si="22">IFERROR(C$18*HLOOKUP(C$4,mecc2,3)/100*C$7*C$9*C$11*C$12,0)</f>
        <v>0</v>
      </c>
      <c r="D20" s="42">
        <f t="shared" si="22"/>
        <v>0</v>
      </c>
      <c r="E20" s="42">
        <f t="shared" si="22"/>
        <v>0</v>
      </c>
      <c r="F20" s="42">
        <f t="shared" si="22"/>
        <v>0</v>
      </c>
      <c r="G20" s="42">
        <f t="shared" si="22"/>
        <v>1.5854552313059954E-2</v>
      </c>
      <c r="H20" s="42">
        <f t="shared" si="22"/>
        <v>1.5654364859998819E-2</v>
      </c>
      <c r="I20" s="42">
        <f t="shared" si="22"/>
        <v>1.5456705073160729E-2</v>
      </c>
      <c r="J20" s="42">
        <f t="shared" si="22"/>
        <v>1.5261541036976347E-2</v>
      </c>
      <c r="K20" s="42">
        <f t="shared" si="22"/>
        <v>1.5068841238858191E-2</v>
      </c>
      <c r="L20" s="42">
        <f t="shared" si="22"/>
        <v>1.5093013400280637E-2</v>
      </c>
      <c r="M20" s="42">
        <f t="shared" si="22"/>
        <v>1.5117224336641298E-2</v>
      </c>
      <c r="N20" s="42">
        <f t="shared" si="22"/>
        <v>1.5141474110139636E-2</v>
      </c>
      <c r="O20" s="42">
        <f t="shared" si="22"/>
        <v>1.5165762783074899E-2</v>
      </c>
      <c r="P20" s="42">
        <f t="shared" si="22"/>
        <v>1.5190090417846294E-2</v>
      </c>
      <c r="Q20" s="42">
        <f t="shared" si="22"/>
        <v>1.4786488981623326E-2</v>
      </c>
      <c r="R20" s="42">
        <f t="shared" si="22"/>
        <v>1.4393611255058459E-2</v>
      </c>
      <c r="S20" s="42">
        <f t="shared" si="22"/>
        <v>1.4011172308668021E-2</v>
      </c>
      <c r="T20" s="42">
        <f t="shared" si="22"/>
        <v>1.3638894783558481E-2</v>
      </c>
      <c r="U20" s="42">
        <f t="shared" si="22"/>
        <v>1.3276508690275537E-2</v>
      </c>
      <c r="V20" s="42">
        <f t="shared" si="22"/>
        <v>1.3098866648953296E-2</v>
      </c>
      <c r="W20" s="42">
        <f t="shared" si="22"/>
        <v>1.2923601489654881E-2</v>
      </c>
      <c r="X20" s="42">
        <f t="shared" si="22"/>
        <v>1.2750681409277197E-2</v>
      </c>
      <c r="Y20" s="42">
        <f t="shared" si="22"/>
        <v>1.2580075030248302E-2</v>
      </c>
      <c r="Z20" s="42">
        <f t="shared" si="22"/>
        <v>1.2411751394833736E-2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8.814491199201532</v>
      </c>
      <c r="C21" s="42">
        <f t="shared" ref="C21:AH21" si="24">IFERROR(C$18*HLOOKUP(C$4,mecc2,4)/100*C$7*C$9*C$11*C$12,0)</f>
        <v>0</v>
      </c>
      <c r="D21" s="42">
        <f t="shared" si="24"/>
        <v>0</v>
      </c>
      <c r="E21" s="42">
        <f t="shared" si="24"/>
        <v>0</v>
      </c>
      <c r="F21" s="42">
        <f t="shared" si="24"/>
        <v>0</v>
      </c>
      <c r="G21" s="42">
        <f t="shared" si="24"/>
        <v>0.48045437101558514</v>
      </c>
      <c r="H21" s="42">
        <f t="shared" si="24"/>
        <v>0.47558323270966479</v>
      </c>
      <c r="I21" s="42">
        <f t="shared" si="24"/>
        <v>0.47076148096327403</v>
      </c>
      <c r="J21" s="42">
        <f t="shared" si="24"/>
        <v>0.46598861506546824</v>
      </c>
      <c r="K21" s="42">
        <f t="shared" si="24"/>
        <v>0.46126413938181465</v>
      </c>
      <c r="L21" s="42">
        <f t="shared" si="24"/>
        <v>0.46269668676764264</v>
      </c>
      <c r="M21" s="42">
        <f t="shared" si="24"/>
        <v>0.46413368321386267</v>
      </c>
      <c r="N21" s="42">
        <f t="shared" si="24"/>
        <v>0.46557514253791471</v>
      </c>
      <c r="O21" s="42">
        <f t="shared" si="24"/>
        <v>0.46702107860015235</v>
      </c>
      <c r="P21" s="42">
        <f t="shared" si="24"/>
        <v>0.46847150530397547</v>
      </c>
      <c r="Q21" s="42">
        <f t="shared" si="24"/>
        <v>0.45602419477657519</v>
      </c>
      <c r="R21" s="42">
        <f t="shared" si="24"/>
        <v>0.44390760989120737</v>
      </c>
      <c r="S21" s="42">
        <f t="shared" si="24"/>
        <v>0.43211296325158605</v>
      </c>
      <c r="T21" s="42">
        <f t="shared" si="24"/>
        <v>0.42063170094296892</v>
      </c>
      <c r="U21" s="42">
        <f t="shared" si="24"/>
        <v>0.40945549632854239</v>
      </c>
      <c r="V21" s="42">
        <f t="shared" si="24"/>
        <v>0.40424332655125422</v>
      </c>
      <c r="W21" s="42">
        <f t="shared" si="24"/>
        <v>0.39909750516599124</v>
      </c>
      <c r="X21" s="42">
        <f t="shared" si="24"/>
        <v>0.3940171875899191</v>
      </c>
      <c r="Y21" s="42">
        <f t="shared" si="24"/>
        <v>0.38900153999133275</v>
      </c>
      <c r="Z21" s="42">
        <f t="shared" si="24"/>
        <v>0.38404973915280061</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1.1662456008336324</v>
      </c>
      <c r="C22" s="42">
        <f t="shared" ref="C22:AH22" si="26">IFERROR(C$18*HLOOKUP(C$4,mecc2,5)/100*C$7*C$9*C$11*C$12,0)</f>
        <v>0</v>
      </c>
      <c r="D22" s="42">
        <f t="shared" si="26"/>
        <v>0</v>
      </c>
      <c r="E22" s="42">
        <f t="shared" si="26"/>
        <v>0</v>
      </c>
      <c r="F22" s="42">
        <f t="shared" si="26"/>
        <v>0</v>
      </c>
      <c r="G22" s="42">
        <f t="shared" si="26"/>
        <v>7.8366042328370883E-2</v>
      </c>
      <c r="H22" s="42">
        <f t="shared" si="26"/>
        <v>7.2818644546551514E-2</v>
      </c>
      <c r="I22" s="42">
        <f t="shared" si="26"/>
        <v>6.7663937542974922E-2</v>
      </c>
      <c r="J22" s="42">
        <f t="shared" si="26"/>
        <v>6.2874123410697716E-2</v>
      </c>
      <c r="K22" s="42">
        <f t="shared" si="26"/>
        <v>5.8423372008950945E-2</v>
      </c>
      <c r="L22" s="42">
        <f t="shared" si="26"/>
        <v>5.8791711676575806E-2</v>
      </c>
      <c r="M22" s="42">
        <f t="shared" si="26"/>
        <v>5.9162373601648013E-2</v>
      </c>
      <c r="N22" s="42">
        <f t="shared" si="26"/>
        <v>5.9535372425217982E-2</v>
      </c>
      <c r="O22" s="42">
        <f t="shared" si="26"/>
        <v>5.9910722880643023E-2</v>
      </c>
      <c r="P22" s="42">
        <f t="shared" si="26"/>
        <v>6.0288439794169334E-2</v>
      </c>
      <c r="Q22" s="42">
        <f t="shared" si="26"/>
        <v>5.868706022631779E-2</v>
      </c>
      <c r="R22" s="42">
        <f t="shared" si="26"/>
        <v>5.7128216450221474E-2</v>
      </c>
      <c r="S22" s="42">
        <f t="shared" si="26"/>
        <v>5.5610778631569685E-2</v>
      </c>
      <c r="T22" s="42">
        <f t="shared" si="26"/>
        <v>5.4133646946673677E-2</v>
      </c>
      <c r="U22" s="42">
        <f t="shared" si="26"/>
        <v>5.2695750785325797E-2</v>
      </c>
      <c r="V22" s="42">
        <f t="shared" si="26"/>
        <v>5.1786895903407106E-2</v>
      </c>
      <c r="W22" s="42">
        <f t="shared" si="26"/>
        <v>5.0893716235980595E-2</v>
      </c>
      <c r="X22" s="42">
        <f t="shared" si="26"/>
        <v>5.0015941429270044E-2</v>
      </c>
      <c r="Y22" s="42">
        <f t="shared" si="26"/>
        <v>4.9153305792348639E-2</v>
      </c>
      <c r="Z22" s="42">
        <f t="shared" si="26"/>
        <v>4.8305548216717703E-2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0.58763274661343567</v>
      </c>
      <c r="C23" s="42">
        <f t="shared" ref="C23:AH23" si="28">IFERROR(C$18*HLOOKUP(C$4,mecc2,6)/100*C$7*C$9*C$11*C$12,0)</f>
        <v>0</v>
      </c>
      <c r="D23" s="42">
        <f t="shared" si="28"/>
        <v>0</v>
      </c>
      <c r="E23" s="42">
        <f t="shared" si="28"/>
        <v>0</v>
      </c>
      <c r="F23" s="42">
        <f t="shared" si="28"/>
        <v>0</v>
      </c>
      <c r="G23" s="42">
        <f t="shared" si="28"/>
        <v>3.2030291401039003E-2</v>
      </c>
      <c r="H23" s="42">
        <f t="shared" si="28"/>
        <v>3.1705548847310978E-2</v>
      </c>
      <c r="I23" s="42">
        <f t="shared" si="28"/>
        <v>3.1384098730884928E-2</v>
      </c>
      <c r="J23" s="42">
        <f t="shared" si="28"/>
        <v>3.1065907671031213E-2</v>
      </c>
      <c r="K23" s="42">
        <f t="shared" si="28"/>
        <v>3.075094262545431E-2</v>
      </c>
      <c r="L23" s="42">
        <f t="shared" si="28"/>
        <v>3.084644578450951E-2</v>
      </c>
      <c r="M23" s="42">
        <f t="shared" si="28"/>
        <v>3.0942245547590848E-2</v>
      </c>
      <c r="N23" s="42">
        <f t="shared" si="28"/>
        <v>3.1038342835860985E-2</v>
      </c>
      <c r="O23" s="42">
        <f t="shared" si="28"/>
        <v>3.1134738573343489E-2</v>
      </c>
      <c r="P23" s="42">
        <f t="shared" si="28"/>
        <v>3.1231433686931692E-2</v>
      </c>
      <c r="Q23" s="42">
        <f t="shared" si="28"/>
        <v>3.0401612985105006E-2</v>
      </c>
      <c r="R23" s="42">
        <f t="shared" si="28"/>
        <v>2.9593840659413818E-2</v>
      </c>
      <c r="S23" s="42">
        <f t="shared" si="28"/>
        <v>2.8807530883439063E-2</v>
      </c>
      <c r="T23" s="42">
        <f t="shared" si="28"/>
        <v>2.8042113396197919E-2</v>
      </c>
      <c r="U23" s="42">
        <f t="shared" si="28"/>
        <v>2.7297033088569487E-2</v>
      </c>
      <c r="V23" s="42">
        <f t="shared" si="28"/>
        <v>2.6949555103416956E-2</v>
      </c>
      <c r="W23" s="42">
        <f t="shared" si="28"/>
        <v>2.6606500344399431E-2</v>
      </c>
      <c r="X23" s="42">
        <f t="shared" si="28"/>
        <v>2.6267812505994619E-2</v>
      </c>
      <c r="Y23" s="42">
        <f t="shared" si="28"/>
        <v>2.5933435999422206E-2</v>
      </c>
      <c r="Z23" s="42">
        <f t="shared" si="28"/>
        <v>2.5603315943520052E-2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3.6865478508082523</v>
      </c>
      <c r="C24" s="42">
        <f t="shared" ref="C24:AH24" si="30">IFERROR(C$18*HLOOKUP(C$4,mecc2,7)/100*C$7*C$9*C$11*C$12,0)</f>
        <v>0</v>
      </c>
      <c r="D24" s="42">
        <f t="shared" si="30"/>
        <v>0</v>
      </c>
      <c r="E24" s="42">
        <f t="shared" si="30"/>
        <v>0</v>
      </c>
      <c r="F24" s="42">
        <f t="shared" si="30"/>
        <v>0</v>
      </c>
      <c r="G24" s="42">
        <f t="shared" si="30"/>
        <v>0.28150935984011261</v>
      </c>
      <c r="H24" s="42">
        <f t="shared" si="30"/>
        <v>0.21377740317848887</v>
      </c>
      <c r="I24" s="42">
        <f t="shared" si="30"/>
        <v>0.16234194889894463</v>
      </c>
      <c r="J24" s="42">
        <f t="shared" si="30"/>
        <v>0.12328201194540232</v>
      </c>
      <c r="K24" s="42">
        <f t="shared" si="30"/>
        <v>9.3620007474267269E-2</v>
      </c>
      <c r="L24" s="42">
        <f t="shared" si="30"/>
        <v>0.11217622617942673</v>
      </c>
      <c r="M24" s="42">
        <f t="shared" si="30"/>
        <v>0.13441043276264056</v>
      </c>
      <c r="N24" s="42">
        <f t="shared" si="30"/>
        <v>0.1610516332270204</v>
      </c>
      <c r="O24" s="42">
        <f t="shared" si="30"/>
        <v>0.19297332827500624</v>
      </c>
      <c r="P24" s="42">
        <f t="shared" si="30"/>
        <v>0.23122215328944354</v>
      </c>
      <c r="Q24" s="42">
        <f t="shared" si="30"/>
        <v>0.22508319876015864</v>
      </c>
      <c r="R24" s="42">
        <f t="shared" si="30"/>
        <v>0.2191072336424699</v>
      </c>
      <c r="S24" s="42">
        <f t="shared" si="30"/>
        <v>0.21328993056301659</v>
      </c>
      <c r="T24" s="42">
        <f t="shared" si="30"/>
        <v>0.20762707704031963</v>
      </c>
      <c r="U24" s="42">
        <f t="shared" si="30"/>
        <v>0.20211457243439954</v>
      </c>
      <c r="V24" s="42">
        <f t="shared" si="30"/>
        <v>0.1953092280012777</v>
      </c>
      <c r="W24" s="42">
        <f t="shared" si="30"/>
        <v>0.18873302445738324</v>
      </c>
      <c r="X24" s="42">
        <f t="shared" si="30"/>
        <v>0.18237824646256959</v>
      </c>
      <c r="Y24" s="42">
        <f t="shared" si="30"/>
        <v>0.17623743845779591</v>
      </c>
      <c r="Z24" s="42">
        <f t="shared" si="30"/>
        <v>0.17030339591810881</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-4.25233663524845</v>
      </c>
      <c r="C25" s="532">
        <f t="shared" ref="C25:AH25" si="32">IFERROR(C$18*HLOOKUP(C$4,mecc2,8)/100*C$7*C$9*C$11*C$12,0)</f>
        <v>0</v>
      </c>
      <c r="D25" s="532">
        <f t="shared" si="32"/>
        <v>0</v>
      </c>
      <c r="E25" s="532">
        <f t="shared" si="32"/>
        <v>0</v>
      </c>
      <c r="F25" s="532">
        <f t="shared" si="32"/>
        <v>0</v>
      </c>
      <c r="G25" s="532">
        <f t="shared" si="32"/>
        <v>-0.43739444563470653</v>
      </c>
      <c r="H25" s="532">
        <f t="shared" si="32"/>
        <v>-0.40060295494832615</v>
      </c>
      <c r="I25" s="532">
        <f t="shared" si="32"/>
        <v>-0.36690618528649327</v>
      </c>
      <c r="J25" s="532">
        <f t="shared" si="32"/>
        <v>-0.3360438237876982</v>
      </c>
      <c r="K25" s="532">
        <f t="shared" si="32"/>
        <v>-0.30777745384063598</v>
      </c>
      <c r="L25" s="532">
        <f t="shared" si="32"/>
        <v>-0.27048450283424436</v>
      </c>
      <c r="M25" s="532">
        <f t="shared" si="32"/>
        <v>-0.23771028501447944</v>
      </c>
      <c r="N25" s="532">
        <f t="shared" si="32"/>
        <v>-0.2089072719862719</v>
      </c>
      <c r="O25" s="532">
        <f t="shared" si="32"/>
        <v>-0.18359427858196306</v>
      </c>
      <c r="P25" s="532">
        <f t="shared" si="32"/>
        <v>-0.16134842414794676</v>
      </c>
      <c r="Q25" s="532">
        <f t="shared" si="32"/>
        <v>-0.15706565709889594</v>
      </c>
      <c r="R25" s="532">
        <f t="shared" si="32"/>
        <v>-0.15289657007921817</v>
      </c>
      <c r="S25" s="532">
        <f t="shared" si="32"/>
        <v>-0.14883814561237782</v>
      </c>
      <c r="T25" s="532">
        <f t="shared" si="32"/>
        <v>-0.1448874463165109</v>
      </c>
      <c r="U25" s="532">
        <f t="shared" si="32"/>
        <v>-0.14104161277842506</v>
      </c>
      <c r="V25" s="532">
        <f t="shared" si="32"/>
        <v>-0.13326886734080418</v>
      </c>
      <c r="W25" s="532">
        <f t="shared" si="32"/>
        <v>-0.1259244747165687</v>
      </c>
      <c r="X25" s="532">
        <f t="shared" si="32"/>
        <v>-0.1189848285578449</v>
      </c>
      <c r="Y25" s="532">
        <f t="shared" si="32"/>
        <v>-0.11242762345290894</v>
      </c>
      <c r="Z25" s="532">
        <f t="shared" si="32"/>
        <v>-0.10623178323212955</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75.881103264979515</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4.243608061149617</v>
      </c>
      <c r="H29" s="42">
        <f>IF(H4&lt;opening,0,1)*Absenteeism!$D$23*H7*H9*H11*H12*H10/1000</f>
        <v>4.1928180178090466</v>
      </c>
      <c r="I29" s="42">
        <f>IF(I4&lt;opening,0,1)*Absenteeism!$D$23*I7*I9*I11*I12*I10/1000</f>
        <v>4.1426358601321294</v>
      </c>
      <c r="J29" s="42">
        <f>IF(J4&lt;opening,0,1)*Absenteeism!$D$23*J7*J9*J11*J12*J10/1000</f>
        <v>4.093054312579099</v>
      </c>
      <c r="K29" s="42">
        <f>IF(K4&lt;opening,0,1)*Absenteeism!$D$23*K7*K9*K11*K12*K10/1000</f>
        <v>4.0440661866882062</v>
      </c>
      <c r="L29" s="42">
        <f>IF(L4&lt;opening,0,1)*Absenteeism!$D$23*L7*L9*L11*L12*L10/1000</f>
        <v>3.9956643800335194</v>
      </c>
      <c r="M29" s="42">
        <f>IF(M4&lt;opening,0,1)*Absenteeism!$D$23*M7*M9*M11*M12*M10/1000</f>
        <v>3.9478418751951967</v>
      </c>
      <c r="N29" s="42">
        <f>IF(N4&lt;opening,0,1)*Absenteeism!$D$23*N7*N9*N11*N12*N10/1000</f>
        <v>3.9005917387420754</v>
      </c>
      <c r="O29" s="42">
        <f>IF(O4&lt;opening,0,1)*Absenteeism!$D$23*O7*O9*O11*O12*O10/1000</f>
        <v>3.8539071202264541</v>
      </c>
      <c r="P29" s="42">
        <f>IF(P4&lt;opening,0,1)*Absenteeism!$D$23*P7*P9*P11*P12*P10/1000</f>
        <v>3.8077812511908937</v>
      </c>
      <c r="Q29" s="42">
        <f>IF(Q4&lt;opening,0,1)*Absenteeism!$D$23*Q7*Q9*Q11*Q12*Q10/1000</f>
        <v>3.7622074441869064</v>
      </c>
      <c r="R29" s="42">
        <f>IF(R4&lt;opening,0,1)*Absenteeism!$D$23*R7*R9*R11*R12*R10/1000</f>
        <v>3.7171790918053942</v>
      </c>
      <c r="S29" s="42">
        <f>IF(S4&lt;opening,0,1)*Absenteeism!$D$23*S7*S9*S11*S12*S10/1000</f>
        <v>3.6726896657186909</v>
      </c>
      <c r="T29" s="42">
        <f>IF(T4&lt;opening,0,1)*Absenteeism!$D$23*T7*T9*T11*T12*T10/1000</f>
        <v>3.6287327157340616</v>
      </c>
      <c r="U29" s="42">
        <f>IF(U4&lt;opening,0,1)*Absenteeism!$D$23*U7*U9*U11*U12*U10/1000</f>
        <v>3.5853018688585494</v>
      </c>
      <c r="V29" s="42">
        <f>IF(V4&lt;opening,0,1)*Absenteeism!$D$23*V7*V9*V11*V12*V10/1000</f>
        <v>3.5423908283749896</v>
      </c>
      <c r="W29" s="42">
        <f>IF(W4&lt;opening,0,1)*Absenteeism!$D$23*W7*W9*W11*W12*W10/1000</f>
        <v>3.4999933729291004</v>
      </c>
      <c r="X29" s="42">
        <f>IF(X4&lt;opening,0,1)*Absenteeism!$D$23*X7*X9*X11*X12*X10/1000</f>
        <v>3.458103355627498</v>
      </c>
      <c r="Y29" s="42">
        <f>IF(Y4&lt;opening,0,1)*Absenteeism!$D$23*Y7*Y9*Y11*Y12*Y10/1000</f>
        <v>3.4167147031464968</v>
      </c>
      <c r="Z29" s="42">
        <f>IF(Z4&lt;opening,0,1)*Absenteeism!$D$23*Z7*Z9*Z11*Z12*Z10/1000</f>
        <v>3.3758214148515915</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537.63886382790372</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6.4499439915475785</v>
      </c>
      <c r="H30" s="532">
        <f t="shared" si="34"/>
        <v>12.804568613761942</v>
      </c>
      <c r="I30" s="532">
        <f t="shared" si="34"/>
        <v>19.064930362115998</v>
      </c>
      <c r="J30" s="532">
        <f t="shared" si="34"/>
        <v>25.232075323260265</v>
      </c>
      <c r="K30" s="532">
        <f t="shared" si="34"/>
        <v>31.307039271163443</v>
      </c>
      <c r="L30" s="532">
        <f t="shared" si="34"/>
        <v>31.07570646866716</v>
      </c>
      <c r="M30" s="532">
        <f t="shared" si="34"/>
        <v>30.846083021854366</v>
      </c>
      <c r="N30" s="532">
        <f t="shared" si="34"/>
        <v>30.618156300018015</v>
      </c>
      <c r="O30" s="532">
        <f t="shared" si="34"/>
        <v>30.391913765781432</v>
      </c>
      <c r="P30" s="532">
        <f t="shared" si="34"/>
        <v>30.167342974408665</v>
      </c>
      <c r="Q30" s="532">
        <f t="shared" si="34"/>
        <v>29.944431573119935</v>
      </c>
      <c r="R30" s="532">
        <f t="shared" si="34"/>
        <v>29.723167300412157</v>
      </c>
      <c r="S30" s="532">
        <f t="shared" si="34"/>
        <v>29.503537985384494</v>
      </c>
      <c r="T30" s="532">
        <f>IF(T4&lt;opening,0,1)*T8*T9*T11*T12*T13*(VoL*YLLsC + VoL*YLLsP)/1000</f>
        <v>29.285531547068839</v>
      </c>
      <c r="U30" s="532">
        <f t="shared" si="34"/>
        <v>29.069135993765389</v>
      </c>
      <c r="V30" s="532">
        <f t="shared" si="34"/>
        <v>28.8543394223829</v>
      </c>
      <c r="W30" s="532">
        <f t="shared" si="34"/>
        <v>28.641130017784004</v>
      </c>
      <c r="X30" s="532">
        <f t="shared" si="34"/>
        <v>28.429496052135359</v>
      </c>
      <c r="Y30" s="532">
        <f t="shared" si="34"/>
        <v>28.219425884262453</v>
      </c>
      <c r="Z30" s="532">
        <f t="shared" si="34"/>
        <v>28.010907959009284</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90.081688574650002</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5.0377678150309544</v>
      </c>
      <c r="H33" s="42">
        <f>IF(H4&lt;opening,0,'Journey Ambience'!$E$46)*H7*H9*H10*H11/1000</f>
        <v>4.9774727920273847</v>
      </c>
      <c r="I33" s="42">
        <f>IF(I4&lt;opening,0,'Journey Ambience'!$E$46)*I7*I9*I10*I11/1000</f>
        <v>4.9178994159778782</v>
      </c>
      <c r="J33" s="42">
        <f>IF(J4&lt;opening,0,'Journey Ambience'!$E$46)*J7*J9*J10*J11/1000</f>
        <v>4.8590390497793994</v>
      </c>
      <c r="K33" s="42">
        <f>IF(K4&lt;opening,0,'Journey Ambience'!$E$46)*K7*K9*K10*K11/1000</f>
        <v>4.8008831597029333</v>
      </c>
      <c r="L33" s="42">
        <f>IF(L4&lt;opening,0,'Journey Ambience'!$E$46)*L7*L9*L10*L11/1000</f>
        <v>4.743423314156245</v>
      </c>
      <c r="M33" s="42">
        <f>IF(M4&lt;opening,0,'Journey Ambience'!$E$46)*M7*M9*M10*M11/1000</f>
        <v>4.6866511824614543</v>
      </c>
      <c r="N33" s="42">
        <f>IF(N4&lt;opening,0,'Journey Ambience'!$E$46)*N7*N9*N10*N11/1000</f>
        <v>4.6305585336472115</v>
      </c>
      <c r="O33" s="42">
        <f>IF(O4&lt;opening,0,'Journey Ambience'!$E$46)*O7*O9*O10*O11/1000</f>
        <v>4.5751372352553705</v>
      </c>
      <c r="P33" s="42">
        <f>IF(P4&lt;opening,0,'Journey Ambience'!$E$46)*P7*P9*P10*P11/1000</f>
        <v>4.5203792521619173</v>
      </c>
      <c r="Q33" s="42">
        <f>IF(Q4&lt;opening,0,'Journey Ambience'!$E$46)*Q7*Q9*Q10*Q11/1000</f>
        <v>4.4662766454120071</v>
      </c>
      <c r="R33" s="42">
        <f>IF(R4&lt;opening,0,'Journey Ambience'!$E$46)*R7*R9*R10*R11/1000</f>
        <v>4.4128215710689727</v>
      </c>
      <c r="S33" s="42">
        <f>IF(S4&lt;opening,0,'Journey Ambience'!$E$46)*S7*S9*S10*S11/1000</f>
        <v>4.3600062790770737</v>
      </c>
      <c r="T33" s="42">
        <f>IF(T4&lt;opening,0,'Journey Ambience'!$E$46)*T7*T9*T10*T11/1000</f>
        <v>4.3078231121378767</v>
      </c>
      <c r="U33" s="42">
        <f>IF(U4&lt;opening,0,'Journey Ambience'!$E$46)*U7*U9*U10*U11/1000</f>
        <v>4.2562645046000922</v>
      </c>
      <c r="V33" s="42">
        <f>IF(V4&lt;opening,0,'Journey Ambience'!$E$46)*V7*V9*V10*V11/1000</f>
        <v>4.2053229813626691</v>
      </c>
      <c r="W33" s="42">
        <f>IF(W4&lt;opening,0,'Journey Ambience'!$E$46)*W7*W9*W10*W11/1000</f>
        <v>4.1549911567910467</v>
      </c>
      <c r="X33" s="42">
        <f>IF(X4&lt;opening,0,'Journey Ambience'!$E$46)*X7*X9*X10*X11/1000</f>
        <v>4.1052617336463619</v>
      </c>
      <c r="Y33" s="42">
        <f>IF(Y4&lt;opening,0,'Journey Ambience'!$E$46)*Y7*Y9*Y10*Y11/1000</f>
        <v>4.0561275020274792</v>
      </c>
      <c r="Z33" s="42">
        <f>IF(Z4&lt;opening,0,'Journey Ambience'!$E$46)*Z7*Z9*Z10*Z11/1000</f>
        <v>4.007581338325676</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11.234123549506739</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0.628262046851915</v>
      </c>
      <c r="H34" s="532">
        <f>IF(H4&lt;opening,0,'Journey Ambience'!$E$45)*H7*H9*H10*H11*H12/1000</f>
        <v>0.62074263032497956</v>
      </c>
      <c r="I34" s="532">
        <f>IF(I4&lt;opening,0,'Journey Ambience'!$E$45)*I7*I9*I10*I11*I12/1000</f>
        <v>0.61331321067942335</v>
      </c>
      <c r="J34" s="532">
        <f>IF(J4&lt;opening,0,'Journey Ambience'!$E$45)*J7*J9*J10*J11*J12/1000</f>
        <v>0.60597271077865889</v>
      </c>
      <c r="K34" s="532">
        <f>IF(K4&lt;opening,0,'Journey Ambience'!$E$45)*K7*K9*K10*K11*K12/1000</f>
        <v>0.59872006637791431</v>
      </c>
      <c r="L34" s="532">
        <f>IF(L4&lt;opening,0,'Journey Ambience'!$E$45)*L7*L9*L10*L11*L12/1000</f>
        <v>0.59155422596993701</v>
      </c>
      <c r="M34" s="532">
        <f>IF(M4&lt;opening,0,'Journey Ambience'!$E$45)*M7*M9*M10*M11*M12/1000</f>
        <v>0.58447415063254327</v>
      </c>
      <c r="N34" s="532">
        <f>IF(N4&lt;opening,0,'Journey Ambience'!$E$45)*N7*N9*N10*N11*N12/1000</f>
        <v>0.57747881387799205</v>
      </c>
      <c r="O34" s="532">
        <f>IF(O4&lt;opening,0,'Journey Ambience'!$E$45)*O7*O9*O10*O11*O12/1000</f>
        <v>0.57056720150416229</v>
      </c>
      <c r="P34" s="532">
        <f>IF(P4&lt;opening,0,'Journey Ambience'!$E$45)*P7*P9*P10*P11*P12/1000</f>
        <v>0.5637383114475123</v>
      </c>
      <c r="Q34" s="532">
        <f>IF(Q4&lt;opening,0,'Journey Ambience'!$E$45)*Q7*Q9*Q10*Q11*Q12/1000</f>
        <v>0.55699115363779628</v>
      </c>
      <c r="R34" s="532">
        <f>IF(R4&lt;opening,0,'Journey Ambience'!$E$45)*R7*R9*R10*R11*R12/1000</f>
        <v>0.55032474985452284</v>
      </c>
      <c r="S34" s="532">
        <f>IF(S4&lt;opening,0,'Journey Ambience'!$E$45)*S7*S9*S10*S11*S12/1000</f>
        <v>0.54373813358512879</v>
      </c>
      <c r="T34" s="532">
        <f>IF(T4&lt;opening,0,'Journey Ambience'!$E$45)*T7*T9*T10*T11*T12/1000</f>
        <v>0.53723034988485252</v>
      </c>
      <c r="U34" s="532">
        <f>IF(U4&lt;opening,0,'Journey Ambience'!$E$45)*U7*U9*U10*U11*U12/1000</f>
        <v>0.53080045523828401</v>
      </c>
      <c r="V34" s="532">
        <f>IF(V4&lt;opening,0,'Journey Ambience'!$E$45)*V7*V9*V10*V11*V12/1000</f>
        <v>0.52444751742256979</v>
      </c>
      <c r="W34" s="532">
        <f>IF(W4&lt;opening,0,'Journey Ambience'!$E$45)*W7*W9*W10*W11*W12/1000</f>
        <v>0.51817061537225872</v>
      </c>
      <c r="X34" s="532">
        <f>IF(X4&lt;opening,0,'Journey Ambience'!$E$45)*X7*X9*X10*X11*X12/1000</f>
        <v>0.51196883904576218</v>
      </c>
      <c r="Y34" s="532">
        <f>IF(Y4&lt;opening,0,'Journey Ambience'!$E$45)*Y7*Y9*Y10*Y11*Y12/1000</f>
        <v>0.50584128929341499</v>
      </c>
      <c r="Z34" s="532">
        <f>IF(Z4&lt;opening,0,'Journey Ambience'!$E$45)*Z7*Z9*Z10*Z11*Z12/1000</f>
        <v>0.49978707772711328</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3" t="s">
        <v>16702</v>
      </c>
      <c r="C4" s="684"/>
      <c r="D4" s="684"/>
      <c r="E4" s="192">
        <f>Discounting!B19</f>
        <v>52.283117864696877</v>
      </c>
      <c r="F4" s="41"/>
      <c r="G4" s="104"/>
      <c r="H4" s="435" t="s">
        <v>16711</v>
      </c>
      <c r="I4" s="192">
        <f>SUM(E4:E9,E14)</f>
        <v>62.572573848467478</v>
      </c>
      <c r="J4" s="436">
        <f>IFERROR(I4/SUM($I$4:$I$6),0)</f>
        <v>8.0488682172925999E-2</v>
      </c>
      <c r="K4" s="41"/>
      <c r="L4" s="41"/>
      <c r="M4" s="41"/>
      <c r="N4" s="41"/>
      <c r="O4" s="41"/>
    </row>
    <row r="5" spans="1:15">
      <c r="A5" s="41"/>
      <c r="B5" s="677" t="s">
        <v>16712</v>
      </c>
      <c r="C5" s="678"/>
      <c r="D5" s="678"/>
      <c r="E5" s="124">
        <f>Discounting!B20</f>
        <v>0.28687522156218803</v>
      </c>
      <c r="F5" s="41"/>
      <c r="G5" s="104"/>
      <c r="H5" s="107" t="s">
        <v>16713</v>
      </c>
      <c r="I5" s="124">
        <f>E10+E11</f>
        <v>613.51996709288323</v>
      </c>
      <c r="J5" s="430">
        <f>IFERROR(I5/SUM($I$4:$I$6),0)</f>
        <v>0.78918622969977992</v>
      </c>
      <c r="K5" s="41"/>
      <c r="L5" s="41"/>
      <c r="M5" s="41"/>
      <c r="N5" s="41"/>
      <c r="O5" s="41"/>
    </row>
    <row r="6" spans="1:15">
      <c r="A6" s="41"/>
      <c r="B6" s="677" t="s">
        <v>16441</v>
      </c>
      <c r="C6" s="678"/>
      <c r="D6" s="678"/>
      <c r="E6" s="124">
        <f>Discounting!B21</f>
        <v>8.814491199201532</v>
      </c>
      <c r="F6" s="41"/>
      <c r="G6" s="104"/>
      <c r="H6" s="107" t="s">
        <v>16714</v>
      </c>
      <c r="I6" s="124">
        <f>E12</f>
        <v>101.31581212415674</v>
      </c>
      <c r="J6" s="430">
        <f>IFERROR(I6/SUM($I$4:$I$6),0)</f>
        <v>0.13032508812729396</v>
      </c>
      <c r="K6" s="41"/>
      <c r="L6" s="41"/>
      <c r="M6" s="41"/>
      <c r="N6" s="41"/>
      <c r="O6" s="41"/>
    </row>
    <row r="7" spans="1:15">
      <c r="A7" s="41"/>
      <c r="B7" s="677" t="s">
        <v>16715</v>
      </c>
      <c r="C7" s="678"/>
      <c r="D7" s="678"/>
      <c r="E7" s="124">
        <f>Discounting!B22</f>
        <v>1.1662456008336324</v>
      </c>
      <c r="F7" s="41"/>
      <c r="G7" s="104"/>
      <c r="H7" s="41"/>
      <c r="I7" s="41"/>
      <c r="J7" s="413"/>
      <c r="K7" s="41"/>
      <c r="L7" s="41"/>
      <c r="M7" s="41"/>
      <c r="N7" s="41"/>
      <c r="O7" s="41"/>
    </row>
    <row r="8" spans="1:15">
      <c r="A8" s="41"/>
      <c r="B8" s="677" t="s">
        <v>16443</v>
      </c>
      <c r="C8" s="678"/>
      <c r="D8" s="678"/>
      <c r="E8" s="124">
        <f>Discounting!B23</f>
        <v>0.58763274661343567</v>
      </c>
      <c r="F8" s="41"/>
      <c r="G8" s="104"/>
      <c r="H8" s="41"/>
      <c r="I8" s="41"/>
      <c r="J8" s="413"/>
      <c r="K8" s="41"/>
      <c r="L8" s="41"/>
      <c r="M8" s="41"/>
      <c r="N8" s="41"/>
      <c r="O8" s="41"/>
    </row>
    <row r="9" spans="1:15">
      <c r="A9" s="41"/>
      <c r="B9" s="677" t="s">
        <v>16716</v>
      </c>
      <c r="C9" s="678"/>
      <c r="D9" s="678"/>
      <c r="E9" s="124">
        <f>Discounting!B24</f>
        <v>3.6865478508082523</v>
      </c>
      <c r="F9" s="41"/>
      <c r="G9" s="104"/>
      <c r="H9" s="41"/>
      <c r="I9" s="41"/>
      <c r="J9" s="413"/>
      <c r="K9" s="41"/>
      <c r="L9" s="41"/>
      <c r="M9" s="41"/>
      <c r="N9" s="41"/>
      <c r="O9" s="41"/>
    </row>
    <row r="10" spans="1:15">
      <c r="A10" s="41"/>
      <c r="B10" s="681" t="s">
        <v>16704</v>
      </c>
      <c r="C10" s="682"/>
      <c r="D10" s="682"/>
      <c r="E10" s="124">
        <f>Discounting!B30</f>
        <v>537.63886382790372</v>
      </c>
      <c r="F10" s="41"/>
      <c r="G10" s="104"/>
      <c r="H10" s="41"/>
      <c r="I10" s="41"/>
      <c r="J10" s="413"/>
      <c r="K10" s="41"/>
      <c r="L10" s="41"/>
      <c r="M10" s="41"/>
      <c r="N10" s="41"/>
      <c r="O10" s="41"/>
    </row>
    <row r="11" spans="1:15">
      <c r="A11" s="41"/>
      <c r="B11" s="681" t="s">
        <v>75</v>
      </c>
      <c r="C11" s="682"/>
      <c r="D11" s="682"/>
      <c r="E11" s="124">
        <f>_xlfn.IFNA(Discounting!B29, 0)</f>
        <v>75.881103264979515</v>
      </c>
      <c r="F11" s="41"/>
      <c r="G11" s="104"/>
      <c r="H11" s="41"/>
      <c r="I11" s="41"/>
      <c r="J11" s="413"/>
      <c r="K11" s="41"/>
      <c r="L11" s="41"/>
      <c r="M11" s="41"/>
      <c r="N11" s="41"/>
      <c r="O11" s="41"/>
    </row>
    <row r="12" spans="1:15">
      <c r="A12" s="41"/>
      <c r="B12" s="681" t="s">
        <v>16423</v>
      </c>
      <c r="C12" s="682"/>
      <c r="D12" s="682"/>
      <c r="E12" s="124">
        <f>IFERROR(Discounting!B33+Discounting!B34,0)</f>
        <v>101.31581212415674</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7" t="s">
        <v>16717</v>
      </c>
      <c r="C14" s="678"/>
      <c r="D14" s="678"/>
      <c r="E14" s="124">
        <f>Discounting!B25</f>
        <v>-4.25233663524845</v>
      </c>
      <c r="F14" s="41"/>
      <c r="G14" s="104"/>
      <c r="H14" s="41"/>
      <c r="I14" s="41"/>
      <c r="J14" s="413"/>
      <c r="K14" s="41"/>
      <c r="L14" s="41"/>
      <c r="M14" s="41"/>
      <c r="N14" s="41"/>
      <c r="O14" s="41"/>
    </row>
    <row r="15" spans="1:15">
      <c r="A15" s="41"/>
      <c r="B15" s="677" t="s">
        <v>16706</v>
      </c>
      <c r="C15" s="678"/>
      <c r="D15" s="678"/>
      <c r="E15" s="124">
        <f>IFERROR(Discounting!B37,0)</f>
        <v>0</v>
      </c>
      <c r="F15" s="41"/>
      <c r="G15" s="104"/>
      <c r="H15" s="41"/>
      <c r="I15" s="41"/>
      <c r="J15" s="413"/>
      <c r="K15" s="41"/>
      <c r="L15" s="41"/>
      <c r="M15" s="41"/>
      <c r="N15" s="41"/>
      <c r="O15" s="41"/>
    </row>
    <row r="16" spans="1:15">
      <c r="A16" s="41"/>
      <c r="B16" s="677" t="s">
        <v>16707</v>
      </c>
      <c r="C16" s="678"/>
      <c r="D16" s="678"/>
      <c r="E16" s="124">
        <f>IFERROR(Discounting!B38,0)</f>
        <v>0</v>
      </c>
      <c r="F16" s="41"/>
      <c r="G16" s="104"/>
      <c r="H16" s="41"/>
      <c r="I16" s="41"/>
      <c r="J16" s="413"/>
      <c r="K16" s="41"/>
      <c r="L16" s="41"/>
      <c r="M16" s="41"/>
      <c r="N16" s="41"/>
      <c r="O16" s="41"/>
    </row>
    <row r="17" spans="1:15">
      <c r="A17" s="41"/>
      <c r="B17" s="677" t="s">
        <v>16708</v>
      </c>
      <c r="C17" s="678"/>
      <c r="D17" s="678"/>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7" t="s">
        <v>16718</v>
      </c>
      <c r="C19" s="678"/>
      <c r="D19" s="678"/>
      <c r="E19" s="124">
        <f>IFERROR(SUM(E4:E14)-E17-E5, 0)</f>
        <v>777.12147784394529</v>
      </c>
      <c r="F19" s="41"/>
      <c r="G19" s="104"/>
      <c r="H19" s="41"/>
      <c r="I19" s="41"/>
      <c r="J19" s="413"/>
      <c r="K19" s="41"/>
      <c r="L19" s="41"/>
      <c r="M19" s="41"/>
      <c r="N19" s="41"/>
      <c r="O19" s="41"/>
    </row>
    <row r="20" spans="1:15">
      <c r="A20" s="41"/>
      <c r="B20" s="677" t="s">
        <v>16719</v>
      </c>
      <c r="C20" s="678"/>
      <c r="D20" s="678"/>
      <c r="E20" s="124">
        <f>IFERROR((E15+E16)-E5,0)</f>
        <v>-0.28687522156218803</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9" t="s">
        <v>16720</v>
      </c>
      <c r="C22" s="680"/>
      <c r="D22" s="680"/>
      <c r="E22" s="433">
        <f>IFERROR(E19/E20, 0)</f>
        <v>-2708.9180920265817</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2023-01-16T14:06:39Z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